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Hivatal\Közös\KÉPVISELŐ-TESTÜLET IRATAI\ELŐTERJESZTÉSEK\2023\2023. 02. 27\"/>
    </mc:Choice>
  </mc:AlternateContent>
  <bookViews>
    <workbookView xWindow="-120" yWindow="-120" windowWidth="29040" windowHeight="15840" firstSheet="15" activeTab="15"/>
  </bookViews>
  <sheets>
    <sheet name="1.a sz. Önkormányzat 2022. " sheetId="23" r:id="rId1"/>
    <sheet name="1.b sz. Önkormányzat 2022." sheetId="105" r:id="rId2"/>
    <sheet name="2.1. sz. PMH" sheetId="34" r:id="rId3"/>
    <sheet name="2.2. sz. Hétszínvirág Óvoda" sheetId="37" r:id="rId4"/>
    <sheet name="2.3. sz. Mese Óvoda" sheetId="38" r:id="rId5"/>
    <sheet name="2.4. sz. Bölcsőde" sheetId="36" r:id="rId6"/>
    <sheet name="2.5. sz. Gyermekjóléti" sheetId="39" r:id="rId7"/>
    <sheet name="2.6 sz. Területi" sheetId="40" r:id="rId8"/>
    <sheet name="2.7. sz. Könyvtár" sheetId="35" r:id="rId9"/>
    <sheet name="2.8. sz. Műv.Ház" sheetId="73" r:id="rId10"/>
    <sheet name="2.9. sz. Szivárvány Ó." sheetId="74" r:id="rId11"/>
    <sheet name="2.10. sz. Intézmények összesen" sheetId="41" r:id="rId12"/>
    <sheet name="3. sz.Városi szintű összesen" sheetId="43" r:id="rId13"/>
    <sheet name="4.sz.Felhalm.c.pe.átadás" sheetId="26" r:id="rId14"/>
    <sheet name="5.sz.Műk.c.pe.átadás" sheetId="27" r:id="rId15"/>
    <sheet name="6.sz. Beruházások" sheetId="31" r:id="rId16"/>
    <sheet name="7. sz. Felújítások" sheetId="24" r:id="rId17"/>
    <sheet name="8.sz.Tartalékok" sheetId="25" r:id="rId18"/>
    <sheet name="9.sz. Szociális" sheetId="28" r:id="rId19"/>
    <sheet name="10.sz.Intézményfinanszírozás" sheetId="29" r:id="rId20"/>
    <sheet name="11.a.sz. Állami támogatás" sheetId="101" r:id="rId21"/>
    <sheet name="11.b.sz. Műk.célú tám.ÁHbelül" sheetId="118" r:id="rId22"/>
    <sheet name="12.sz.Felh.célú tám.ÁHbelül" sheetId="102" r:id="rId23"/>
    <sheet name="13.sz. Közhatalmi bevételek" sheetId="104" r:id="rId24"/>
    <sheet name="14.sz.Felhalmozási bev" sheetId="103" r:id="rId25"/>
    <sheet name="15.sz.mell. Létszámtábla" sheetId="100" r:id="rId26"/>
    <sheet name="1.sz.tájék.tábla Közvetett tám" sheetId="89" r:id="rId27"/>
    <sheet name="2.sz.tájék.tábla Mérlegszerű" sheetId="90" r:id="rId28"/>
    <sheet name="3.sz.tájék.tábla Gördülő" sheetId="91" r:id="rId29"/>
    <sheet name="4.sz.tájék.táb. Többéves" sheetId="92" r:id="rId30"/>
    <sheet name="5.sz.tájék.táb Adósságszolgálat" sheetId="93" r:id="rId31"/>
    <sheet name="6.sz.tájék.tábla Hitelképes " sheetId="94" r:id="rId32"/>
    <sheet name="7.sz.tájék.táb.Likviditási  " sheetId="119" r:id="rId33"/>
    <sheet name="8.sz.tájék.tábla Ütemterv" sheetId="96" r:id="rId34"/>
    <sheet name="9. sz. tájék.tábla EU-s pály." sheetId="97" r:id="rId35"/>
    <sheet name="10. sz.tájék.Nem EU-s pály. " sheetId="98" r:id="rId36"/>
    <sheet name="1.sz.függ.Önkormány bev-kiad" sheetId="106" r:id="rId37"/>
    <sheet name="2.sz.függ.PMH bev-kiad" sheetId="107" r:id="rId38"/>
    <sheet name="3.sz.függ.Ter.Gond. " sheetId="108" r:id="rId39"/>
    <sheet name="4.sz.függ.Könyvtár " sheetId="109" r:id="rId40"/>
    <sheet name="5.sz.függ.Hétszínvirág Ó. " sheetId="110" r:id="rId41"/>
    <sheet name="6.sz.függ.Mese Ó.  " sheetId="111" r:id="rId42"/>
    <sheet name="7.sz.függ.Bölcsőde" sheetId="112" r:id="rId43"/>
    <sheet name="8.sz.függ.Gyermekjóléti  " sheetId="113" r:id="rId44"/>
    <sheet name="9.sz.függ.Szivárvány Ó." sheetId="114" r:id="rId45"/>
    <sheet name="10.sz.függ.József A.Műv.Ház" sheetId="115" r:id="rId46"/>
    <sheet name="11.sz.függ.Mindösszesen" sheetId="116" r:id="rId47"/>
    <sheet name="12.sz.függ.Tartalékok vált." sheetId="117" r:id="rId48"/>
  </sheets>
  <externalReferences>
    <externalReference r:id="rId49"/>
    <externalReference r:id="rId50"/>
    <externalReference r:id="rId51"/>
    <externalReference r:id="rId52"/>
    <externalReference r:id="rId53"/>
  </externalReferences>
  <definedNames>
    <definedName name="_xlnm._FilterDatabase" localSheetId="36" hidden="1">'1.sz.függ.Önkormány bev-kiad'!$A$1:$X$6</definedName>
    <definedName name="felev" localSheetId="0">#REF!</definedName>
    <definedName name="felev" localSheetId="1">#REF!</definedName>
    <definedName name="felev" localSheetId="35">#REF!</definedName>
    <definedName name="felev" localSheetId="20">#REF!</definedName>
    <definedName name="felev" localSheetId="25">#REF!</definedName>
    <definedName name="felev" localSheetId="2">#REF!</definedName>
    <definedName name="felev" localSheetId="11">#REF!</definedName>
    <definedName name="felev" localSheetId="3">#REF!</definedName>
    <definedName name="felev" localSheetId="4">#REF!</definedName>
    <definedName name="felev" localSheetId="5">#REF!</definedName>
    <definedName name="felev" localSheetId="6">#REF!</definedName>
    <definedName name="felev" localSheetId="7">#REF!</definedName>
    <definedName name="felev" localSheetId="8">#REF!</definedName>
    <definedName name="felev" localSheetId="12">#REF!</definedName>
    <definedName name="felev" localSheetId="28">#REF!</definedName>
    <definedName name="felev" localSheetId="40">#REF!</definedName>
    <definedName name="felev" localSheetId="15">#REF!</definedName>
    <definedName name="felev" localSheetId="41">#REF!</definedName>
    <definedName name="felev" localSheetId="42">#REF!</definedName>
    <definedName name="felev" localSheetId="32">#REF!</definedName>
    <definedName name="felev" localSheetId="43">#REF!</definedName>
    <definedName name="felev">#REF!</definedName>
    <definedName name="funkcio" localSheetId="0">#REF!</definedName>
    <definedName name="funkcio" localSheetId="1">#REF!</definedName>
    <definedName name="funkcio" localSheetId="35">#REF!</definedName>
    <definedName name="funkcio" localSheetId="20">#REF!</definedName>
    <definedName name="funkcio" localSheetId="25">#REF!</definedName>
    <definedName name="funkcio" localSheetId="2">#REF!</definedName>
    <definedName name="funkcio" localSheetId="11">#REF!</definedName>
    <definedName name="funkcio" localSheetId="3">#REF!</definedName>
    <definedName name="funkcio" localSheetId="4">#REF!</definedName>
    <definedName name="funkcio" localSheetId="5">#REF!</definedName>
    <definedName name="funkcio" localSheetId="6">#REF!</definedName>
    <definedName name="funkcio" localSheetId="7">#REF!</definedName>
    <definedName name="funkcio" localSheetId="8">#REF!</definedName>
    <definedName name="funkcio" localSheetId="12">#REF!</definedName>
    <definedName name="funkcio" localSheetId="28">#REF!</definedName>
    <definedName name="funkcio" localSheetId="40">#REF!</definedName>
    <definedName name="funkcio" localSheetId="15">#REF!</definedName>
    <definedName name="funkcio" localSheetId="41">#REF!</definedName>
    <definedName name="funkcio" localSheetId="42">#REF!</definedName>
    <definedName name="funkcio" localSheetId="32">#REF!</definedName>
    <definedName name="funkcio" localSheetId="43">#REF!</definedName>
    <definedName name="funkcio">#REF!</definedName>
    <definedName name="hjkhjh" localSheetId="1">#REF!</definedName>
    <definedName name="hjkhjh" localSheetId="36">#REF!</definedName>
    <definedName name="hjkhjh" localSheetId="45">#REF!</definedName>
    <definedName name="hjkhjh" localSheetId="20">#REF!</definedName>
    <definedName name="hjkhjh" localSheetId="46">#REF!</definedName>
    <definedName name="hjkhjh" localSheetId="47">#REF!</definedName>
    <definedName name="hjkhjh" localSheetId="25">#REF!</definedName>
    <definedName name="hjkhjh" localSheetId="37">#REF!</definedName>
    <definedName name="hjkhjh" localSheetId="38">#REF!</definedName>
    <definedName name="hjkhjh" localSheetId="39">#REF!</definedName>
    <definedName name="hjkhjh" localSheetId="40">#REF!</definedName>
    <definedName name="hjkhjh" localSheetId="41">#REF!</definedName>
    <definedName name="hjkhjh" localSheetId="42">#REF!</definedName>
    <definedName name="hjkhjh" localSheetId="32">#REF!</definedName>
    <definedName name="hjkhjh" localSheetId="43">#REF!</definedName>
    <definedName name="hjkhjh" localSheetId="44">#REF!</definedName>
    <definedName name="hjkhjh">#REF!</definedName>
    <definedName name="igenyles_1" localSheetId="32">#REF!</definedName>
    <definedName name="igenyles_1">#REF!</definedName>
    <definedName name="Igenyles_elszamolas_tip" localSheetId="0">#REF!</definedName>
    <definedName name="Igenyles_elszamolas_tip" localSheetId="1">#REF!</definedName>
    <definedName name="Igenyles_elszamolas_tip" localSheetId="35">#REF!</definedName>
    <definedName name="Igenyles_elszamolas_tip" localSheetId="2">#REF!</definedName>
    <definedName name="Igenyles_elszamolas_tip" localSheetId="11">#REF!</definedName>
    <definedName name="Igenyles_elszamolas_tip" localSheetId="3">#REF!</definedName>
    <definedName name="Igenyles_elszamolas_tip" localSheetId="4">#REF!</definedName>
    <definedName name="Igenyles_elszamolas_tip" localSheetId="5">#REF!</definedName>
    <definedName name="Igenyles_elszamolas_tip" localSheetId="6">#REF!</definedName>
    <definedName name="Igenyles_elszamolas_tip" localSheetId="7">#REF!</definedName>
    <definedName name="Igenyles_elszamolas_tip" localSheetId="8">#REF!</definedName>
    <definedName name="Igenyles_elszamolas_tip" localSheetId="12">#REF!</definedName>
    <definedName name="Igenyles_elszamolas_tip" localSheetId="28">#REF!</definedName>
    <definedName name="Igenyles_elszamolas_tip" localSheetId="40">#REF!</definedName>
    <definedName name="Igenyles_elszamolas_tip" localSheetId="15">#REF!</definedName>
    <definedName name="Igenyles_elszamolas_tip" localSheetId="41">#REF!</definedName>
    <definedName name="Igenyles_elszamolas_tip" localSheetId="42">#REF!</definedName>
    <definedName name="Igenyles_elszamolas_tip" localSheetId="32">#REF!</definedName>
    <definedName name="Igenyles_elszamolas_tip" localSheetId="43">#REF!</definedName>
    <definedName name="Igenyles_elszamolas_tip">#REF!</definedName>
    <definedName name="iiiiii" localSheetId="1">#REF!</definedName>
    <definedName name="iiiiii" localSheetId="36">#REF!</definedName>
    <definedName name="iiiiii" localSheetId="35">#REF!</definedName>
    <definedName name="iiiiii" localSheetId="45">#REF!</definedName>
    <definedName name="iiiiii" localSheetId="46">#REF!</definedName>
    <definedName name="iiiiii" localSheetId="47">#REF!</definedName>
    <definedName name="iiiiii" localSheetId="37">#REF!</definedName>
    <definedName name="iiiiii" localSheetId="38">#REF!</definedName>
    <definedName name="iiiiii" localSheetId="39">#REF!</definedName>
    <definedName name="iiiiii" localSheetId="40">#REF!</definedName>
    <definedName name="iiiiii" localSheetId="41">#REF!</definedName>
    <definedName name="iiiiii" localSheetId="42">#REF!</definedName>
    <definedName name="iiiiii" localSheetId="32">#REF!</definedName>
    <definedName name="iiiiii" localSheetId="43">#REF!</definedName>
    <definedName name="iiiiii" localSheetId="44">#REF!</definedName>
    <definedName name="iiiiii">#REF!</definedName>
    <definedName name="jjj" localSheetId="1">#REF!</definedName>
    <definedName name="jjj" localSheetId="36">#REF!</definedName>
    <definedName name="jjj" localSheetId="35">#REF!</definedName>
    <definedName name="jjj" localSheetId="45">#REF!</definedName>
    <definedName name="jjj" localSheetId="46">#REF!</definedName>
    <definedName name="jjj" localSheetId="47">#REF!</definedName>
    <definedName name="jjj" localSheetId="37">#REF!</definedName>
    <definedName name="jjj" localSheetId="38">#REF!</definedName>
    <definedName name="jjj" localSheetId="39">#REF!</definedName>
    <definedName name="jjj" localSheetId="40">#REF!</definedName>
    <definedName name="jjj" localSheetId="41">#REF!</definedName>
    <definedName name="jjj" localSheetId="42">#REF!</definedName>
    <definedName name="jjj" localSheetId="32">#REF!</definedName>
    <definedName name="jjj" localSheetId="43">#REF!</definedName>
    <definedName name="jjj" localSheetId="44">#REF!</definedName>
    <definedName name="jjj">#REF!</definedName>
    <definedName name="kkkk" localSheetId="1">#REF!</definedName>
    <definedName name="kkkk" localSheetId="36">#REF!</definedName>
    <definedName name="kkkk" localSheetId="35">#REF!</definedName>
    <definedName name="kkkk" localSheetId="45">#REF!</definedName>
    <definedName name="kkkk" localSheetId="46">#REF!</definedName>
    <definedName name="kkkk" localSheetId="47">#REF!</definedName>
    <definedName name="kkkk" localSheetId="37">#REF!</definedName>
    <definedName name="kkkk" localSheetId="38">#REF!</definedName>
    <definedName name="kkkk" localSheetId="39">#REF!</definedName>
    <definedName name="kkkk" localSheetId="40">#REF!</definedName>
    <definedName name="kkkk" localSheetId="41">#REF!</definedName>
    <definedName name="kkkk" localSheetId="42">#REF!</definedName>
    <definedName name="kkkk" localSheetId="32">#REF!</definedName>
    <definedName name="kkkk" localSheetId="43">#REF!</definedName>
    <definedName name="kkkk" localSheetId="44">#REF!</definedName>
    <definedName name="kkkk">#REF!</definedName>
    <definedName name="koltseg_k" localSheetId="0">#REF!</definedName>
    <definedName name="koltseg_k" localSheetId="1">#REF!</definedName>
    <definedName name="koltseg_k" localSheetId="35">#REF!</definedName>
    <definedName name="koltseg_k" localSheetId="2">#REF!</definedName>
    <definedName name="koltseg_k" localSheetId="11">#REF!</definedName>
    <definedName name="koltseg_k" localSheetId="3">#REF!</definedName>
    <definedName name="koltseg_k" localSheetId="4">#REF!</definedName>
    <definedName name="koltseg_k" localSheetId="5">#REF!</definedName>
    <definedName name="koltseg_k" localSheetId="6">#REF!</definedName>
    <definedName name="koltseg_k" localSheetId="7">#REF!</definedName>
    <definedName name="koltseg_k" localSheetId="8">#REF!</definedName>
    <definedName name="koltseg_k" localSheetId="12">#REF!</definedName>
    <definedName name="koltseg_k" localSheetId="28">#REF!</definedName>
    <definedName name="koltseg_k" localSheetId="40">#REF!</definedName>
    <definedName name="koltseg_k" localSheetId="15">#REF!</definedName>
    <definedName name="koltseg_k" localSheetId="41">#REF!</definedName>
    <definedName name="koltseg_k" localSheetId="42">#REF!</definedName>
    <definedName name="koltseg_k" localSheetId="32">#REF!</definedName>
    <definedName name="koltseg_k" localSheetId="43">#REF!</definedName>
    <definedName name="koltseg_k">#REF!</definedName>
    <definedName name="Koltseg_kat" localSheetId="0">#REF!</definedName>
    <definedName name="Koltseg_kat" localSheetId="1">#REF!</definedName>
    <definedName name="Koltseg_kat" localSheetId="35">#REF!</definedName>
    <definedName name="Koltseg_kat" localSheetId="2">#REF!</definedName>
    <definedName name="Koltseg_kat" localSheetId="11">#REF!</definedName>
    <definedName name="Koltseg_kat" localSheetId="3">#REF!</definedName>
    <definedName name="Koltseg_kat" localSheetId="4">#REF!</definedName>
    <definedName name="Koltseg_kat" localSheetId="5">#REF!</definedName>
    <definedName name="Koltseg_kat" localSheetId="6">#REF!</definedName>
    <definedName name="Koltseg_kat" localSheetId="7">#REF!</definedName>
    <definedName name="Koltseg_kat" localSheetId="8">#REF!</definedName>
    <definedName name="Koltseg_kat" localSheetId="12">#REF!</definedName>
    <definedName name="Koltseg_kat" localSheetId="28">#REF!</definedName>
    <definedName name="Koltseg_kat" localSheetId="40">#REF!</definedName>
    <definedName name="Koltseg_kat" localSheetId="15">#REF!</definedName>
    <definedName name="Koltseg_kat" localSheetId="41">#REF!</definedName>
    <definedName name="Koltseg_kat" localSheetId="42">#REF!</definedName>
    <definedName name="Koltseg_kat" localSheetId="32">#REF!</definedName>
    <definedName name="Koltseg_kat" localSheetId="43">#REF!</definedName>
    <definedName name="Koltseg_kat">#REF!</definedName>
    <definedName name="nem" localSheetId="32">#REF!</definedName>
    <definedName name="nem">#REF!</definedName>
    <definedName name="_xlnm.Print_Titles" localSheetId="0">'1.a sz. Önkormányzat 2022. '!$A:$C,'1.a sz. Önkormányzat 2022. '!$1:$6</definedName>
    <definedName name="_xlnm.Print_Titles" localSheetId="1">'1.b sz. Önkormányzat 2022.'!$A:$C,'1.b sz. Önkormányzat 2022.'!$1:$6</definedName>
    <definedName name="_xlnm.Print_Titles" localSheetId="21">'11.b.sz. Műk.célú tám.ÁHbelül'!$A:$D</definedName>
    <definedName name="_xlnm.Print_Titles" localSheetId="22">'12.sz.Felh.célú tám.ÁHbelül'!$A:$D</definedName>
    <definedName name="_xlnm.Print_Titles" localSheetId="47">'12.sz.függ.Tartalékok vált.'!$A:$D,'12.sz.függ.Tartalékok vált.'!$2:$3</definedName>
    <definedName name="_xlnm.Print_Titles" localSheetId="23">'13.sz. Közhatalmi bevételek'!$A:$D</definedName>
    <definedName name="_xlnm.Print_Titles" localSheetId="25">'15.sz.mell. Létszámtábla'!$2:$2</definedName>
    <definedName name="_xlnm.Print_Titles" localSheetId="2">'2.1. sz. PMH'!$A:$C</definedName>
    <definedName name="_xlnm.Print_Titles" localSheetId="11">'2.10. sz. Intézmények összesen'!$A:$C</definedName>
    <definedName name="_xlnm.Print_Titles" localSheetId="3">'2.2. sz. Hétszínvirág Óvoda'!$A:$C</definedName>
    <definedName name="_xlnm.Print_Titles" localSheetId="4">'2.3. sz. Mese Óvoda'!$A:$C</definedName>
    <definedName name="_xlnm.Print_Titles" localSheetId="5">'2.4. sz. Bölcsőde'!$A:$C</definedName>
    <definedName name="_xlnm.Print_Titles" localSheetId="6">'2.5. sz. Gyermekjóléti'!$A:$C</definedName>
    <definedName name="_xlnm.Print_Titles" localSheetId="7">'2.6 sz. Területi'!$A:$C</definedName>
    <definedName name="_xlnm.Print_Titles" localSheetId="8">'2.7. sz. Könyvtár'!$A:$C</definedName>
    <definedName name="_xlnm.Print_Titles" localSheetId="9">'2.8. sz. Műv.Ház'!$A:$C</definedName>
    <definedName name="_xlnm.Print_Titles" localSheetId="10">'2.9. sz. Szivárvány Ó.'!$A:$C</definedName>
    <definedName name="_xlnm.Print_Titles" localSheetId="12">'3. sz.Városi szintű összesen'!$A:$C,'3. sz.Városi szintű összesen'!$1:$6</definedName>
    <definedName name="_xlnm.Print_Titles" localSheetId="13">'4.sz.Felhalm.c.pe.átadás'!$A:$D</definedName>
    <definedName name="_xlnm.Print_Titles" localSheetId="15">'6.sz. Beruházások'!$A:$D,'6.sz. Beruházások'!$1:$6</definedName>
    <definedName name="_xlnm.Print_Titles" localSheetId="31">'6.sz.tájék.tábla Hitelképes '!$A:$B</definedName>
    <definedName name="_xlnm.Print_Titles" localSheetId="16">'7. sz. Felújítások'!$A:$D,'7. sz. Felújítások'!$4:$6</definedName>
    <definedName name="_xlnm.Print_Titles" localSheetId="17">'8.sz.Tartalékok'!$1:$4</definedName>
    <definedName name="_xlnm.Print_Area" localSheetId="0">'1.a sz. Önkormányzat 2022. '!$A$1:$II$50</definedName>
    <definedName name="_xlnm.Print_Area" localSheetId="1">'1.b sz. Önkormányzat 2022.'!$A$1:$CI$50</definedName>
    <definedName name="_xlnm.Print_Area" localSheetId="36">'1.sz.függ.Önkormány bev-kiad'!$A$1:$X$1263</definedName>
    <definedName name="_xlnm.Print_Area" localSheetId="26">'1.sz.tájék.tábla Közvetett tám'!$A$1:$J$30</definedName>
    <definedName name="_xlnm.Print_Area" localSheetId="45">'10.sz.függ.József A.Műv.Ház'!$A$1:$X$154</definedName>
    <definedName name="_xlnm.Print_Area" localSheetId="19">'10.sz.Intézményfinanszírozás'!$A$1:$H$16</definedName>
    <definedName name="_xlnm.Print_Area" localSheetId="20">'11.a.sz. Állami támogatás'!$A$1:$F$99</definedName>
    <definedName name="_xlnm.Print_Area" localSheetId="21">'11.b.sz. Műk.célú tám.ÁHbelül'!$A$1:$AD$28</definedName>
    <definedName name="_xlnm.Print_Area" localSheetId="46">'11.sz.függ.Mindösszesen'!$A$1:$S$104</definedName>
    <definedName name="_xlnm.Print_Area" localSheetId="22">'12.sz.Felh.célú tám.ÁHbelül'!$A$1:$L$16</definedName>
    <definedName name="_xlnm.Print_Area" localSheetId="47">'12.sz.függ.Tartalékok vált.'!$A$1:$AX$344</definedName>
    <definedName name="_xlnm.Print_Area" localSheetId="23">'13.sz. Közhatalmi bevételek'!$A$1:$R$19</definedName>
    <definedName name="_xlnm.Print_Area" localSheetId="24">'14.sz.Felhalmozási bev'!$A$1:$R$23</definedName>
    <definedName name="_xlnm.Print_Area" localSheetId="25">'15.sz.mell. Létszámtábla'!$A$1:$H$54</definedName>
    <definedName name="_xlnm.Print_Area" localSheetId="2">'2.1. sz. PMH'!$A$1:$AC$51</definedName>
    <definedName name="_xlnm.Print_Area" localSheetId="11">'2.10. sz. Intézmények összesen'!$A$1:$K$51</definedName>
    <definedName name="_xlnm.Print_Area" localSheetId="3">'2.2. sz. Hétszínvirág Óvoda'!$A$1:$U$51</definedName>
    <definedName name="_xlnm.Print_Area" localSheetId="4">'2.3. sz. Mese Óvoda'!$A$1:$Q$51</definedName>
    <definedName name="_xlnm.Print_Area" localSheetId="5">'2.4. sz. Bölcsőde'!$A$1:$O$51</definedName>
    <definedName name="_xlnm.Print_Area" localSheetId="6">'2.5. sz. Gyermekjóléti'!$A$1:$S$51</definedName>
    <definedName name="_xlnm.Print_Area" localSheetId="7">'2.6 sz. Területi'!$A$1:$AQ$51</definedName>
    <definedName name="_xlnm.Print_Area" localSheetId="8">'2.7. sz. Könyvtár'!$A$1:$U$51</definedName>
    <definedName name="_xlnm.Print_Area" localSheetId="9">'2.8. sz. Műv.Ház'!$A$1:$U$51</definedName>
    <definedName name="_xlnm.Print_Area" localSheetId="10">'2.9. sz. Szivárvány Ó.'!$A$1:$S$51</definedName>
    <definedName name="_xlnm.Print_Area" localSheetId="37">'2.sz.függ.PMH bev-kiad'!$A$1:$X$207</definedName>
    <definedName name="_xlnm.Print_Area" localSheetId="27">'2.sz.tájék.tábla Mérlegszerű'!$A$1:$J$40</definedName>
    <definedName name="_xlnm.Print_Area" localSheetId="12">'3. sz.Városi szintű összesen'!$A$1:$M$50</definedName>
    <definedName name="_xlnm.Print_Area" localSheetId="38">'3.sz.függ.Ter.Gond. '!$A$1:$X$305</definedName>
    <definedName name="_xlnm.Print_Area" localSheetId="28">'3.sz.tájék.tábla Gördülő'!$A$1:$J$68</definedName>
    <definedName name="_xlnm.Print_Area" localSheetId="13">'4.sz.Felhalm.c.pe.átadás'!$A$1:$Z$26</definedName>
    <definedName name="_xlnm.Print_Area" localSheetId="39">'4.sz.függ.Könyvtár '!$A$1:$X$121</definedName>
    <definedName name="_xlnm.Print_Area" localSheetId="29">'4.sz.tájék.táb. Többéves'!$A$1:$I$17</definedName>
    <definedName name="_xlnm.Print_Area" localSheetId="40">'5.sz.függ.Hétszínvirág Ó. '!$A$1:$X$147</definedName>
    <definedName name="_xlnm.Print_Area" localSheetId="14">'5.sz.Műk.c.pe.átadás'!$A$1:$N$132</definedName>
    <definedName name="_xlnm.Print_Area" localSheetId="30">'5.sz.tájék.táb Adósságszolgálat'!$A$1:$E$47</definedName>
    <definedName name="_xlnm.Print_Area" localSheetId="15">'6.sz. Beruházások'!$A$1:$Z$184</definedName>
    <definedName name="_xlnm.Print_Area" localSheetId="41">'6.sz.függ.Mese Ó.  '!$A$1:$X$138</definedName>
    <definedName name="_xlnm.Print_Area" localSheetId="31">'6.sz.tájék.tábla Hitelképes '!$A$1:$T$47</definedName>
    <definedName name="_xlnm.Print_Area" localSheetId="16">'7. sz. Felújítások'!$A$1:$T$38</definedName>
    <definedName name="_xlnm.Print_Area" localSheetId="42">'7.sz.függ.Bölcsőde'!$A$1:$X$155</definedName>
    <definedName name="_xlnm.Print_Area" localSheetId="32">'7.sz.tájék.táb.Likviditási  '!$A$1:$P$30</definedName>
    <definedName name="_xlnm.Print_Area" localSheetId="43">'8.sz.függ.Gyermekjóléti  '!$A$1:$X$103</definedName>
    <definedName name="_xlnm.Print_Area" localSheetId="33">'8.sz.tájék.tábla Ütemterv'!$A$1:$P$29</definedName>
    <definedName name="_xlnm.Print_Area" localSheetId="17">'8.sz.Tartalékok'!$A$1:$H$74</definedName>
    <definedName name="_xlnm.Print_Area" localSheetId="34">'9. sz. tájék.tábla EU-s pály.'!$A$1:$E$21</definedName>
    <definedName name="_xlnm.Print_Area" localSheetId="18">'9.sz. Szociális'!$A$1:$F$22</definedName>
    <definedName name="_xlnm.Print_Area" localSheetId="44">'9.sz.függ.Szivárvány Ó.'!$A$1:$X$140</definedName>
    <definedName name="oooooooooooo" localSheetId="1">#REF!</definedName>
    <definedName name="oooooooooooo" localSheetId="36">#REF!</definedName>
    <definedName name="oooooooooooo" localSheetId="35">#REF!</definedName>
    <definedName name="oooooooooooo" localSheetId="45">#REF!</definedName>
    <definedName name="oooooooooooo" localSheetId="20">#REF!</definedName>
    <definedName name="oooooooooooo" localSheetId="46">#REF!</definedName>
    <definedName name="oooooooooooo" localSheetId="47">#REF!</definedName>
    <definedName name="oooooooooooo" localSheetId="25">#REF!</definedName>
    <definedName name="oooooooooooo" localSheetId="37">#REF!</definedName>
    <definedName name="oooooooooooo" localSheetId="38">#REF!</definedName>
    <definedName name="oooooooooooo" localSheetId="39">#REF!</definedName>
    <definedName name="oooooooooooo" localSheetId="40">#REF!</definedName>
    <definedName name="oooooooooooo" localSheetId="41">#REF!</definedName>
    <definedName name="oooooooooooo" localSheetId="42">#REF!</definedName>
    <definedName name="oooooooooooo" localSheetId="32">#REF!</definedName>
    <definedName name="oooooooooooo" localSheetId="43">#REF!</definedName>
    <definedName name="oooooooooooo" localSheetId="44">#REF!</definedName>
    <definedName name="oooooooooooo">#REF!</definedName>
    <definedName name="pppppp" localSheetId="1">#REF!</definedName>
    <definedName name="pppppp" localSheetId="36">#REF!</definedName>
    <definedName name="pppppp" localSheetId="35">#REF!</definedName>
    <definedName name="pppppp" localSheetId="45">#REF!</definedName>
    <definedName name="pppppp" localSheetId="20">#REF!</definedName>
    <definedName name="pppppp" localSheetId="46">#REF!</definedName>
    <definedName name="pppppp" localSheetId="47">#REF!</definedName>
    <definedName name="pppppp" localSheetId="25">#REF!</definedName>
    <definedName name="pppppp" localSheetId="37">#REF!</definedName>
    <definedName name="pppppp" localSheetId="38">#REF!</definedName>
    <definedName name="pppppp" localSheetId="39">#REF!</definedName>
    <definedName name="pppppp" localSheetId="40">#REF!</definedName>
    <definedName name="pppppp" localSheetId="41">#REF!</definedName>
    <definedName name="pppppp" localSheetId="42">#REF!</definedName>
    <definedName name="pppppp" localSheetId="32">#REF!</definedName>
    <definedName name="pppppp" localSheetId="43">#REF!</definedName>
    <definedName name="pppppp" localSheetId="44">#REF!</definedName>
    <definedName name="pppppp">#REF!</definedName>
    <definedName name="qqqqq" localSheetId="1">#REF!</definedName>
    <definedName name="qqqqq" localSheetId="36">#REF!</definedName>
    <definedName name="qqqqq" localSheetId="35">#REF!</definedName>
    <definedName name="qqqqq" localSheetId="45">#REF!</definedName>
    <definedName name="qqqqq" localSheetId="20">#REF!</definedName>
    <definedName name="qqqqq" localSheetId="46">#REF!</definedName>
    <definedName name="qqqqq" localSheetId="47">#REF!</definedName>
    <definedName name="qqqqq" localSheetId="25">#REF!</definedName>
    <definedName name="qqqqq" localSheetId="37">#REF!</definedName>
    <definedName name="qqqqq" localSheetId="38">#REF!</definedName>
    <definedName name="qqqqq" localSheetId="39">#REF!</definedName>
    <definedName name="qqqqq" localSheetId="40">#REF!</definedName>
    <definedName name="qqqqq" localSheetId="41">#REF!</definedName>
    <definedName name="qqqqq" localSheetId="42">#REF!</definedName>
    <definedName name="qqqqq" localSheetId="32">#REF!</definedName>
    <definedName name="qqqqq" localSheetId="43">#REF!</definedName>
    <definedName name="qqqqq" localSheetId="44">#REF!</definedName>
    <definedName name="qqqqq">#REF!</definedName>
    <definedName name="rrrrrrrrrrr" localSheetId="1">#REF!</definedName>
    <definedName name="rrrrrrrrrrr" localSheetId="36">#REF!</definedName>
    <definedName name="rrrrrrrrrrr" localSheetId="35">#REF!</definedName>
    <definedName name="rrrrrrrrrrr" localSheetId="45">#REF!</definedName>
    <definedName name="rrrrrrrrrrr" localSheetId="46">#REF!</definedName>
    <definedName name="rrrrrrrrrrr" localSheetId="47">#REF!</definedName>
    <definedName name="rrrrrrrrrrr" localSheetId="37">#REF!</definedName>
    <definedName name="rrrrrrrrrrr" localSheetId="38">#REF!</definedName>
    <definedName name="rrrrrrrrrrr" localSheetId="39">#REF!</definedName>
    <definedName name="rrrrrrrrrrr" localSheetId="40">#REF!</definedName>
    <definedName name="rrrrrrrrrrr" localSheetId="41">#REF!</definedName>
    <definedName name="rrrrrrrrrrr" localSheetId="42">#REF!</definedName>
    <definedName name="rrrrrrrrrrr" localSheetId="32">#REF!</definedName>
    <definedName name="rrrrrrrrrrr" localSheetId="43">#REF!</definedName>
    <definedName name="rrrrrrrrrrr" localSheetId="44">#REF!</definedName>
    <definedName name="rrrrrrrrrrr">#REF!</definedName>
    <definedName name="Szamviteli_kat" localSheetId="0">#REF!</definedName>
    <definedName name="Szamviteli_kat" localSheetId="1">#REF!</definedName>
    <definedName name="Szamviteli_kat" localSheetId="36">#REF!</definedName>
    <definedName name="Szamviteli_kat" localSheetId="35">#REF!</definedName>
    <definedName name="Szamviteli_kat" localSheetId="45">#REF!</definedName>
    <definedName name="Szamviteli_kat" localSheetId="46">#REF!</definedName>
    <definedName name="Szamviteli_kat" localSheetId="47">#REF!</definedName>
    <definedName name="Szamviteli_kat" localSheetId="2">#REF!</definedName>
    <definedName name="Szamviteli_kat" localSheetId="11">#REF!</definedName>
    <definedName name="Szamviteli_kat" localSheetId="3">#REF!</definedName>
    <definedName name="Szamviteli_kat" localSheetId="4">#REF!</definedName>
    <definedName name="Szamviteli_kat" localSheetId="5">#REF!</definedName>
    <definedName name="Szamviteli_kat" localSheetId="6">#REF!</definedName>
    <definedName name="Szamviteli_kat" localSheetId="7">#REF!</definedName>
    <definedName name="Szamviteli_kat" localSheetId="8">#REF!</definedName>
    <definedName name="Szamviteli_kat" localSheetId="37">#REF!</definedName>
    <definedName name="Szamviteli_kat" localSheetId="12">#REF!</definedName>
    <definedName name="Szamviteli_kat" localSheetId="38">#REF!</definedName>
    <definedName name="Szamviteli_kat" localSheetId="28">#REF!</definedName>
    <definedName name="Szamviteli_kat" localSheetId="39">#REF!</definedName>
    <definedName name="Szamviteli_kat" localSheetId="40">#REF!</definedName>
    <definedName name="Szamviteli_kat" localSheetId="15">#REF!</definedName>
    <definedName name="Szamviteli_kat" localSheetId="41">#REF!</definedName>
    <definedName name="Szamviteli_kat" localSheetId="42">#REF!</definedName>
    <definedName name="Szamviteli_kat" localSheetId="32">#REF!</definedName>
    <definedName name="Szamviteli_kat" localSheetId="43">#REF!</definedName>
    <definedName name="Szamviteli_kat" localSheetId="44">#REF!</definedName>
    <definedName name="Szamviteli_kat">#REF!</definedName>
  </definedNames>
  <calcPr calcId="191029"/>
</workbook>
</file>

<file path=xl/calcChain.xml><?xml version="1.0" encoding="utf-8"?>
<calcChain xmlns="http://schemas.openxmlformats.org/spreadsheetml/2006/main">
  <c r="I17" i="92" l="1"/>
  <c r="E11" i="92"/>
  <c r="F11" i="92"/>
  <c r="G11" i="92"/>
  <c r="H11" i="92"/>
  <c r="D11" i="92"/>
  <c r="E13" i="92"/>
  <c r="D13" i="92"/>
  <c r="D12" i="92"/>
  <c r="E9" i="98"/>
  <c r="F9" i="98"/>
  <c r="D9" i="98"/>
  <c r="F7" i="98"/>
  <c r="C19" i="97"/>
  <c r="D17" i="97"/>
  <c r="D19" i="97" s="1"/>
  <c r="C15" i="97"/>
  <c r="O27" i="96" l="1"/>
  <c r="N27" i="96"/>
  <c r="M27" i="96"/>
  <c r="L27" i="96"/>
  <c r="K27" i="96"/>
  <c r="J27" i="96"/>
  <c r="O15" i="96"/>
  <c r="N15" i="96"/>
  <c r="M15" i="96"/>
  <c r="L15" i="96"/>
  <c r="K15" i="96"/>
  <c r="L48" i="119"/>
  <c r="L47" i="119"/>
  <c r="L46" i="119"/>
  <c r="K46" i="119"/>
  <c r="O42" i="119"/>
  <c r="K40" i="119"/>
  <c r="K39" i="119"/>
  <c r="I39" i="119"/>
  <c r="L38" i="119"/>
  <c r="L49" i="119" s="1"/>
  <c r="K38" i="119"/>
  <c r="K50" i="119" s="1"/>
  <c r="Q36" i="119"/>
  <c r="O35" i="119"/>
  <c r="S33" i="119"/>
  <c r="S30" i="119"/>
  <c r="Q30" i="119"/>
  <c r="U28" i="119"/>
  <c r="S28" i="119"/>
  <c r="G27" i="119"/>
  <c r="F27" i="119"/>
  <c r="Q26" i="119"/>
  <c r="O26" i="119"/>
  <c r="O27" i="119" s="1"/>
  <c r="N26" i="119"/>
  <c r="N27" i="119" s="1"/>
  <c r="M26" i="119"/>
  <c r="L26" i="119"/>
  <c r="K26" i="119"/>
  <c r="K33" i="119" s="1"/>
  <c r="J26" i="119"/>
  <c r="J27" i="119" s="1"/>
  <c r="O25" i="119"/>
  <c r="N25" i="119"/>
  <c r="M25" i="119"/>
  <c r="M27" i="119" s="1"/>
  <c r="L25" i="119"/>
  <c r="L27" i="119" s="1"/>
  <c r="K25" i="119"/>
  <c r="J25" i="119"/>
  <c r="I25" i="119"/>
  <c r="I27" i="119" s="1"/>
  <c r="H25" i="119"/>
  <c r="H27" i="119" s="1"/>
  <c r="G25" i="119"/>
  <c r="F25" i="119"/>
  <c r="E25" i="119"/>
  <c r="E27" i="119" s="1"/>
  <c r="D25" i="119"/>
  <c r="D27" i="119" s="1"/>
  <c r="Q24" i="119"/>
  <c r="P24" i="119"/>
  <c r="R24" i="119" s="1"/>
  <c r="S24" i="119" s="1"/>
  <c r="Q23" i="119"/>
  <c r="P23" i="119"/>
  <c r="R23" i="119" s="1"/>
  <c r="S23" i="119" s="1"/>
  <c r="Q22" i="119"/>
  <c r="P22" i="119"/>
  <c r="R22" i="119" s="1"/>
  <c r="S22" i="119" s="1"/>
  <c r="Q21" i="119"/>
  <c r="P21" i="119"/>
  <c r="R21" i="119" s="1"/>
  <c r="S21" i="119" s="1"/>
  <c r="Q20" i="119"/>
  <c r="P20" i="119"/>
  <c r="R20" i="119" s="1"/>
  <c r="S20" i="119" s="1"/>
  <c r="Q19" i="119"/>
  <c r="P19" i="119"/>
  <c r="R19" i="119" s="1"/>
  <c r="S19" i="119" s="1"/>
  <c r="Q18" i="119"/>
  <c r="P18" i="119"/>
  <c r="R18" i="119" s="1"/>
  <c r="S18" i="119" s="1"/>
  <c r="Q17" i="119"/>
  <c r="Q25" i="119" s="1"/>
  <c r="Q27" i="119" s="1"/>
  <c r="P17" i="119"/>
  <c r="R17" i="119" s="1"/>
  <c r="S17" i="119" s="1"/>
  <c r="R16" i="119"/>
  <c r="S16" i="119" s="1"/>
  <c r="J15" i="119"/>
  <c r="J28" i="119" s="1"/>
  <c r="F15" i="119"/>
  <c r="F28" i="119" s="1"/>
  <c r="Q14" i="119"/>
  <c r="O14" i="119"/>
  <c r="N14" i="119"/>
  <c r="N15" i="119" s="1"/>
  <c r="N28" i="119" s="1"/>
  <c r="M14" i="119"/>
  <c r="L14" i="119"/>
  <c r="K14" i="119"/>
  <c r="P14" i="119" s="1"/>
  <c r="R14" i="119" s="1"/>
  <c r="S14" i="119" s="1"/>
  <c r="O13" i="119"/>
  <c r="O15" i="119" s="1"/>
  <c r="O28" i="119" s="1"/>
  <c r="N13" i="119"/>
  <c r="M13" i="119"/>
  <c r="M15" i="119" s="1"/>
  <c r="M28" i="119" s="1"/>
  <c r="L13" i="119"/>
  <c r="L15" i="119" s="1"/>
  <c r="L28" i="119" s="1"/>
  <c r="K13" i="119"/>
  <c r="K15" i="119" s="1"/>
  <c r="J13" i="119"/>
  <c r="I13" i="119"/>
  <c r="I15" i="119" s="1"/>
  <c r="I28" i="119" s="1"/>
  <c r="H13" i="119"/>
  <c r="H15" i="119" s="1"/>
  <c r="H28" i="119" s="1"/>
  <c r="G13" i="119"/>
  <c r="G15" i="119" s="1"/>
  <c r="G28" i="119" s="1"/>
  <c r="F13" i="119"/>
  <c r="E13" i="119"/>
  <c r="E15" i="119" s="1"/>
  <c r="E28" i="119" s="1"/>
  <c r="D13" i="119"/>
  <c r="D15" i="119" s="1"/>
  <c r="Q12" i="119"/>
  <c r="P12" i="119"/>
  <c r="R12" i="119" s="1"/>
  <c r="S12" i="119" s="1"/>
  <c r="Q11" i="119"/>
  <c r="P11" i="119"/>
  <c r="R11" i="119" s="1"/>
  <c r="S11" i="119" s="1"/>
  <c r="Q10" i="119"/>
  <c r="P10" i="119"/>
  <c r="R10" i="119" s="1"/>
  <c r="S10" i="119" s="1"/>
  <c r="Q9" i="119"/>
  <c r="P9" i="119"/>
  <c r="R9" i="119" s="1"/>
  <c r="S9" i="119" s="1"/>
  <c r="Q8" i="119"/>
  <c r="P8" i="119"/>
  <c r="R8" i="119" s="1"/>
  <c r="S8" i="119" s="1"/>
  <c r="Q7" i="119"/>
  <c r="P7" i="119"/>
  <c r="R7" i="119" s="1"/>
  <c r="S7" i="119" s="1"/>
  <c r="V6" i="119"/>
  <c r="Q6" i="119"/>
  <c r="Q13" i="119" s="1"/>
  <c r="Q15" i="119" s="1"/>
  <c r="P6" i="119"/>
  <c r="R6" i="119" s="1"/>
  <c r="S6" i="119" s="1"/>
  <c r="D28" i="119" l="1"/>
  <c r="D30" i="119"/>
  <c r="E5" i="119" s="1"/>
  <c r="E30" i="119" s="1"/>
  <c r="F5" i="119" s="1"/>
  <c r="F30" i="119" s="1"/>
  <c r="G5" i="119" s="1"/>
  <c r="G30" i="119" s="1"/>
  <c r="H5" i="119" s="1"/>
  <c r="H30" i="119" s="1"/>
  <c r="I5" i="119" s="1"/>
  <c r="I30" i="119" s="1"/>
  <c r="J5" i="119" s="1"/>
  <c r="J30" i="119" s="1"/>
  <c r="K5" i="119" s="1"/>
  <c r="K30" i="119" s="1"/>
  <c r="L5" i="119" s="1"/>
  <c r="L30" i="119" s="1"/>
  <c r="M5" i="119" s="1"/>
  <c r="M30" i="119" s="1"/>
  <c r="N5" i="119" s="1"/>
  <c r="N30" i="119" s="1"/>
  <c r="O5" i="119" s="1"/>
  <c r="O40" i="119"/>
  <c r="O44" i="119" s="1"/>
  <c r="K53" i="119"/>
  <c r="L55" i="119"/>
  <c r="O50" i="119"/>
  <c r="O51" i="119" s="1"/>
  <c r="P25" i="119"/>
  <c r="K27" i="119"/>
  <c r="K28" i="119" s="1"/>
  <c r="P26" i="119"/>
  <c r="R26" i="119" s="1"/>
  <c r="S26" i="119" s="1"/>
  <c r="P13" i="119"/>
  <c r="Q37" i="119" l="1"/>
  <c r="R41" i="119"/>
  <c r="R42" i="119" s="1"/>
  <c r="R45" i="119" s="1"/>
  <c r="O30" i="119"/>
  <c r="P31" i="119" s="1"/>
  <c r="R25" i="119"/>
  <c r="S25" i="119" s="1"/>
  <c r="P27" i="119"/>
  <c r="R27" i="119" s="1"/>
  <c r="S27" i="119" s="1"/>
  <c r="R13" i="119"/>
  <c r="S13" i="119" s="1"/>
  <c r="P15" i="119"/>
  <c r="Q32" i="119" l="1"/>
  <c r="S32" i="119" s="1"/>
  <c r="R15" i="119"/>
  <c r="S15" i="119" s="1"/>
  <c r="P28" i="119"/>
  <c r="C105" i="116" l="1"/>
  <c r="D105" i="116"/>
  <c r="E105" i="116"/>
  <c r="I105" i="116"/>
  <c r="K105" i="116"/>
  <c r="M105" i="116"/>
  <c r="O105" i="116"/>
  <c r="P105" i="116"/>
  <c r="Q105" i="116"/>
  <c r="R105" i="116"/>
  <c r="S105" i="116"/>
  <c r="L105" i="116"/>
  <c r="J50" i="31" l="1"/>
  <c r="J43" i="31"/>
  <c r="DW16" i="23"/>
  <c r="M16" i="23"/>
  <c r="J53" i="27" l="1"/>
  <c r="J54" i="27"/>
  <c r="T19" i="26"/>
  <c r="AI13" i="105"/>
  <c r="AI19" i="105"/>
  <c r="AM11" i="40"/>
  <c r="AE11" i="40"/>
  <c r="AO11" i="40"/>
  <c r="AO34" i="40"/>
  <c r="AC34" i="40"/>
  <c r="AM34" i="40"/>
  <c r="J294" i="108"/>
  <c r="J293" i="108"/>
  <c r="T293" i="108"/>
  <c r="T291" i="108"/>
  <c r="L16" i="104" l="1"/>
  <c r="AA11" i="34"/>
  <c r="G11" i="34"/>
  <c r="K11" i="34"/>
  <c r="AA34" i="34"/>
  <c r="G34" i="34"/>
  <c r="K33" i="34"/>
  <c r="AI11" i="40"/>
  <c r="AI34" i="40"/>
  <c r="AG11" i="40"/>
  <c r="AG34" i="40"/>
  <c r="AE34" i="40"/>
  <c r="AC11" i="40"/>
  <c r="O11" i="40"/>
  <c r="O34" i="40"/>
  <c r="M11" i="40"/>
  <c r="M34" i="40"/>
  <c r="K11" i="40"/>
  <c r="K34" i="40"/>
  <c r="G11" i="40"/>
  <c r="G34" i="40"/>
  <c r="J289" i="108"/>
  <c r="J290" i="108"/>
  <c r="J288" i="108"/>
  <c r="J287" i="108"/>
  <c r="J283" i="108"/>
  <c r="T290" i="108"/>
  <c r="T289" i="108"/>
  <c r="T288" i="108"/>
  <c r="T287" i="108"/>
  <c r="T286" i="108"/>
  <c r="T283" i="108"/>
  <c r="G11" i="74"/>
  <c r="G34" i="74"/>
  <c r="G11" i="37"/>
  <c r="G34" i="37"/>
  <c r="T134" i="110"/>
  <c r="S11" i="73"/>
  <c r="S34" i="73"/>
  <c r="I11" i="73"/>
  <c r="I34" i="73"/>
  <c r="G11" i="73"/>
  <c r="G34" i="73"/>
  <c r="J139" i="115"/>
  <c r="T139" i="115"/>
  <c r="T138" i="115"/>
  <c r="T137" i="115"/>
  <c r="K11" i="36"/>
  <c r="K34" i="36"/>
  <c r="I11" i="36"/>
  <c r="I34" i="36"/>
  <c r="G11" i="36"/>
  <c r="G34" i="36"/>
  <c r="T143" i="112"/>
  <c r="T142" i="112"/>
  <c r="I9" i="74" l="1"/>
  <c r="H130" i="114"/>
  <c r="Q9" i="34"/>
  <c r="G9" i="34"/>
  <c r="H191" i="107"/>
  <c r="H190" i="107"/>
  <c r="I9" i="36"/>
  <c r="H141" i="112"/>
  <c r="G11" i="39" l="1"/>
  <c r="G34" i="39"/>
  <c r="Q11" i="39"/>
  <c r="Q34" i="39"/>
  <c r="S11" i="35"/>
  <c r="S34" i="35"/>
  <c r="K11" i="35"/>
  <c r="K34" i="35"/>
  <c r="J108" i="109"/>
  <c r="J107" i="109"/>
  <c r="T108" i="109"/>
  <c r="T107" i="109"/>
  <c r="G11" i="38"/>
  <c r="G34" i="38"/>
  <c r="T129" i="111"/>
  <c r="J282" i="108"/>
  <c r="D64" i="25"/>
  <c r="AC33" i="23"/>
  <c r="F6" i="118" l="1"/>
  <c r="F93" i="101"/>
  <c r="BW30" i="105"/>
  <c r="J117" i="31"/>
  <c r="DQ16" i="23"/>
  <c r="M1242" i="106"/>
  <c r="J133" i="110" l="1"/>
  <c r="K9" i="35"/>
  <c r="H106" i="109"/>
  <c r="AM8" i="23"/>
  <c r="H1241" i="106"/>
  <c r="H189" i="107"/>
  <c r="H188" i="107"/>
  <c r="J136" i="115"/>
  <c r="AR334" i="117" l="1"/>
  <c r="D16" i="25"/>
  <c r="D65" i="25"/>
  <c r="F11" i="104"/>
  <c r="CA33" i="23"/>
  <c r="N14" i="103"/>
  <c r="N10" i="103"/>
  <c r="N7" i="103" s="1"/>
  <c r="AA34" i="23"/>
  <c r="F10" i="104"/>
  <c r="BU32" i="105"/>
  <c r="W33" i="23"/>
  <c r="T1234" i="106"/>
  <c r="BY10" i="23"/>
  <c r="BY33" i="23"/>
  <c r="CW10" i="23"/>
  <c r="CW33" i="23"/>
  <c r="CU10" i="23"/>
  <c r="CU33" i="23"/>
  <c r="J1232" i="106"/>
  <c r="T1232" i="106"/>
  <c r="T1231" i="106"/>
  <c r="N26" i="24"/>
  <c r="H26" i="24"/>
  <c r="N24" i="24"/>
  <c r="H24" i="24"/>
  <c r="EE17" i="23"/>
  <c r="EE33" i="23"/>
  <c r="DY17" i="23"/>
  <c r="DY33" i="23"/>
  <c r="N1230" i="106"/>
  <c r="T1230" i="106"/>
  <c r="N1229" i="106"/>
  <c r="T1229" i="106"/>
  <c r="D73" i="25"/>
  <c r="AU13" i="105"/>
  <c r="FQ10" i="23"/>
  <c r="I11" i="34" l="1"/>
  <c r="J187" i="107"/>
  <c r="T103" i="31"/>
  <c r="N103" i="31"/>
  <c r="CU16" i="23"/>
  <c r="M1224" i="106"/>
  <c r="F9" i="104"/>
  <c r="F8" i="104"/>
  <c r="F7" i="104"/>
  <c r="F6" i="104"/>
  <c r="F5" i="104" s="1"/>
  <c r="S1220" i="106"/>
  <c r="J281" i="108"/>
  <c r="T281" i="108"/>
  <c r="U9" i="35" l="1"/>
  <c r="I10" i="73"/>
  <c r="I9" i="73"/>
  <c r="P47" i="73"/>
  <c r="Q47" i="73"/>
  <c r="P48" i="73"/>
  <c r="P49" i="73" s="1"/>
  <c r="Q48" i="73"/>
  <c r="Q28" i="73"/>
  <c r="P29" i="73"/>
  <c r="Q29" i="73"/>
  <c r="P21" i="73"/>
  <c r="Q21" i="73"/>
  <c r="P22" i="73"/>
  <c r="Q22" i="73"/>
  <c r="P13" i="73"/>
  <c r="P28" i="73" s="1"/>
  <c r="P30" i="73" s="1"/>
  <c r="Q13" i="73"/>
  <c r="GK16" i="23"/>
  <c r="K10" i="35"/>
  <c r="U10" i="35" s="1"/>
  <c r="L47" i="35"/>
  <c r="M47" i="35"/>
  <c r="L48" i="35"/>
  <c r="M48" i="35"/>
  <c r="L38" i="35"/>
  <c r="M38" i="35"/>
  <c r="L39" i="35"/>
  <c r="M39" i="35"/>
  <c r="M28" i="35"/>
  <c r="L29" i="35"/>
  <c r="M29" i="35"/>
  <c r="M21" i="35"/>
  <c r="L22" i="35"/>
  <c r="M22" i="35"/>
  <c r="L13" i="35"/>
  <c r="L21" i="35" s="1"/>
  <c r="M13" i="35"/>
  <c r="J131" i="31"/>
  <c r="D28" i="25"/>
  <c r="Q26" i="26"/>
  <c r="Z20" i="26"/>
  <c r="R5" i="26"/>
  <c r="R26" i="26" s="1"/>
  <c r="Q5" i="26"/>
  <c r="Y15" i="26"/>
  <c r="Y16" i="26"/>
  <c r="Y17" i="26"/>
  <c r="Y18" i="26"/>
  <c r="Y19" i="26"/>
  <c r="Y20" i="26"/>
  <c r="Y14" i="26"/>
  <c r="J119" i="27"/>
  <c r="AM13" i="105"/>
  <c r="L28" i="35" l="1"/>
  <c r="L30" i="35" s="1"/>
  <c r="Q30" i="73"/>
  <c r="M49" i="35"/>
  <c r="L49" i="35"/>
  <c r="Q49" i="73"/>
  <c r="M30" i="35"/>
  <c r="E23" i="26" l="1"/>
  <c r="O11" i="38" l="1"/>
  <c r="J128" i="111"/>
  <c r="T18" i="118" l="1"/>
  <c r="U10" i="34"/>
  <c r="U9" i="34"/>
  <c r="U31" i="34"/>
  <c r="H18" i="103"/>
  <c r="N145" i="31"/>
  <c r="G17" i="34"/>
  <c r="G35" i="34"/>
  <c r="Q11" i="34"/>
  <c r="Q34" i="34"/>
  <c r="T147" i="31"/>
  <c r="N147" i="31"/>
  <c r="L147" i="31"/>
  <c r="K17" i="34"/>
  <c r="M179" i="107"/>
  <c r="J178" i="107"/>
  <c r="J133" i="115" l="1"/>
  <c r="T133" i="115"/>
  <c r="J139" i="112"/>
  <c r="T139" i="112"/>
  <c r="N176" i="31"/>
  <c r="L176" i="31"/>
  <c r="G17" i="73"/>
  <c r="M132" i="115"/>
  <c r="M11" i="37"/>
  <c r="J132" i="110"/>
  <c r="FI24" i="23"/>
  <c r="FI23" i="23"/>
  <c r="P1210" i="106"/>
  <c r="T159" i="31"/>
  <c r="N159" i="31"/>
  <c r="G17" i="40"/>
  <c r="J280" i="108"/>
  <c r="M280" i="108"/>
  <c r="Z24" i="118"/>
  <c r="Y11" i="40"/>
  <c r="Y31" i="40"/>
  <c r="J279" i="108"/>
  <c r="I11" i="40"/>
  <c r="I34" i="40"/>
  <c r="J277" i="108"/>
  <c r="T277" i="108"/>
  <c r="J276" i="108"/>
  <c r="T276" i="108"/>
  <c r="J275" i="108"/>
  <c r="T275" i="108"/>
  <c r="O17" i="103"/>
  <c r="Q17" i="103"/>
  <c r="O18" i="103"/>
  <c r="Q18" i="103"/>
  <c r="O20" i="103"/>
  <c r="Q20" i="103"/>
  <c r="O22" i="103"/>
  <c r="Q22" i="103"/>
  <c r="I15" i="103"/>
  <c r="I23" i="103" s="1"/>
  <c r="J15" i="103"/>
  <c r="J23" i="103" s="1"/>
  <c r="I19" i="103"/>
  <c r="J19" i="103"/>
  <c r="F19" i="103"/>
  <c r="Q19" i="103" s="1"/>
  <c r="G19" i="103"/>
  <c r="G15" i="103" s="1"/>
  <c r="H19" i="103"/>
  <c r="K19" i="103"/>
  <c r="L19" i="103"/>
  <c r="M19" i="103"/>
  <c r="N19" i="103"/>
  <c r="E19" i="103"/>
  <c r="O19" i="103" s="1"/>
  <c r="J70" i="27"/>
  <c r="D67" i="25"/>
  <c r="AS13" i="105"/>
  <c r="BO10" i="23" l="1"/>
  <c r="J1207" i="106"/>
  <c r="P1206" i="106" l="1"/>
  <c r="T154" i="31"/>
  <c r="N154" i="31"/>
  <c r="G17" i="74"/>
  <c r="M129" i="114"/>
  <c r="J129" i="114"/>
  <c r="F73" i="101"/>
  <c r="F67" i="101"/>
  <c r="F66" i="101"/>
  <c r="F63" i="101"/>
  <c r="F58" i="101"/>
  <c r="F42" i="101"/>
  <c r="F37" i="101"/>
  <c r="F30" i="101"/>
  <c r="F26" i="101"/>
  <c r="D38" i="25"/>
  <c r="Q1204" i="106"/>
  <c r="F75" i="101"/>
  <c r="F74" i="101"/>
  <c r="F60" i="101"/>
  <c r="D63" i="25"/>
  <c r="Q1202" i="106"/>
  <c r="F86" i="101"/>
  <c r="F90" i="101" s="1"/>
  <c r="J133" i="31"/>
  <c r="GU16" i="23"/>
  <c r="M1199" i="106"/>
  <c r="BS33" i="105"/>
  <c r="FM10" i="23"/>
  <c r="J1196" i="106"/>
  <c r="DG8" i="23"/>
  <c r="H1194" i="106"/>
  <c r="J1193" i="106"/>
  <c r="J1192" i="106"/>
  <c r="BC10" i="23"/>
  <c r="BI10" i="23"/>
  <c r="J1191" i="106"/>
  <c r="J1190" i="106"/>
  <c r="AM10" i="23"/>
  <c r="J1189" i="106"/>
  <c r="J1188" i="106"/>
  <c r="AK10" i="23"/>
  <c r="J1186" i="106"/>
  <c r="L10" i="118"/>
  <c r="BK10" i="105"/>
  <c r="BK30" i="105"/>
  <c r="DG10" i="23"/>
  <c r="DG33" i="23"/>
  <c r="DA10" i="23"/>
  <c r="DA33" i="23"/>
  <c r="J1183" i="106"/>
  <c r="T1183" i="106"/>
  <c r="CS10" i="23"/>
  <c r="CS33" i="23"/>
  <c r="CQ10" i="23"/>
  <c r="CQ33" i="23"/>
  <c r="J1181" i="106"/>
  <c r="T1181" i="106"/>
  <c r="J1180" i="106"/>
  <c r="T1180" i="106"/>
  <c r="BW39" i="105" l="1"/>
  <c r="AC32" i="23"/>
  <c r="J273" i="108" l="1"/>
  <c r="J271" i="108" l="1"/>
  <c r="J128" i="114"/>
  <c r="J127" i="114"/>
  <c r="O11" i="73"/>
  <c r="J131" i="115"/>
  <c r="K11" i="37"/>
  <c r="J131" i="110"/>
  <c r="P1171" i="106" l="1"/>
  <c r="T175" i="31"/>
  <c r="N175" i="31"/>
  <c r="Q17" i="35"/>
  <c r="Q11" i="35"/>
  <c r="M102" i="109"/>
  <c r="J138" i="112"/>
  <c r="J127" i="111"/>
  <c r="ES10" i="23"/>
  <c r="J1170" i="106"/>
  <c r="AK8" i="23"/>
  <c r="H1169" i="106"/>
  <c r="D17" i="25"/>
  <c r="AA33" i="23"/>
  <c r="T1167" i="106"/>
  <c r="J177" i="107"/>
  <c r="T132" i="31"/>
  <c r="J132" i="31"/>
  <c r="GM16" i="23"/>
  <c r="M1164" i="106"/>
  <c r="T8" i="31" l="1"/>
  <c r="J8" i="31"/>
  <c r="HG16" i="23"/>
  <c r="CI16" i="105" s="1"/>
  <c r="M1161" i="106"/>
  <c r="T81" i="31"/>
  <c r="J81" i="31"/>
  <c r="F81" i="31" s="1"/>
  <c r="U81" i="31" s="1"/>
  <c r="AG16" i="23"/>
  <c r="M1160" i="106"/>
  <c r="E81" i="31"/>
  <c r="M1158" i="106"/>
  <c r="DQ10" i="23"/>
  <c r="J1156" i="106"/>
  <c r="J270" i="108"/>
  <c r="T270" i="108"/>
  <c r="G28" i="31"/>
  <c r="H28" i="31"/>
  <c r="K28" i="31"/>
  <c r="L28" i="31"/>
  <c r="M28" i="31"/>
  <c r="N28" i="31"/>
  <c r="O28" i="31"/>
  <c r="P28" i="31"/>
  <c r="Q28" i="31"/>
  <c r="R28" i="31"/>
  <c r="V28" i="31"/>
  <c r="W28" i="31"/>
  <c r="X28" i="31"/>
  <c r="Y28" i="31"/>
  <c r="Z28" i="31"/>
  <c r="J54" i="31"/>
  <c r="E55" i="31"/>
  <c r="F55" i="31"/>
  <c r="U55" i="31" s="1"/>
  <c r="J51" i="31"/>
  <c r="E52" i="31"/>
  <c r="F52" i="31"/>
  <c r="U52" i="31" s="1"/>
  <c r="EF46" i="23"/>
  <c r="EG46" i="23"/>
  <c r="EF47" i="23"/>
  <c r="EG47" i="23"/>
  <c r="EG48" i="23" s="1"/>
  <c r="EF37" i="23"/>
  <c r="EG37" i="23"/>
  <c r="EF38" i="23"/>
  <c r="EG38" i="23"/>
  <c r="EF27" i="23"/>
  <c r="EG27" i="23"/>
  <c r="EF20" i="23"/>
  <c r="EF21" i="23"/>
  <c r="EG21" i="23"/>
  <c r="EF18" i="23"/>
  <c r="EF28" i="23" s="1"/>
  <c r="EF29" i="23" s="1"/>
  <c r="EG18" i="23"/>
  <c r="EG20" i="23" s="1"/>
  <c r="EF12" i="23"/>
  <c r="EG12" i="23"/>
  <c r="DZ46" i="23"/>
  <c r="EA46" i="23"/>
  <c r="DZ47" i="23"/>
  <c r="EA47" i="23"/>
  <c r="EA48" i="23" s="1"/>
  <c r="DZ37" i="23"/>
  <c r="EA37" i="23"/>
  <c r="DZ38" i="23"/>
  <c r="EA38" i="23"/>
  <c r="DZ27" i="23"/>
  <c r="DZ29" i="23" s="1"/>
  <c r="EA27" i="23"/>
  <c r="DZ28" i="23"/>
  <c r="DZ20" i="23"/>
  <c r="DZ21" i="23"/>
  <c r="EA21" i="23"/>
  <c r="DZ18" i="23"/>
  <c r="EA18" i="23"/>
  <c r="EA28" i="23" s="1"/>
  <c r="EA29" i="23" s="1"/>
  <c r="DZ12" i="23"/>
  <c r="EA12" i="23"/>
  <c r="N1154" i="106"/>
  <c r="N1153" i="106"/>
  <c r="T74" i="31"/>
  <c r="J74" i="31"/>
  <c r="CE16" i="23"/>
  <c r="M1151" i="106"/>
  <c r="P1149" i="106"/>
  <c r="T152" i="31"/>
  <c r="N152" i="31"/>
  <c r="G17" i="37"/>
  <c r="M130" i="110"/>
  <c r="J130" i="110"/>
  <c r="J269" i="108"/>
  <c r="J89" i="113"/>
  <c r="G9" i="74"/>
  <c r="D43" i="25"/>
  <c r="J267" i="108"/>
  <c r="O11" i="39"/>
  <c r="J265" i="108"/>
  <c r="P1140" i="106"/>
  <c r="T153" i="31"/>
  <c r="N153" i="31"/>
  <c r="I17" i="37"/>
  <c r="I11" i="37"/>
  <c r="M129" i="110"/>
  <c r="J129" i="110"/>
  <c r="M128" i="110"/>
  <c r="J128" i="110"/>
  <c r="J88" i="113"/>
  <c r="EG28" i="23" l="1"/>
  <c r="EG29" i="23" s="1"/>
  <c r="EA20" i="23"/>
  <c r="EF48" i="23"/>
  <c r="DZ48" i="23"/>
  <c r="J126" i="111"/>
  <c r="T87" i="31"/>
  <c r="N87" i="31"/>
  <c r="BI16" i="23"/>
  <c r="BG10" i="23"/>
  <c r="AY10" i="23"/>
  <c r="J1137" i="106"/>
  <c r="M1136" i="106"/>
  <c r="J1135" i="106"/>
  <c r="J1134" i="106"/>
  <c r="GW10" i="23"/>
  <c r="AQ10" i="23"/>
  <c r="J1133" i="106"/>
  <c r="J1132" i="106"/>
  <c r="J29" i="31"/>
  <c r="T20" i="31"/>
  <c r="J20" i="31"/>
  <c r="T16" i="31"/>
  <c r="J16" i="31"/>
  <c r="T49" i="31"/>
  <c r="J49" i="31"/>
  <c r="T45" i="31"/>
  <c r="J45" i="31"/>
  <c r="T11" i="31"/>
  <c r="J11" i="31"/>
  <c r="BM10" i="23"/>
  <c r="O16" i="23"/>
  <c r="G16" i="23"/>
  <c r="E16" i="23"/>
  <c r="M1129" i="106"/>
  <c r="J1131" i="106"/>
  <c r="M1127" i="106"/>
  <c r="M1128" i="106"/>
  <c r="E34" i="31"/>
  <c r="F34" i="31"/>
  <c r="U34" i="31" s="1"/>
  <c r="M1126" i="106"/>
  <c r="M1125" i="106"/>
  <c r="F6" i="26"/>
  <c r="T78" i="31"/>
  <c r="T79" i="31"/>
  <c r="J78" i="31"/>
  <c r="J79" i="31"/>
  <c r="T24" i="31"/>
  <c r="J24" i="31"/>
  <c r="BE10" i="23"/>
  <c r="AE19" i="105"/>
  <c r="S16" i="23"/>
  <c r="J1124" i="106"/>
  <c r="J1123" i="106"/>
  <c r="M1120" i="106"/>
  <c r="O1122" i="106"/>
  <c r="M1121" i="106"/>
  <c r="D7" i="25"/>
  <c r="J1119" i="106"/>
  <c r="D58" i="25"/>
  <c r="J1117" i="106"/>
  <c r="E33" i="24"/>
  <c r="F33" i="24"/>
  <c r="O33" i="24" s="1"/>
  <c r="GC17" i="23"/>
  <c r="N1115" i="106"/>
  <c r="E19" i="24"/>
  <c r="F19" i="24"/>
  <c r="O19" i="24" s="1"/>
  <c r="Q17" i="23"/>
  <c r="N1113" i="106"/>
  <c r="E18" i="24"/>
  <c r="F18" i="24"/>
  <c r="O18" i="24" s="1"/>
  <c r="N1111" i="106"/>
  <c r="E17" i="24"/>
  <c r="F17" i="24"/>
  <c r="O17" i="24" s="1"/>
  <c r="N1109" i="106"/>
  <c r="N32" i="24"/>
  <c r="H32" i="24"/>
  <c r="N1107" i="106"/>
  <c r="J1105" i="106" l="1"/>
  <c r="J1103" i="106" l="1"/>
  <c r="E22" i="31"/>
  <c r="F22" i="31"/>
  <c r="U22" i="31" s="1"/>
  <c r="M1101" i="106"/>
  <c r="M1097" i="106"/>
  <c r="GM10" i="23"/>
  <c r="J1091" i="106"/>
  <c r="CU9" i="23"/>
  <c r="CW8" i="23"/>
  <c r="CW9" i="23"/>
  <c r="CK8" i="23"/>
  <c r="BY8" i="23"/>
  <c r="H1089" i="106"/>
  <c r="H1087" i="106"/>
  <c r="H1086" i="106"/>
  <c r="H1085" i="106"/>
  <c r="H1084" i="106"/>
  <c r="I9" i="38"/>
  <c r="K10" i="38"/>
  <c r="K9" i="38"/>
  <c r="G10" i="38"/>
  <c r="G9" i="38"/>
  <c r="H124" i="111"/>
  <c r="K10" i="34"/>
  <c r="K9" i="34"/>
  <c r="I9" i="34"/>
  <c r="G10" i="34"/>
  <c r="H175" i="107"/>
  <c r="H174" i="107"/>
  <c r="H173" i="107"/>
  <c r="H172" i="107"/>
  <c r="H101" i="109"/>
  <c r="K9" i="36"/>
  <c r="G9" i="36"/>
  <c r="H137" i="112"/>
  <c r="H136" i="112"/>
  <c r="H135" i="112"/>
  <c r="I10" i="37"/>
  <c r="I9" i="37"/>
  <c r="G10" i="37"/>
  <c r="G9" i="37"/>
  <c r="H127" i="110"/>
  <c r="H126" i="110"/>
  <c r="G9" i="39"/>
  <c r="H87" i="113"/>
  <c r="G10" i="73"/>
  <c r="U10" i="73" s="1"/>
  <c r="G9" i="73"/>
  <c r="U9" i="73" s="1"/>
  <c r="H130" i="115"/>
  <c r="H124" i="114" l="1"/>
  <c r="H123" i="114"/>
  <c r="K9" i="40"/>
  <c r="AE9" i="40"/>
  <c r="AA9" i="40"/>
  <c r="Y9" i="40"/>
  <c r="U9" i="40"/>
  <c r="S9" i="40"/>
  <c r="M9" i="40"/>
  <c r="K10" i="40"/>
  <c r="I9" i="40"/>
  <c r="G10" i="40"/>
  <c r="G9" i="40"/>
  <c r="H263" i="108"/>
  <c r="H262" i="108"/>
  <c r="H261" i="108"/>
  <c r="H260" i="108"/>
  <c r="H259" i="108"/>
  <c r="H258" i="108"/>
  <c r="H257" i="108"/>
  <c r="H256" i="108"/>
  <c r="H255" i="108"/>
  <c r="T134" i="31" l="1"/>
  <c r="N134" i="31"/>
  <c r="AC6" i="118"/>
  <c r="J134" i="31" l="1"/>
  <c r="F134" i="31" s="1"/>
  <c r="GU10" i="23"/>
  <c r="GW16" i="23"/>
  <c r="G23" i="103" l="1"/>
  <c r="H16" i="103"/>
  <c r="O8" i="103"/>
  <c r="Q8" i="103"/>
  <c r="O9" i="103"/>
  <c r="Q9" i="103"/>
  <c r="O10" i="103"/>
  <c r="Q10" i="103"/>
  <c r="O11" i="103"/>
  <c r="Q11" i="103"/>
  <c r="O12" i="103"/>
  <c r="Q12" i="103"/>
  <c r="O13" i="103"/>
  <c r="Q13" i="103"/>
  <c r="O14" i="103"/>
  <c r="Q14" i="103"/>
  <c r="L145" i="31"/>
  <c r="M169" i="107"/>
  <c r="M1074" i="106"/>
  <c r="I11" i="38"/>
  <c r="J121" i="111"/>
  <c r="J100" i="109"/>
  <c r="H1066" i="106"/>
  <c r="J168" i="107"/>
  <c r="H15" i="103" l="1"/>
  <c r="J126" i="115"/>
  <c r="H176" i="31"/>
  <c r="M125" i="115"/>
  <c r="J125" i="110"/>
  <c r="J132" i="112"/>
  <c r="T132" i="112"/>
  <c r="F53" i="27"/>
  <c r="G53" i="27"/>
  <c r="H53" i="27"/>
  <c r="I53" i="27"/>
  <c r="K53" i="27"/>
  <c r="L53" i="27"/>
  <c r="E53" i="27"/>
  <c r="Z19" i="26"/>
  <c r="T5" i="26"/>
  <c r="D53" i="25"/>
  <c r="S1059" i="106"/>
  <c r="J1058" i="106"/>
  <c r="M1057" i="106"/>
  <c r="N1056" i="106"/>
  <c r="J1053" i="106"/>
  <c r="J1054" i="106"/>
  <c r="J1051" i="106"/>
  <c r="J1050" i="106"/>
  <c r="O1049" i="106"/>
  <c r="H23" i="103" l="1"/>
  <c r="E121" i="31"/>
  <c r="F121" i="31"/>
  <c r="U121" i="31" s="1"/>
  <c r="D49" i="25"/>
  <c r="FS16" i="23"/>
  <c r="M1048" i="106"/>
  <c r="T114" i="31"/>
  <c r="J114" i="31"/>
  <c r="DG16" i="23"/>
  <c r="M1046" i="106"/>
  <c r="M1044" i="106"/>
  <c r="P1038" i="106"/>
  <c r="T176" i="31"/>
  <c r="M124" i="115"/>
  <c r="J124" i="115"/>
  <c r="Q7" i="103" l="1"/>
  <c r="T137" i="31"/>
  <c r="J137" i="31"/>
  <c r="T138" i="31"/>
  <c r="J138" i="31"/>
  <c r="HS16" i="23"/>
  <c r="HU16" i="23"/>
  <c r="M1037" i="106"/>
  <c r="M1036" i="106"/>
  <c r="E86" i="31"/>
  <c r="F86" i="31"/>
  <c r="U86" i="31" s="1"/>
  <c r="BC16" i="23"/>
  <c r="M1034" i="106"/>
  <c r="J1034" i="106"/>
  <c r="I11" i="74"/>
  <c r="J131" i="112"/>
  <c r="J129" i="112"/>
  <c r="J98" i="109"/>
  <c r="P1031" i="106"/>
  <c r="T174" i="31"/>
  <c r="N174" i="31"/>
  <c r="K17" i="35"/>
  <c r="M97" i="109"/>
  <c r="J97" i="109"/>
  <c r="J84" i="113"/>
  <c r="J254" i="108"/>
  <c r="P1030" i="106"/>
  <c r="T155" i="31"/>
  <c r="N155" i="31"/>
  <c r="I17" i="74"/>
  <c r="M121" i="114"/>
  <c r="J121" i="114"/>
  <c r="P1029" i="106"/>
  <c r="L154" i="31"/>
  <c r="M120" i="114"/>
  <c r="J120" i="114"/>
  <c r="BA10" i="23"/>
  <c r="J1028" i="106"/>
  <c r="J10" i="27"/>
  <c r="J6" i="27"/>
  <c r="AO13" i="105"/>
  <c r="P1025" i="106"/>
  <c r="T157" i="31"/>
  <c r="N157" i="31"/>
  <c r="I17" i="38"/>
  <c r="M119" i="111"/>
  <c r="J119" i="111"/>
  <c r="BO33" i="23"/>
  <c r="M7" i="103"/>
  <c r="O7" i="103" s="1"/>
  <c r="J253" i="108"/>
  <c r="T253" i="108"/>
  <c r="J252" i="108"/>
  <c r="T252" i="108"/>
  <c r="J251" i="108"/>
  <c r="T251" i="108"/>
  <c r="J250" i="108"/>
  <c r="T250" i="108"/>
  <c r="J118" i="111"/>
  <c r="F8" i="28"/>
  <c r="EI10" i="23"/>
  <c r="E11" i="105"/>
  <c r="J1019" i="106"/>
  <c r="J1017" i="106" l="1"/>
  <c r="J1016" i="106"/>
  <c r="T1014" i="106"/>
  <c r="AK9" i="23"/>
  <c r="AV344" i="117"/>
  <c r="AU344" i="117"/>
  <c r="J124" i="110" l="1"/>
  <c r="J82" i="113"/>
  <c r="T100" i="31" l="1"/>
  <c r="N100" i="31"/>
  <c r="CY16" i="23"/>
  <c r="CM16" i="23"/>
  <c r="M1005" i="106"/>
  <c r="M1004" i="106"/>
  <c r="BU10" i="23"/>
  <c r="J1003" i="106"/>
  <c r="J1002" i="106"/>
  <c r="M1000" i="106"/>
  <c r="H123" i="115"/>
  <c r="H122" i="115"/>
  <c r="P997" i="106"/>
  <c r="M122" i="110"/>
  <c r="J122" i="110"/>
  <c r="H121" i="110"/>
  <c r="H120" i="110"/>
  <c r="H128" i="112"/>
  <c r="H127" i="112"/>
  <c r="H126" i="112"/>
  <c r="H248" i="108"/>
  <c r="H247" i="108"/>
  <c r="H246" i="108"/>
  <c r="H245" i="108"/>
  <c r="H244" i="108"/>
  <c r="H243" i="108"/>
  <c r="H242" i="108"/>
  <c r="H241" i="108"/>
  <c r="H240" i="108"/>
  <c r="F13" i="101"/>
  <c r="J239" i="108" l="1"/>
  <c r="T239" i="108"/>
  <c r="H119" i="114"/>
  <c r="H118" i="114"/>
  <c r="H167" i="107"/>
  <c r="H166" i="107"/>
  <c r="CU8" i="23"/>
  <c r="H996" i="106"/>
  <c r="H995" i="106"/>
  <c r="H994" i="106"/>
  <c r="H993" i="106"/>
  <c r="H992" i="106"/>
  <c r="H991" i="106"/>
  <c r="BK10" i="23" l="1"/>
  <c r="J990" i="106"/>
  <c r="M989" i="106"/>
  <c r="M11" i="74"/>
  <c r="J117" i="114"/>
  <c r="D54" i="25"/>
  <c r="J119" i="110"/>
  <c r="J115" i="111"/>
  <c r="T129" i="31" l="1"/>
  <c r="J129" i="31"/>
  <c r="GC16" i="23"/>
  <c r="M978" i="106"/>
  <c r="M10" i="23"/>
  <c r="E126" i="31"/>
  <c r="F126" i="31"/>
  <c r="U126" i="31" s="1"/>
  <c r="FY16" i="23"/>
  <c r="M974" i="106"/>
  <c r="J24" i="27"/>
  <c r="J23" i="27" s="1"/>
  <c r="T18" i="31"/>
  <c r="J18" i="31"/>
  <c r="M970" i="106"/>
  <c r="M969" i="106"/>
  <c r="M968" i="106"/>
  <c r="CY10" i="23" l="1"/>
  <c r="CM10" i="23"/>
  <c r="J967" i="106"/>
  <c r="J966" i="106"/>
  <c r="J965" i="106"/>
  <c r="J963" i="106"/>
  <c r="J961" i="106"/>
  <c r="T961" i="106"/>
  <c r="J960" i="106"/>
  <c r="T960" i="106"/>
  <c r="J959" i="106"/>
  <c r="T959" i="106"/>
  <c r="J121" i="115"/>
  <c r="J956" i="106" l="1"/>
  <c r="J955" i="106"/>
  <c r="E12" i="24"/>
  <c r="F12" i="24"/>
  <c r="O12" i="24" s="1"/>
  <c r="E17" i="23" l="1"/>
  <c r="N954" i="106"/>
  <c r="E32" i="31"/>
  <c r="F32" i="31"/>
  <c r="U32" i="31" s="1"/>
  <c r="T30" i="31"/>
  <c r="J30" i="31"/>
  <c r="T29" i="31"/>
  <c r="M952" i="106"/>
  <c r="T92" i="31" l="1"/>
  <c r="N92" i="31"/>
  <c r="BU16" i="23"/>
  <c r="M951" i="106"/>
  <c r="J950" i="106"/>
  <c r="J949" i="106" l="1"/>
  <c r="J948" i="106"/>
  <c r="J947" i="106"/>
  <c r="J113" i="111"/>
  <c r="I10" i="34" l="1"/>
  <c r="D45" i="25"/>
  <c r="N16" i="24" l="1"/>
  <c r="H16" i="24"/>
  <c r="J122" i="112" l="1"/>
  <c r="T122" i="112"/>
  <c r="L177" i="31"/>
  <c r="H177" i="31"/>
  <c r="I17" i="73"/>
  <c r="M118" i="115"/>
  <c r="H117" i="115"/>
  <c r="J117" i="110"/>
  <c r="J116" i="110"/>
  <c r="J161" i="107"/>
  <c r="J115" i="110" l="1"/>
  <c r="M115" i="115"/>
  <c r="J96" i="109"/>
  <c r="J159" i="107" l="1"/>
  <c r="J158" i="107"/>
  <c r="S938" i="106"/>
  <c r="J111" i="111"/>
  <c r="AW10" i="23" l="1"/>
  <c r="J937" i="106"/>
  <c r="I86" i="101" l="1"/>
  <c r="F94" i="101"/>
  <c r="H157" i="107" l="1"/>
  <c r="M934" i="106"/>
  <c r="J933" i="106"/>
  <c r="Q11" i="40"/>
  <c r="J237" i="108"/>
  <c r="Z23" i="118"/>
  <c r="J235" i="108" l="1"/>
  <c r="J930" i="106"/>
  <c r="P5" i="26"/>
  <c r="P26" i="26" s="1"/>
  <c r="Z18" i="26"/>
  <c r="Z6" i="26"/>
  <c r="Z7" i="26"/>
  <c r="Z9" i="26"/>
  <c r="Z11" i="26"/>
  <c r="Z13" i="26"/>
  <c r="Z14" i="26"/>
  <c r="Z15" i="26"/>
  <c r="Z17" i="26"/>
  <c r="Z22" i="26"/>
  <c r="Z24" i="26"/>
  <c r="O5" i="26"/>
  <c r="O26" i="26" s="1"/>
  <c r="N14" i="24"/>
  <c r="H14" i="24"/>
  <c r="BP18" i="105"/>
  <c r="BQ18" i="105"/>
  <c r="BO19" i="105"/>
  <c r="BO18" i="105" s="1"/>
  <c r="BP46" i="105"/>
  <c r="BP48" i="105" s="1"/>
  <c r="BQ46" i="105"/>
  <c r="BP47" i="105"/>
  <c r="BQ47" i="105"/>
  <c r="BP37" i="105"/>
  <c r="BQ37" i="105"/>
  <c r="BP38" i="105"/>
  <c r="BQ38" i="105"/>
  <c r="BP27" i="105"/>
  <c r="BP29" i="105" s="1"/>
  <c r="BQ27" i="105"/>
  <c r="BP28" i="105"/>
  <c r="BQ28" i="105"/>
  <c r="BQ29" i="105" s="1"/>
  <c r="BP12" i="105"/>
  <c r="BP20" i="105" s="1"/>
  <c r="BQ12" i="105"/>
  <c r="BQ20" i="105" s="1"/>
  <c r="N928" i="106"/>
  <c r="N927" i="106"/>
  <c r="J234" i="108"/>
  <c r="T234" i="108"/>
  <c r="J233" i="108"/>
  <c r="T233" i="108"/>
  <c r="J232" i="108"/>
  <c r="T232" i="108"/>
  <c r="J231" i="108"/>
  <c r="T231" i="108"/>
  <c r="J230" i="108"/>
  <c r="T230" i="108"/>
  <c r="J80" i="113"/>
  <c r="BQ48" i="105" l="1"/>
  <c r="J108" i="111"/>
  <c r="J225" i="108" l="1"/>
  <c r="J115" i="114"/>
  <c r="J114" i="114"/>
  <c r="M113" i="114"/>
  <c r="T145" i="31"/>
  <c r="M156" i="107"/>
  <c r="J154" i="107" l="1"/>
  <c r="H112" i="114"/>
  <c r="H111" i="114"/>
  <c r="W9" i="40"/>
  <c r="S10" i="40"/>
  <c r="H224" i="108"/>
  <c r="H223" i="108"/>
  <c r="H222" i="108"/>
  <c r="H221" i="108"/>
  <c r="H220" i="108"/>
  <c r="H219" i="108"/>
  <c r="H218" i="108"/>
  <c r="H217" i="108"/>
  <c r="H216" i="108"/>
  <c r="H215" i="108"/>
  <c r="AA11" i="40"/>
  <c r="J214" i="108"/>
  <c r="H95" i="109"/>
  <c r="H121" i="112" l="1"/>
  <c r="H120" i="112"/>
  <c r="H119" i="112"/>
  <c r="H107" i="111"/>
  <c r="H106" i="111"/>
  <c r="H114" i="110" l="1"/>
  <c r="H113" i="110"/>
  <c r="H114" i="115" l="1"/>
  <c r="H113" i="115"/>
  <c r="H152" i="107" l="1"/>
  <c r="H151" i="107"/>
  <c r="H150" i="107"/>
  <c r="H149" i="107"/>
  <c r="J148" i="107"/>
  <c r="J147" i="107"/>
  <c r="E5" i="118"/>
  <c r="J145" i="107"/>
  <c r="J79" i="113"/>
  <c r="H77" i="113"/>
  <c r="J917" i="106"/>
  <c r="T131" i="31"/>
  <c r="GK10" i="23"/>
  <c r="M913" i="106"/>
  <c r="N911" i="106"/>
  <c r="M907" i="106"/>
  <c r="BW22" i="105"/>
  <c r="CM8" i="23" l="1"/>
  <c r="DA8" i="23"/>
  <c r="DC9" i="23"/>
  <c r="AW9" i="23"/>
  <c r="H904" i="106"/>
  <c r="H901" i="106"/>
  <c r="H898" i="106"/>
  <c r="H897" i="106"/>
  <c r="H895" i="106" l="1"/>
  <c r="H900" i="106"/>
  <c r="H899" i="106"/>
  <c r="H894" i="106"/>
  <c r="DM10" i="23"/>
  <c r="BQ10" i="23"/>
  <c r="J889" i="106"/>
  <c r="J66" i="31" l="1"/>
  <c r="E68" i="31"/>
  <c r="F68" i="31"/>
  <c r="U68" i="31" s="1"/>
  <c r="E67" i="31"/>
  <c r="F67" i="31"/>
  <c r="U67" i="31" s="1"/>
  <c r="BC10" i="105" l="1"/>
  <c r="J884" i="106"/>
  <c r="J883" i="106"/>
  <c r="J882" i="106"/>
  <c r="J880" i="106"/>
  <c r="M878" i="106"/>
  <c r="J94" i="109"/>
  <c r="J45" i="27"/>
  <c r="AQ13" i="105"/>
  <c r="H23" i="26"/>
  <c r="G5" i="26"/>
  <c r="F40" i="27"/>
  <c r="BO13" i="105"/>
  <c r="J46" i="27"/>
  <c r="L868" i="106"/>
  <c r="J143" i="107" l="1"/>
  <c r="T164" i="31"/>
  <c r="N164" i="31"/>
  <c r="Q17" i="40"/>
  <c r="J213" i="108"/>
  <c r="M213" i="108"/>
  <c r="P867" i="106"/>
  <c r="L155" i="31"/>
  <c r="M110" i="114"/>
  <c r="M109" i="114"/>
  <c r="J109" i="114"/>
  <c r="J108" i="114"/>
  <c r="J866" i="106"/>
  <c r="T866" i="106"/>
  <c r="T864" i="106"/>
  <c r="J863" i="106"/>
  <c r="J862" i="106"/>
  <c r="J44" i="27" l="1"/>
  <c r="J41" i="27" s="1"/>
  <c r="E130" i="31"/>
  <c r="F130" i="31"/>
  <c r="U130" i="31" s="1"/>
  <c r="M853" i="106"/>
  <c r="F20" i="28"/>
  <c r="D42" i="25"/>
  <c r="AC11" i="105"/>
  <c r="BQ8" i="23"/>
  <c r="N28" i="24"/>
  <c r="H28" i="24"/>
  <c r="FY17" i="23"/>
  <c r="N848" i="106"/>
  <c r="Q16" i="23"/>
  <c r="CH9" i="105" l="1"/>
  <c r="CI9" i="105"/>
  <c r="CH10" i="105"/>
  <c r="CH11" i="105"/>
  <c r="CI11" i="105"/>
  <c r="CH13" i="105"/>
  <c r="CI13" i="105"/>
  <c r="CH14" i="105"/>
  <c r="CI14" i="105"/>
  <c r="CH15" i="105"/>
  <c r="CI15" i="105"/>
  <c r="CH17" i="105"/>
  <c r="CI17" i="105"/>
  <c r="CH19" i="105"/>
  <c r="CI19" i="105"/>
  <c r="CH22" i="105"/>
  <c r="CI22" i="105"/>
  <c r="CH23" i="105"/>
  <c r="CI23" i="105"/>
  <c r="CH24" i="105"/>
  <c r="CI24" i="105"/>
  <c r="CH25" i="105"/>
  <c r="CI25" i="105"/>
  <c r="CH26" i="105"/>
  <c r="CI26" i="105"/>
  <c r="CH30" i="105"/>
  <c r="CI30" i="105"/>
  <c r="CH31" i="105"/>
  <c r="CI31" i="105"/>
  <c r="CH32" i="105"/>
  <c r="CI32" i="105"/>
  <c r="CH33" i="105"/>
  <c r="CI33" i="105"/>
  <c r="CH34" i="105"/>
  <c r="CI34" i="105"/>
  <c r="CH35" i="105"/>
  <c r="CI35" i="105"/>
  <c r="CH36" i="105"/>
  <c r="CI36" i="105"/>
  <c r="CH39" i="105"/>
  <c r="CI39" i="105"/>
  <c r="CH40" i="105"/>
  <c r="CI40" i="105"/>
  <c r="CH41" i="105"/>
  <c r="CI41" i="105"/>
  <c r="CH42" i="105"/>
  <c r="CI42" i="105"/>
  <c r="CH43" i="105"/>
  <c r="CI43" i="105"/>
  <c r="CH44" i="105"/>
  <c r="CI44" i="105"/>
  <c r="CH45" i="105"/>
  <c r="CI45" i="105"/>
  <c r="CH49" i="105"/>
  <c r="CI49" i="105"/>
  <c r="CH50" i="105"/>
  <c r="CI50" i="105"/>
  <c r="CI8" i="105"/>
  <c r="CH8" i="105"/>
  <c r="L8" i="43" l="1"/>
  <c r="S8" i="31"/>
  <c r="F8" i="31"/>
  <c r="V8" i="31" s="1"/>
  <c r="V7" i="31" s="1"/>
  <c r="I8" i="31"/>
  <c r="E8" i="31" l="1"/>
  <c r="HF16" i="23" s="1"/>
  <c r="CH16" i="105" s="1"/>
  <c r="J121" i="107" l="1"/>
  <c r="E117" i="31" l="1"/>
  <c r="F117" i="31"/>
  <c r="U117" i="31" s="1"/>
  <c r="M825" i="106"/>
  <c r="M824" i="106"/>
  <c r="J823" i="106"/>
  <c r="J822" i="106"/>
  <c r="J190" i="108"/>
  <c r="T190" i="108"/>
  <c r="G37" i="34"/>
  <c r="M120" i="107"/>
  <c r="M119" i="107"/>
  <c r="M118" i="107"/>
  <c r="T63" i="31"/>
  <c r="J63" i="31"/>
  <c r="M819" i="106"/>
  <c r="P817" i="106"/>
  <c r="M85" i="111"/>
  <c r="J85" i="111"/>
  <c r="J86" i="114"/>
  <c r="E48" i="31" l="1"/>
  <c r="F48" i="31"/>
  <c r="U48" i="31" s="1"/>
  <c r="M814" i="106"/>
  <c r="M813" i="106"/>
  <c r="S810" i="106"/>
  <c r="T115" i="31"/>
  <c r="J115" i="31"/>
  <c r="M809" i="106"/>
  <c r="N807" i="106"/>
  <c r="J805" i="106" l="1"/>
  <c r="J803" i="106"/>
  <c r="J802" i="106"/>
  <c r="J91" i="110"/>
  <c r="J189" i="108" l="1"/>
  <c r="P798" i="106"/>
  <c r="L175" i="31"/>
  <c r="J84" i="111"/>
  <c r="T177" i="31"/>
  <c r="N177" i="31"/>
  <c r="M91" i="115"/>
  <c r="J90" i="115"/>
  <c r="J89" i="115"/>
  <c r="J88" i="115"/>
  <c r="J90" i="110"/>
  <c r="H797" i="106"/>
  <c r="H796" i="106"/>
  <c r="J92" i="31"/>
  <c r="M795" i="106"/>
  <c r="E54" i="31"/>
  <c r="F54" i="31"/>
  <c r="U54" i="31" s="1"/>
  <c r="N792" i="106"/>
  <c r="N789" i="106"/>
  <c r="W10" i="23"/>
  <c r="J788" i="106"/>
  <c r="T788" i="106"/>
  <c r="E135" i="31"/>
  <c r="F135" i="31"/>
  <c r="U135" i="31" s="1"/>
  <c r="M785" i="106"/>
  <c r="E13" i="24"/>
  <c r="F13" i="24"/>
  <c r="O13" i="24" s="1"/>
  <c r="G17" i="23"/>
  <c r="N783" i="106"/>
  <c r="M782" i="106"/>
  <c r="J781" i="106"/>
  <c r="J70" i="109" l="1"/>
  <c r="J117" i="107"/>
  <c r="J188" i="108"/>
  <c r="J187" i="108"/>
  <c r="J186" i="108" l="1"/>
  <c r="J185" i="108"/>
  <c r="J184" i="108"/>
  <c r="J183" i="108"/>
  <c r="J182" i="108"/>
  <c r="J180" i="108"/>
  <c r="J85" i="114"/>
  <c r="T779" i="106"/>
  <c r="H778" i="106"/>
  <c r="W23" i="26" l="1"/>
  <c r="H16" i="26"/>
  <c r="Z16" i="26" s="1"/>
  <c r="AO19" i="105"/>
  <c r="H99" i="112" l="1"/>
  <c r="H98" i="112"/>
  <c r="H97" i="112"/>
  <c r="H89" i="110"/>
  <c r="H88" i="110"/>
  <c r="H87" i="115" l="1"/>
  <c r="J115" i="107"/>
  <c r="J113" i="107"/>
  <c r="T171" i="31"/>
  <c r="N171" i="31"/>
  <c r="AE17" i="40"/>
  <c r="M178" i="108"/>
  <c r="M87" i="110"/>
  <c r="H83" i="114"/>
  <c r="H176" i="108"/>
  <c r="H175" i="108"/>
  <c r="H174" i="108"/>
  <c r="H173" i="108"/>
  <c r="H172" i="108"/>
  <c r="H171" i="108"/>
  <c r="H170" i="108"/>
  <c r="J169" i="108"/>
  <c r="J168" i="108"/>
  <c r="H111" i="107"/>
  <c r="H110" i="107"/>
  <c r="J109" i="107"/>
  <c r="H30" i="24"/>
  <c r="D10" i="25"/>
  <c r="J763" i="106"/>
  <c r="J761" i="106"/>
  <c r="M759" i="106"/>
  <c r="J757" i="106"/>
  <c r="T757" i="106"/>
  <c r="DC8" i="23" l="1"/>
  <c r="AM9" i="23"/>
  <c r="H740" i="106"/>
  <c r="H739" i="106"/>
  <c r="H738" i="106"/>
  <c r="H737" i="106"/>
  <c r="H736" i="106"/>
  <c r="H735" i="106"/>
  <c r="H734" i="106"/>
  <c r="H733" i="106"/>
  <c r="D37" i="25"/>
  <c r="M730" i="106"/>
  <c r="J726" i="106"/>
  <c r="IG10" i="23"/>
  <c r="J724" i="106"/>
  <c r="M107" i="107" l="1"/>
  <c r="J720" i="106" l="1"/>
  <c r="J85" i="115"/>
  <c r="T85" i="115"/>
  <c r="J84" i="115"/>
  <c r="T12" i="73"/>
  <c r="U12" i="73"/>
  <c r="K142" i="115" s="1"/>
  <c r="T14" i="73"/>
  <c r="U14" i="73"/>
  <c r="T15" i="73"/>
  <c r="U15" i="73"/>
  <c r="T16" i="73"/>
  <c r="U16" i="73"/>
  <c r="T18" i="73"/>
  <c r="U18" i="73"/>
  <c r="N142" i="115" s="1"/>
  <c r="T19" i="73"/>
  <c r="U19" i="73"/>
  <c r="T20" i="73"/>
  <c r="U20" i="73"/>
  <c r="T23" i="73"/>
  <c r="U23" i="73"/>
  <c r="T24" i="73"/>
  <c r="U24" i="73"/>
  <c r="T25" i="73"/>
  <c r="U25" i="73"/>
  <c r="T26" i="73"/>
  <c r="U26" i="73"/>
  <c r="T27" i="73"/>
  <c r="U27" i="73"/>
  <c r="T31" i="73"/>
  <c r="U31" i="73"/>
  <c r="Q142" i="115" s="1"/>
  <c r="T32" i="73"/>
  <c r="U32" i="73"/>
  <c r="T33" i="73"/>
  <c r="U33" i="73"/>
  <c r="S142" i="115" s="1"/>
  <c r="T34" i="73"/>
  <c r="T35" i="73"/>
  <c r="U35" i="73"/>
  <c r="U142" i="115" s="1"/>
  <c r="T36" i="73"/>
  <c r="U36" i="73"/>
  <c r="T37" i="73"/>
  <c r="U37" i="73"/>
  <c r="W142" i="115" s="1"/>
  <c r="T40" i="73"/>
  <c r="U40" i="73"/>
  <c r="T42" i="73"/>
  <c r="T45" i="73"/>
  <c r="U45" i="73"/>
  <c r="T46" i="73"/>
  <c r="U46" i="73"/>
  <c r="T50" i="73"/>
  <c r="U50" i="73"/>
  <c r="T51" i="73"/>
  <c r="U51" i="73"/>
  <c r="T9" i="73"/>
  <c r="H142" i="115" s="1"/>
  <c r="J96" i="112"/>
  <c r="T96" i="112"/>
  <c r="J68" i="109"/>
  <c r="T68" i="109"/>
  <c r="N25" i="24"/>
  <c r="H25" i="24"/>
  <c r="D18" i="25"/>
  <c r="EC17" i="23"/>
  <c r="N719" i="106"/>
  <c r="J83" i="111"/>
  <c r="J717" i="106"/>
  <c r="M716" i="106"/>
  <c r="J165" i="108"/>
  <c r="J164" i="108"/>
  <c r="J163" i="108"/>
  <c r="T163" i="108"/>
  <c r="T5" i="118"/>
  <c r="P5" i="118"/>
  <c r="AC27" i="118"/>
  <c r="AD27" i="118"/>
  <c r="P26" i="118"/>
  <c r="E26" i="118"/>
  <c r="W26" i="118"/>
  <c r="V26" i="118"/>
  <c r="U26" i="118"/>
  <c r="T26" i="118"/>
  <c r="S26" i="118"/>
  <c r="R26" i="118"/>
  <c r="Q26" i="118"/>
  <c r="O26" i="118"/>
  <c r="N26" i="118"/>
  <c r="M26" i="118"/>
  <c r="L26" i="118"/>
  <c r="K26" i="118"/>
  <c r="J26" i="118"/>
  <c r="I26" i="118"/>
  <c r="H26" i="118"/>
  <c r="G26" i="118"/>
  <c r="F26" i="118"/>
  <c r="N47" i="73"/>
  <c r="O47" i="73"/>
  <c r="N48" i="73"/>
  <c r="O48" i="73"/>
  <c r="O13" i="73"/>
  <c r="O28" i="73" s="1"/>
  <c r="N38" i="73"/>
  <c r="O38" i="73"/>
  <c r="N39" i="73"/>
  <c r="O39" i="73"/>
  <c r="N28" i="73"/>
  <c r="N29" i="73"/>
  <c r="O29" i="73"/>
  <c r="N22" i="73"/>
  <c r="O22" i="73"/>
  <c r="N13" i="73"/>
  <c r="N21" i="73" s="1"/>
  <c r="J83" i="115"/>
  <c r="J712" i="106"/>
  <c r="V142" i="115" l="1"/>
  <c r="AD26" i="118"/>
  <c r="AC26" i="118"/>
  <c r="N49" i="73"/>
  <c r="R142" i="115"/>
  <c r="O142" i="115"/>
  <c r="N30" i="73"/>
  <c r="O49" i="73"/>
  <c r="O21" i="73"/>
  <c r="O30" i="73"/>
  <c r="T169" i="31"/>
  <c r="N169" i="31"/>
  <c r="AA17" i="40"/>
  <c r="M162" i="108"/>
  <c r="T40" i="31"/>
  <c r="J40" i="31"/>
  <c r="M711" i="106"/>
  <c r="J106" i="107"/>
  <c r="J708" i="106"/>
  <c r="T708" i="106"/>
  <c r="DC10" i="23"/>
  <c r="DC33" i="23"/>
  <c r="J707" i="106"/>
  <c r="T707" i="106"/>
  <c r="I5" i="26"/>
  <c r="J5" i="26"/>
  <c r="K5" i="26"/>
  <c r="L5" i="26"/>
  <c r="M5" i="26"/>
  <c r="N5" i="26"/>
  <c r="S5" i="26"/>
  <c r="U5" i="26"/>
  <c r="W5" i="26"/>
  <c r="X5" i="26"/>
  <c r="E5" i="26"/>
  <c r="U11" i="40"/>
  <c r="J161" i="108"/>
  <c r="J160" i="108"/>
  <c r="J701" i="106"/>
  <c r="Y5" i="26" l="1"/>
  <c r="J49" i="27"/>
  <c r="BA13" i="105"/>
  <c r="J158" i="108"/>
  <c r="J156" i="108"/>
  <c r="HU10" i="23"/>
  <c r="J687" i="106"/>
  <c r="J154" i="108"/>
  <c r="T684" i="106"/>
  <c r="D11" i="25"/>
  <c r="J683" i="106"/>
  <c r="J85" i="110"/>
  <c r="P681" i="106"/>
  <c r="M84" i="110"/>
  <c r="J84" i="110"/>
  <c r="J83" i="110"/>
  <c r="J82" i="110"/>
  <c r="J104" i="107"/>
  <c r="P680" i="106"/>
  <c r="X25" i="26"/>
  <c r="Z25" i="26" s="1"/>
  <c r="G20" i="34"/>
  <c r="J103" i="107"/>
  <c r="J102" i="107"/>
  <c r="J100" i="107"/>
  <c r="J679" i="106" l="1"/>
  <c r="H677" i="106"/>
  <c r="H676" i="106"/>
  <c r="H675" i="106"/>
  <c r="H674" i="106"/>
  <c r="H673" i="106"/>
  <c r="H82" i="115"/>
  <c r="H81" i="110"/>
  <c r="H80" i="110"/>
  <c r="O9" i="39"/>
  <c r="H56" i="113"/>
  <c r="H95" i="112"/>
  <c r="H94" i="112"/>
  <c r="H93" i="112"/>
  <c r="H98" i="107"/>
  <c r="H97" i="107"/>
  <c r="H153" i="108" l="1"/>
  <c r="H152" i="108"/>
  <c r="H151" i="108"/>
  <c r="H150" i="108"/>
  <c r="H149" i="108"/>
  <c r="H148" i="108"/>
  <c r="H147" i="108"/>
  <c r="H146" i="108"/>
  <c r="H82" i="114"/>
  <c r="H81" i="114"/>
  <c r="P672" i="106"/>
  <c r="J145" i="108"/>
  <c r="M144" i="108"/>
  <c r="J671" i="106"/>
  <c r="T163" i="31" l="1"/>
  <c r="N163" i="31"/>
  <c r="O17" i="40"/>
  <c r="M143" i="108"/>
  <c r="J141" i="108"/>
  <c r="J92" i="112"/>
  <c r="CK10" i="23"/>
  <c r="J670" i="106"/>
  <c r="J669" i="106"/>
  <c r="L667" i="106"/>
  <c r="J666" i="106" l="1"/>
  <c r="M664" i="106" l="1"/>
  <c r="E73" i="31"/>
  <c r="F73" i="31"/>
  <c r="U73" i="31" s="1"/>
  <c r="M662" i="106"/>
  <c r="J661" i="106"/>
  <c r="E96" i="31"/>
  <c r="F96" i="31"/>
  <c r="U96" i="31" s="1"/>
  <c r="M660" i="106"/>
  <c r="N656" i="106"/>
  <c r="J654" i="106"/>
  <c r="N652" i="106"/>
  <c r="T77" i="31"/>
  <c r="J77" i="31"/>
  <c r="K16" i="23"/>
  <c r="M650" i="106"/>
  <c r="J649" i="106"/>
  <c r="J646" i="106"/>
  <c r="T646" i="106"/>
  <c r="E25" i="31"/>
  <c r="F25" i="31"/>
  <c r="U25" i="31" s="1"/>
  <c r="M643" i="106"/>
  <c r="E116" i="31"/>
  <c r="F116" i="31"/>
  <c r="U116" i="31" s="1"/>
  <c r="M642" i="106"/>
  <c r="J641" i="106"/>
  <c r="L169" i="31" l="1"/>
  <c r="J17" i="27" l="1"/>
  <c r="E77" i="31" l="1"/>
  <c r="F77" i="31"/>
  <c r="U77" i="31" s="1"/>
  <c r="M621" i="106"/>
  <c r="O34" i="39" l="1"/>
  <c r="J36" i="113"/>
  <c r="J46" i="109" l="1"/>
  <c r="P619" i="106" l="1"/>
  <c r="M45" i="109"/>
  <c r="E72" i="31" l="1"/>
  <c r="F72" i="31"/>
  <c r="U72" i="31" s="1"/>
  <c r="M618" i="106"/>
  <c r="L174" i="31" l="1"/>
  <c r="M42" i="109"/>
  <c r="M41" i="109"/>
  <c r="S11" i="40" l="1"/>
  <c r="J120" i="108"/>
  <c r="J118" i="108" l="1"/>
  <c r="T118" i="108"/>
  <c r="M116" i="108"/>
  <c r="M60" i="114"/>
  <c r="T613" i="106"/>
  <c r="J612" i="106"/>
  <c r="J609" i="106"/>
  <c r="E95" i="31"/>
  <c r="F95" i="31"/>
  <c r="U95" i="31" s="1"/>
  <c r="E94" i="31"/>
  <c r="F94" i="31"/>
  <c r="U94" i="31" s="1"/>
  <c r="M607" i="106"/>
  <c r="J606" i="106"/>
  <c r="E88" i="31"/>
  <c r="F88" i="31"/>
  <c r="U88" i="31" s="1"/>
  <c r="BO16" i="23"/>
  <c r="M605" i="106"/>
  <c r="J604" i="106"/>
  <c r="J602" i="106"/>
  <c r="J601" i="106"/>
  <c r="H600" i="106"/>
  <c r="BW38" i="105"/>
  <c r="F5" i="101"/>
  <c r="F6" i="101" s="1"/>
  <c r="D68" i="25"/>
  <c r="F41" i="101"/>
  <c r="F25" i="101"/>
  <c r="F29" i="101"/>
  <c r="F36" i="101"/>
  <c r="F34" i="101" s="1"/>
  <c r="F68" i="101"/>
  <c r="F64" i="101"/>
  <c r="Q595" i="106"/>
  <c r="T46" i="31"/>
  <c r="J46" i="31"/>
  <c r="M592" i="106"/>
  <c r="H59" i="110" l="1"/>
  <c r="H70" i="112" l="1"/>
  <c r="H69" i="112"/>
  <c r="H68" i="112"/>
  <c r="T150" i="31"/>
  <c r="N150" i="31"/>
  <c r="I17" i="36"/>
  <c r="M67" i="112"/>
  <c r="J115" i="108"/>
  <c r="H114" i="108"/>
  <c r="H113" i="108"/>
  <c r="H112" i="108"/>
  <c r="H111" i="108"/>
  <c r="H110" i="108"/>
  <c r="H109" i="108"/>
  <c r="H108" i="108"/>
  <c r="J107" i="108"/>
  <c r="T107" i="108"/>
  <c r="J106" i="108"/>
  <c r="W11" i="34"/>
  <c r="J76" i="107"/>
  <c r="J75" i="107"/>
  <c r="H74" i="107"/>
  <c r="H73" i="107"/>
  <c r="H72" i="107"/>
  <c r="H71" i="107"/>
  <c r="J70" i="107"/>
  <c r="M68" i="107"/>
  <c r="K11" i="38"/>
  <c r="J63" i="111"/>
  <c r="L157" i="31"/>
  <c r="M62" i="111"/>
  <c r="T156" i="31"/>
  <c r="N156" i="31"/>
  <c r="G17" i="38"/>
  <c r="M61" i="111"/>
  <c r="J59" i="111"/>
  <c r="J57" i="111"/>
  <c r="U17" i="73"/>
  <c r="M57" i="115"/>
  <c r="J57" i="115"/>
  <c r="H55" i="115"/>
  <c r="M59" i="114"/>
  <c r="H57" i="114"/>
  <c r="J56" i="114"/>
  <c r="J54" i="114"/>
  <c r="DE10" i="23"/>
  <c r="J590" i="106"/>
  <c r="E102" i="31"/>
  <c r="F102" i="31"/>
  <c r="U102" i="31" s="1"/>
  <c r="E103" i="31"/>
  <c r="CO16" i="23"/>
  <c r="CO10" i="23"/>
  <c r="M589" i="106"/>
  <c r="J588" i="106"/>
  <c r="M583" i="106"/>
  <c r="J586" i="106"/>
  <c r="M585" i="106"/>
  <c r="M584" i="106"/>
  <c r="E40" i="31"/>
  <c r="F40" i="31"/>
  <c r="U40" i="31" s="1"/>
  <c r="L582" i="106"/>
  <c r="E46" i="31"/>
  <c r="F46" i="31"/>
  <c r="U46" i="31" s="1"/>
  <c r="N23" i="24"/>
  <c r="H23" i="24"/>
  <c r="DW17" i="23"/>
  <c r="M579" i="106"/>
  <c r="N578" i="106"/>
  <c r="F103" i="31" l="1"/>
  <c r="U103" i="31" s="1"/>
  <c r="AB103" i="31" s="1"/>
  <c r="AC103" i="31" s="1"/>
  <c r="L7" i="102"/>
  <c r="L6" i="102"/>
  <c r="W10" i="31"/>
  <c r="M577" i="106"/>
  <c r="M576" i="106"/>
  <c r="M574" i="106"/>
  <c r="E109" i="31"/>
  <c r="F109" i="31"/>
  <c r="U109" i="31" s="1"/>
  <c r="T104" i="31"/>
  <c r="N104" i="31"/>
  <c r="E104" i="31"/>
  <c r="CW16" i="23"/>
  <c r="J575" i="106"/>
  <c r="J573" i="106"/>
  <c r="J572" i="106"/>
  <c r="J571" i="106"/>
  <c r="H570" i="106"/>
  <c r="H567" i="106"/>
  <c r="H566" i="106"/>
  <c r="H565" i="106"/>
  <c r="H564" i="106"/>
  <c r="H563" i="106"/>
  <c r="H562" i="106"/>
  <c r="E129" i="31"/>
  <c r="F129" i="31"/>
  <c r="U129" i="31" s="1"/>
  <c r="M557" i="106"/>
  <c r="E32" i="24"/>
  <c r="F32" i="24"/>
  <c r="O32" i="24" s="1"/>
  <c r="N555" i="106"/>
  <c r="HW10" i="23"/>
  <c r="J553" i="106"/>
  <c r="E120" i="31"/>
  <c r="F120" i="31"/>
  <c r="U120" i="31" s="1"/>
  <c r="M550" i="106"/>
  <c r="T124" i="31"/>
  <c r="J124" i="31"/>
  <c r="FW16" i="23"/>
  <c r="M546" i="106"/>
  <c r="F104" i="31" l="1"/>
  <c r="U104" i="31" s="1"/>
  <c r="I26" i="26"/>
  <c r="J26" i="26"/>
  <c r="F34" i="27"/>
  <c r="GY13" i="23"/>
  <c r="T80" i="31" l="1"/>
  <c r="J80" i="31"/>
  <c r="M544" i="106"/>
  <c r="N540" i="106"/>
  <c r="J530" i="106"/>
  <c r="T13" i="31"/>
  <c r="J13" i="31"/>
  <c r="J529" i="106"/>
  <c r="M528" i="106"/>
  <c r="J527" i="106"/>
  <c r="E119" i="31"/>
  <c r="F119" i="31"/>
  <c r="U119" i="31" s="1"/>
  <c r="M525" i="106"/>
  <c r="E115" i="31"/>
  <c r="F115" i="31"/>
  <c r="U115" i="31" s="1"/>
  <c r="M523" i="106"/>
  <c r="E114" i="31"/>
  <c r="F114" i="31"/>
  <c r="U114" i="31" s="1"/>
  <c r="M519" i="106"/>
  <c r="F16" i="118" l="1"/>
  <c r="G16" i="118"/>
  <c r="H16" i="118"/>
  <c r="I16" i="118"/>
  <c r="J16" i="118"/>
  <c r="K16" i="118"/>
  <c r="L16" i="118"/>
  <c r="M16" i="118"/>
  <c r="N16" i="118"/>
  <c r="O16" i="118"/>
  <c r="P16" i="118"/>
  <c r="Q16" i="118"/>
  <c r="R16" i="118"/>
  <c r="S16" i="118"/>
  <c r="T16" i="118"/>
  <c r="U16" i="118"/>
  <c r="W16" i="118"/>
  <c r="X16" i="118"/>
  <c r="Y16" i="118"/>
  <c r="Z16" i="118"/>
  <c r="AA16" i="118"/>
  <c r="E16" i="118"/>
  <c r="AD6" i="118"/>
  <c r="AC7" i="118"/>
  <c r="AC8" i="118"/>
  <c r="AD8" i="118"/>
  <c r="AC9" i="118"/>
  <c r="AD9" i="118"/>
  <c r="AC10" i="118"/>
  <c r="AD10" i="118"/>
  <c r="AC11" i="118"/>
  <c r="AD11" i="118"/>
  <c r="AC12" i="118"/>
  <c r="AD12" i="118"/>
  <c r="AC13" i="118"/>
  <c r="AD13" i="118"/>
  <c r="AC14" i="118"/>
  <c r="AD14" i="118"/>
  <c r="AC17" i="118"/>
  <c r="AC18" i="118"/>
  <c r="AD18" i="118"/>
  <c r="AC20" i="118"/>
  <c r="AD20" i="118"/>
  <c r="AC22" i="118"/>
  <c r="AD22" i="118"/>
  <c r="AC24" i="118"/>
  <c r="AD24" i="118"/>
  <c r="AC25" i="118"/>
  <c r="AD25" i="118"/>
  <c r="S23" i="118"/>
  <c r="T23" i="118"/>
  <c r="S21" i="118"/>
  <c r="T21" i="118"/>
  <c r="S19" i="118"/>
  <c r="T19" i="118"/>
  <c r="S5" i="118"/>
  <c r="E56" i="25"/>
  <c r="F56" i="25"/>
  <c r="T15" i="118" l="1"/>
  <c r="T28" i="118" s="1"/>
  <c r="S15" i="118"/>
  <c r="S28" i="118" s="1"/>
  <c r="AC16" i="118"/>
  <c r="J104" i="108" l="1"/>
  <c r="T104" i="108"/>
  <c r="M513" i="106"/>
  <c r="F10" i="26"/>
  <c r="Y19" i="23"/>
  <c r="Y36" i="23"/>
  <c r="J508" i="106"/>
  <c r="F5" i="26" l="1"/>
  <c r="Z10" i="26"/>
  <c r="J54" i="111"/>
  <c r="U11" i="34"/>
  <c r="J65" i="107"/>
  <c r="H65" i="107"/>
  <c r="J505" i="106" l="1"/>
  <c r="M504" i="106"/>
  <c r="E16" i="24"/>
  <c r="F16" i="24"/>
  <c r="O16" i="24" s="1"/>
  <c r="N503" i="106"/>
  <c r="D57" i="25"/>
  <c r="J501" i="106"/>
  <c r="J499" i="106"/>
  <c r="T498" i="106"/>
  <c r="J103" i="108" l="1"/>
  <c r="J53" i="111"/>
  <c r="J35" i="113"/>
  <c r="T35" i="113"/>
  <c r="J493" i="106" l="1"/>
  <c r="J492" i="106"/>
  <c r="J490" i="106"/>
  <c r="L488" i="106"/>
  <c r="BS10" i="105"/>
  <c r="Q485" i="106"/>
  <c r="E128" i="31"/>
  <c r="F128" i="31"/>
  <c r="U128" i="31" s="1"/>
  <c r="M482" i="106"/>
  <c r="J479" i="106"/>
  <c r="J480" i="106"/>
  <c r="J478" i="106" l="1"/>
  <c r="J476" i="106"/>
  <c r="M475" i="106"/>
  <c r="J474" i="106"/>
  <c r="J473" i="106" l="1"/>
  <c r="H473" i="106"/>
  <c r="M101" i="108"/>
  <c r="J100" i="108"/>
  <c r="J472" i="106"/>
  <c r="T112" i="31"/>
  <c r="J112" i="31"/>
  <c r="M470" i="106"/>
  <c r="J468" i="106"/>
  <c r="J65" i="112" l="1"/>
  <c r="J64" i="112"/>
  <c r="J63" i="112"/>
  <c r="N15" i="104"/>
  <c r="N14" i="104" s="1"/>
  <c r="G5" i="104"/>
  <c r="F15" i="104"/>
  <c r="F14" i="104" s="1"/>
  <c r="G15" i="104"/>
  <c r="G14" i="104" s="1"/>
  <c r="H15" i="104"/>
  <c r="I15" i="104"/>
  <c r="I14" i="104" s="1"/>
  <c r="J15" i="104"/>
  <c r="J14" i="104" s="1"/>
  <c r="K15" i="104"/>
  <c r="K14" i="104" s="1"/>
  <c r="L15" i="104"/>
  <c r="L14" i="104" s="1"/>
  <c r="M15" i="104"/>
  <c r="M14" i="104" s="1"/>
  <c r="O15" i="104"/>
  <c r="O14" i="104" s="1"/>
  <c r="E15" i="104"/>
  <c r="E14" i="104" s="1"/>
  <c r="Q6" i="104"/>
  <c r="Q7" i="104"/>
  <c r="Q8" i="104"/>
  <c r="Q9" i="104"/>
  <c r="R9" i="104"/>
  <c r="Q10" i="104"/>
  <c r="Q11" i="104"/>
  <c r="R11" i="104"/>
  <c r="Q12" i="104"/>
  <c r="Q13" i="104"/>
  <c r="Q16" i="104"/>
  <c r="R16" i="104"/>
  <c r="Q17" i="104"/>
  <c r="R17" i="104"/>
  <c r="Q18" i="104"/>
  <c r="R18" i="104"/>
  <c r="M5" i="104"/>
  <c r="N5" i="104"/>
  <c r="P466" i="106"/>
  <c r="M51" i="111"/>
  <c r="J51" i="111"/>
  <c r="J50" i="111"/>
  <c r="J51" i="115"/>
  <c r="J465" i="106"/>
  <c r="T127" i="31"/>
  <c r="J127" i="31"/>
  <c r="N19" i="104" l="1"/>
  <c r="Q14" i="104"/>
  <c r="H14" i="104"/>
  <c r="Q15" i="104"/>
  <c r="M19" i="104"/>
  <c r="M459" i="106"/>
  <c r="N36" i="24"/>
  <c r="H36" i="24"/>
  <c r="HW17" i="23"/>
  <c r="N454" i="106"/>
  <c r="J457" i="106"/>
  <c r="N456" i="106"/>
  <c r="N37" i="24"/>
  <c r="H37" i="24"/>
  <c r="HY17" i="23"/>
  <c r="J99" i="108" l="1"/>
  <c r="K11" i="74"/>
  <c r="J51" i="114"/>
  <c r="J453" i="106"/>
  <c r="T450" i="106"/>
  <c r="N449" i="106"/>
  <c r="H98" i="108" l="1"/>
  <c r="H97" i="108"/>
  <c r="H96" i="108"/>
  <c r="H95" i="108"/>
  <c r="H94" i="108"/>
  <c r="H93" i="108"/>
  <c r="H50" i="114"/>
  <c r="H62" i="112"/>
  <c r="H61" i="112"/>
  <c r="H60" i="112"/>
  <c r="H50" i="115"/>
  <c r="H62" i="107"/>
  <c r="H61" i="107"/>
  <c r="M38" i="109"/>
  <c r="M37" i="109"/>
  <c r="J57" i="110"/>
  <c r="H56" i="110"/>
  <c r="E42" i="31"/>
  <c r="F42" i="31"/>
  <c r="U42" i="31" s="1"/>
  <c r="M447" i="106"/>
  <c r="J14" i="31"/>
  <c r="M446" i="106"/>
  <c r="I23" i="27"/>
  <c r="H443" i="106"/>
  <c r="J442" i="106"/>
  <c r="H441" i="106"/>
  <c r="H440" i="106"/>
  <c r="H439" i="106"/>
  <c r="H438" i="106"/>
  <c r="H437" i="106"/>
  <c r="T19" i="31" l="1"/>
  <c r="J19" i="31"/>
  <c r="M436" i="106"/>
  <c r="M435" i="106"/>
  <c r="E30" i="24"/>
  <c r="F30" i="24"/>
  <c r="O30" i="24" s="1"/>
  <c r="E140" i="31"/>
  <c r="F140" i="31"/>
  <c r="U140" i="31" s="1"/>
  <c r="D29" i="25"/>
  <c r="T93" i="31"/>
  <c r="J93" i="31"/>
  <c r="M426" i="106"/>
  <c r="J425" i="106"/>
  <c r="T91" i="31"/>
  <c r="J91" i="31"/>
  <c r="M424" i="106"/>
  <c r="J423" i="106"/>
  <c r="Q10" i="34"/>
  <c r="J92" i="108" l="1"/>
  <c r="P15" i="104" l="1"/>
  <c r="F21" i="103"/>
  <c r="K21" i="103"/>
  <c r="L21" i="103"/>
  <c r="M21" i="103"/>
  <c r="N21" i="103"/>
  <c r="E21" i="103"/>
  <c r="O21" i="103" s="1"/>
  <c r="F16" i="103"/>
  <c r="K16" i="103"/>
  <c r="L16" i="103"/>
  <c r="L15" i="103" s="1"/>
  <c r="L23" i="103" s="1"/>
  <c r="M16" i="103"/>
  <c r="N16" i="103"/>
  <c r="E16" i="103"/>
  <c r="T33" i="31"/>
  <c r="J33" i="31"/>
  <c r="P422" i="106"/>
  <c r="J33" i="113"/>
  <c r="J48" i="115"/>
  <c r="E91" i="31"/>
  <c r="F91" i="31"/>
  <c r="U91" i="31" s="1"/>
  <c r="M419" i="106"/>
  <c r="J418" i="106"/>
  <c r="J415" i="106"/>
  <c r="GE10" i="23"/>
  <c r="J414" i="106"/>
  <c r="DO10" i="23"/>
  <c r="J411" i="106"/>
  <c r="E127" i="31"/>
  <c r="F127" i="31"/>
  <c r="U127" i="31" s="1"/>
  <c r="M409" i="106"/>
  <c r="J13" i="104"/>
  <c r="R13" i="104" s="1"/>
  <c r="T404" i="106"/>
  <c r="N90" i="31"/>
  <c r="T90" i="31"/>
  <c r="T89" i="31"/>
  <c r="J89" i="31"/>
  <c r="F15" i="103" l="1"/>
  <c r="Q16" i="103"/>
  <c r="E15" i="103"/>
  <c r="O15" i="103" s="1"/>
  <c r="O16" i="103"/>
  <c r="N15" i="103"/>
  <c r="N23" i="103" s="1"/>
  <c r="M15" i="103"/>
  <c r="M23" i="103" s="1"/>
  <c r="Q21" i="103"/>
  <c r="K15" i="103"/>
  <c r="K23" i="103" s="1"/>
  <c r="J5" i="104"/>
  <c r="P14" i="104"/>
  <c r="R14" i="104" s="1"/>
  <c r="R15" i="104"/>
  <c r="E90" i="31"/>
  <c r="F90" i="31"/>
  <c r="U90" i="31" s="1"/>
  <c r="M403" i="106"/>
  <c r="Q15" i="103" l="1"/>
  <c r="F23" i="103"/>
  <c r="Q23" i="103" s="1"/>
  <c r="G5" i="118"/>
  <c r="H5" i="118"/>
  <c r="I5" i="118"/>
  <c r="J5" i="118"/>
  <c r="K5" i="118"/>
  <c r="L5" i="118"/>
  <c r="M5" i="118"/>
  <c r="N5" i="118"/>
  <c r="O5" i="118"/>
  <c r="Q5" i="118"/>
  <c r="R5" i="118"/>
  <c r="U5" i="118"/>
  <c r="V5" i="118"/>
  <c r="W5" i="118"/>
  <c r="X5" i="118"/>
  <c r="Y5" i="118"/>
  <c r="Z5" i="118"/>
  <c r="AA5" i="118"/>
  <c r="AB5" i="118"/>
  <c r="O23" i="118"/>
  <c r="P23" i="118"/>
  <c r="Q23" i="118"/>
  <c r="R23" i="118"/>
  <c r="U23" i="118"/>
  <c r="O21" i="118"/>
  <c r="P21" i="118"/>
  <c r="Q21" i="118"/>
  <c r="R21" i="118"/>
  <c r="O19" i="118"/>
  <c r="O15" i="118" s="1"/>
  <c r="P19" i="118"/>
  <c r="Q19" i="118"/>
  <c r="R19" i="118"/>
  <c r="F7" i="118"/>
  <c r="AD7" i="118" s="1"/>
  <c r="T27" i="31"/>
  <c r="J27" i="31"/>
  <c r="J9" i="27"/>
  <c r="J8" i="27" s="1"/>
  <c r="J20" i="27"/>
  <c r="J19" i="27" s="1"/>
  <c r="AT344" i="117"/>
  <c r="AS344" i="117"/>
  <c r="D72" i="25"/>
  <c r="IE16" i="23"/>
  <c r="BI13" i="105"/>
  <c r="BC13" i="105"/>
  <c r="AC30" i="23"/>
  <c r="AC41" i="23"/>
  <c r="M399" i="106"/>
  <c r="J396" i="106"/>
  <c r="AC5" i="118" l="1"/>
  <c r="Q15" i="118"/>
  <c r="P15" i="118"/>
  <c r="P28" i="118" s="1"/>
  <c r="R15" i="118"/>
  <c r="O28" i="118"/>
  <c r="R28" i="118"/>
  <c r="Q28" i="118"/>
  <c r="J91" i="108"/>
  <c r="T91" i="108"/>
  <c r="E41" i="35" l="1"/>
  <c r="E42" i="35"/>
  <c r="E41" i="34"/>
  <c r="E41" i="39"/>
  <c r="E41" i="36"/>
  <c r="E41" i="38"/>
  <c r="E41" i="74"/>
  <c r="E41" i="40"/>
  <c r="E41" i="37"/>
  <c r="E41" i="73"/>
  <c r="U41" i="73" s="1"/>
  <c r="E42" i="73"/>
  <c r="U42" i="73" s="1"/>
  <c r="H89" i="108" l="1"/>
  <c r="F5" i="118" l="1"/>
  <c r="AD5" i="118" s="1"/>
  <c r="E22" i="34"/>
  <c r="E38" i="34"/>
  <c r="E13" i="34" l="1"/>
  <c r="E28" i="34" l="1"/>
  <c r="AC41" i="34"/>
  <c r="V17" i="118"/>
  <c r="AB23" i="118"/>
  <c r="AA23" i="118"/>
  <c r="Y23" i="118"/>
  <c r="X23" i="118"/>
  <c r="W23" i="118"/>
  <c r="V23" i="118"/>
  <c r="N23" i="118"/>
  <c r="M23" i="118"/>
  <c r="L23" i="118"/>
  <c r="K23" i="118"/>
  <c r="J23" i="118"/>
  <c r="I23" i="118"/>
  <c r="H23" i="118"/>
  <c r="G23" i="118"/>
  <c r="F23" i="118"/>
  <c r="E23" i="118"/>
  <c r="AB21" i="118"/>
  <c r="AA21" i="118"/>
  <c r="Z21" i="118"/>
  <c r="Y21" i="118"/>
  <c r="X21" i="118"/>
  <c r="W21" i="118"/>
  <c r="V21" i="118"/>
  <c r="U21" i="118"/>
  <c r="N21" i="118"/>
  <c r="M21" i="118"/>
  <c r="L21" i="118"/>
  <c r="K21" i="118"/>
  <c r="J21" i="118"/>
  <c r="I21" i="118"/>
  <c r="H21" i="118"/>
  <c r="G21" i="118"/>
  <c r="F21" i="118"/>
  <c r="E21" i="118"/>
  <c r="AB19" i="118"/>
  <c r="AA19" i="118"/>
  <c r="Z19" i="118"/>
  <c r="Y19" i="118"/>
  <c r="X19" i="118"/>
  <c r="W19" i="118"/>
  <c r="V19" i="118"/>
  <c r="U19" i="118"/>
  <c r="N19" i="118"/>
  <c r="N15" i="118" s="1"/>
  <c r="M19" i="118"/>
  <c r="M15" i="118" s="1"/>
  <c r="L19" i="118"/>
  <c r="K19" i="118"/>
  <c r="J19" i="118"/>
  <c r="I19" i="118"/>
  <c r="H19" i="118"/>
  <c r="G19" i="118"/>
  <c r="F19" i="118"/>
  <c r="F15" i="118" s="1"/>
  <c r="E19" i="118"/>
  <c r="E15" i="118" s="1"/>
  <c r="AB16" i="118"/>
  <c r="U15" i="118" l="1"/>
  <c r="J15" i="118"/>
  <c r="AD23" i="118"/>
  <c r="I15" i="118"/>
  <c r="I28" i="118" s="1"/>
  <c r="Y15" i="118"/>
  <c r="Y28" i="118" s="1"/>
  <c r="G15" i="118"/>
  <c r="AC21" i="118"/>
  <c r="K15" i="118"/>
  <c r="K28" i="118" s="1"/>
  <c r="H15" i="118"/>
  <c r="L15" i="118"/>
  <c r="L28" i="118" s="1"/>
  <c r="AD19" i="118"/>
  <c r="AD21" i="118"/>
  <c r="V16" i="118"/>
  <c r="AD16" i="118" s="1"/>
  <c r="AD17" i="118"/>
  <c r="AC19" i="118"/>
  <c r="AC23" i="118"/>
  <c r="N28" i="118"/>
  <c r="Z15" i="118"/>
  <c r="Z28" i="118" s="1"/>
  <c r="U28" i="118"/>
  <c r="H28" i="118"/>
  <c r="X15" i="118"/>
  <c r="X28" i="118" s="1"/>
  <c r="J28" i="118"/>
  <c r="AB15" i="118"/>
  <c r="AB28" i="118" s="1"/>
  <c r="M28" i="118"/>
  <c r="W15" i="118"/>
  <c r="W28" i="118" s="1"/>
  <c r="AA15" i="118"/>
  <c r="AA28" i="118" s="1"/>
  <c r="AC15" i="118" l="1"/>
  <c r="V15" i="118"/>
  <c r="V28" i="118" s="1"/>
  <c r="G28" i="118"/>
  <c r="F28" i="118"/>
  <c r="E28" i="118"/>
  <c r="AD28" i="118" l="1"/>
  <c r="AD15" i="118"/>
  <c r="AC28" i="118"/>
  <c r="W31" i="34"/>
  <c r="P390" i="106" l="1"/>
  <c r="E23" i="103"/>
  <c r="O23" i="103" s="1"/>
  <c r="P389" i="106"/>
  <c r="M88" i="108"/>
  <c r="J88" i="108"/>
  <c r="J58" i="112"/>
  <c r="M388" i="106"/>
  <c r="M387" i="106"/>
  <c r="M386" i="106"/>
  <c r="M385" i="106"/>
  <c r="P384" i="106" l="1"/>
  <c r="J47" i="111"/>
  <c r="J46" i="111"/>
  <c r="J87" i="108"/>
  <c r="M47" i="114"/>
  <c r="M48" i="114"/>
  <c r="J48" i="114"/>
  <c r="E124" i="31"/>
  <c r="F124" i="31"/>
  <c r="U124" i="31" s="1"/>
  <c r="M383" i="106"/>
  <c r="P375" i="106" l="1"/>
  <c r="J47" i="114" l="1"/>
  <c r="J374" i="106"/>
  <c r="J373" i="106"/>
  <c r="M372" i="106"/>
  <c r="J371" i="106"/>
  <c r="M368" i="106" l="1"/>
  <c r="E80" i="31"/>
  <c r="F80" i="31"/>
  <c r="U80" i="31" s="1"/>
  <c r="M366" i="106"/>
  <c r="F37" i="24"/>
  <c r="N364" i="106"/>
  <c r="I9" i="24"/>
  <c r="J9" i="24"/>
  <c r="K9" i="24"/>
  <c r="L9" i="24"/>
  <c r="P9" i="24"/>
  <c r="Q9" i="24"/>
  <c r="E37" i="24"/>
  <c r="N362" i="106"/>
  <c r="J360" i="106"/>
  <c r="O37" i="24" l="1"/>
  <c r="M356" i="106"/>
  <c r="M355" i="106"/>
  <c r="HG10" i="23" l="1"/>
  <c r="CI10" i="105" s="1"/>
  <c r="J349" i="106"/>
  <c r="M348" i="106"/>
  <c r="E108" i="31"/>
  <c r="F108" i="31"/>
  <c r="U108" i="31" s="1"/>
  <c r="M347" i="106"/>
  <c r="J46" i="114"/>
  <c r="J85" i="108"/>
  <c r="J64" i="31"/>
  <c r="J70" i="31"/>
  <c r="J84" i="108" l="1"/>
  <c r="J83" i="108"/>
  <c r="J44" i="111" l="1"/>
  <c r="J43" i="111"/>
  <c r="W10" i="34" l="1"/>
  <c r="W9" i="34" l="1"/>
  <c r="H49" i="107"/>
  <c r="H48" i="107"/>
  <c r="H47" i="107"/>
  <c r="H46" i="107"/>
  <c r="H45" i="107"/>
  <c r="H51" i="110"/>
  <c r="J49" i="110" l="1"/>
  <c r="H57" i="112"/>
  <c r="H56" i="112"/>
  <c r="H55" i="112"/>
  <c r="H82" i="108"/>
  <c r="H81" i="108"/>
  <c r="H80" i="108"/>
  <c r="H79" i="108"/>
  <c r="H78" i="108"/>
  <c r="H46" i="115"/>
  <c r="H44" i="114"/>
  <c r="J77" i="108"/>
  <c r="T151" i="31"/>
  <c r="N151" i="31"/>
  <c r="K17" i="36"/>
  <c r="M54" i="112"/>
  <c r="J342" i="106"/>
  <c r="M341" i="106"/>
  <c r="H339" i="106"/>
  <c r="H338" i="106"/>
  <c r="H337" i="106"/>
  <c r="H336" i="106"/>
  <c r="H335" i="106"/>
  <c r="H334" i="106"/>
  <c r="J333" i="106"/>
  <c r="T331" i="106"/>
  <c r="BW10" i="23"/>
  <c r="J324" i="106"/>
  <c r="E123" i="31"/>
  <c r="F123" i="31"/>
  <c r="U123" i="31" s="1"/>
  <c r="M322" i="106"/>
  <c r="E122" i="31"/>
  <c r="F122" i="31"/>
  <c r="U122" i="31" s="1"/>
  <c r="M320" i="106"/>
  <c r="E39" i="31"/>
  <c r="F39" i="31"/>
  <c r="U39" i="31" s="1"/>
  <c r="M318" i="106"/>
  <c r="M317" i="106"/>
  <c r="J316" i="106"/>
  <c r="E50" i="23" l="1"/>
  <c r="Y19" i="31"/>
  <c r="M314" i="106" l="1"/>
  <c r="J313" i="106"/>
  <c r="Y21" i="31" l="1"/>
  <c r="J21" i="31"/>
  <c r="T21" i="31"/>
  <c r="M312" i="106"/>
  <c r="D8" i="25" l="1"/>
  <c r="M310" i="106"/>
  <c r="M308" i="106" l="1"/>
  <c r="M307" i="106"/>
  <c r="M306" i="106" l="1"/>
  <c r="M305" i="106"/>
  <c r="J304" i="106"/>
  <c r="M300" i="106"/>
  <c r="M299" i="106"/>
  <c r="J298" i="106" l="1"/>
  <c r="M297" i="106"/>
  <c r="N11" i="24" l="1"/>
  <c r="H11" i="24"/>
  <c r="M296" i="106"/>
  <c r="N295" i="106"/>
  <c r="J136" i="31"/>
  <c r="J141" i="31"/>
  <c r="T139" i="31"/>
  <c r="J139" i="31"/>
  <c r="HO16" i="23"/>
  <c r="IG16" i="23"/>
  <c r="IA10" i="23"/>
  <c r="IA16" i="23"/>
  <c r="J288" i="106"/>
  <c r="M287" i="106"/>
  <c r="DG9" i="23"/>
  <c r="CM9" i="23"/>
  <c r="BY9" i="23"/>
  <c r="D31" i="25"/>
  <c r="D41" i="25"/>
  <c r="J268" i="106"/>
  <c r="AE10" i="40"/>
  <c r="AA10" i="40"/>
  <c r="Y10" i="40"/>
  <c r="W10" i="40"/>
  <c r="U10" i="40"/>
  <c r="M10" i="40"/>
  <c r="I10" i="40"/>
  <c r="G10" i="39"/>
  <c r="I10" i="38"/>
  <c r="K10" i="36"/>
  <c r="I10" i="36"/>
  <c r="G10" i="36"/>
  <c r="I10" i="74"/>
  <c r="G10" i="74"/>
  <c r="E5" i="104" l="1"/>
  <c r="E19" i="104" s="1"/>
  <c r="I5" i="104"/>
  <c r="I19" i="104" s="1"/>
  <c r="J19" i="104"/>
  <c r="K5" i="104"/>
  <c r="L5" i="104"/>
  <c r="L19" i="104" s="1"/>
  <c r="O5" i="104"/>
  <c r="P5" i="104"/>
  <c r="DW10" i="23"/>
  <c r="M246" i="106"/>
  <c r="N247" i="106"/>
  <c r="J248" i="106"/>
  <c r="D59" i="25"/>
  <c r="Q5" i="104" l="1"/>
  <c r="K19" i="104"/>
  <c r="EC10" i="23" l="1"/>
  <c r="N235" i="106"/>
  <c r="N234" i="106"/>
  <c r="Y11" i="34"/>
  <c r="J27" i="107"/>
  <c r="J26" i="107"/>
  <c r="J25" i="107"/>
  <c r="E71" i="31" l="1"/>
  <c r="F71" i="31"/>
  <c r="U71" i="31" s="1"/>
  <c r="J233" i="106"/>
  <c r="E85" i="31" l="1"/>
  <c r="F85" i="31"/>
  <c r="U85" i="31" s="1"/>
  <c r="M231" i="106"/>
  <c r="J230" i="106"/>
  <c r="BW46" i="105"/>
  <c r="J43" i="108"/>
  <c r="T43" i="108"/>
  <c r="J26" i="112"/>
  <c r="H24" i="107"/>
  <c r="T14" i="31"/>
  <c r="T220" i="106"/>
  <c r="J14" i="114"/>
  <c r="J13" i="114"/>
  <c r="N219" i="106" l="1"/>
  <c r="J218" i="106"/>
  <c r="J20" i="115"/>
  <c r="J9" i="113"/>
  <c r="G11" i="35"/>
  <c r="J24" i="110"/>
  <c r="J23" i="110"/>
  <c r="J18" i="111" l="1"/>
  <c r="E15" i="24"/>
  <c r="F15" i="24"/>
  <c r="O15" i="24" s="1"/>
  <c r="N217" i="106"/>
  <c r="J211" i="106" l="1"/>
  <c r="J209" i="106"/>
  <c r="L105" i="31"/>
  <c r="J206" i="106"/>
  <c r="J205" i="106"/>
  <c r="J203" i="106"/>
  <c r="D33" i="25"/>
  <c r="M198" i="106"/>
  <c r="J196" i="106"/>
  <c r="M194" i="106"/>
  <c r="E14" i="24"/>
  <c r="F14" i="24"/>
  <c r="O14" i="24" s="1"/>
  <c r="N192" i="106"/>
  <c r="J16" i="111"/>
  <c r="J15" i="111"/>
  <c r="H8" i="113"/>
  <c r="L159" i="31"/>
  <c r="M42" i="108"/>
  <c r="M12" i="114"/>
  <c r="J22" i="110"/>
  <c r="F40" i="101" l="1"/>
  <c r="F39" i="101" s="1"/>
  <c r="F33" i="101" s="1"/>
  <c r="E7" i="28" l="1"/>
  <c r="F9" i="28"/>
  <c r="AB46" i="105"/>
  <c r="AC46" i="105"/>
  <c r="AB47" i="105"/>
  <c r="AC47" i="105"/>
  <c r="AC48" i="105" s="1"/>
  <c r="AB37" i="105"/>
  <c r="AC37" i="105"/>
  <c r="AB38" i="105"/>
  <c r="AC38" i="105"/>
  <c r="AB27" i="105"/>
  <c r="AC27" i="105"/>
  <c r="AB21" i="105"/>
  <c r="AC21" i="105"/>
  <c r="AB18" i="105"/>
  <c r="AB28" i="105" s="1"/>
  <c r="AB29" i="105" s="1"/>
  <c r="AC18" i="105"/>
  <c r="AC28" i="105" s="1"/>
  <c r="AB12" i="105"/>
  <c r="AC12" i="105"/>
  <c r="F44" i="101"/>
  <c r="BV46" i="105"/>
  <c r="BS22" i="105"/>
  <c r="BS39" i="105"/>
  <c r="BS46" i="105" s="1"/>
  <c r="CI10" i="23"/>
  <c r="J186" i="106"/>
  <c r="Y13" i="26"/>
  <c r="Y21" i="26"/>
  <c r="Y22" i="26"/>
  <c r="U26" i="26"/>
  <c r="V21" i="26"/>
  <c r="Z21" i="26" s="1"/>
  <c r="F104" i="27"/>
  <c r="G104" i="27"/>
  <c r="H104" i="27"/>
  <c r="I104" i="27"/>
  <c r="J104" i="27"/>
  <c r="K104" i="27"/>
  <c r="L104" i="27"/>
  <c r="E104" i="27"/>
  <c r="J75" i="27"/>
  <c r="F75" i="27"/>
  <c r="G75" i="27"/>
  <c r="H75" i="27"/>
  <c r="I75" i="27"/>
  <c r="K75" i="27"/>
  <c r="L75" i="27"/>
  <c r="E75" i="27"/>
  <c r="J71" i="27"/>
  <c r="E71" i="27"/>
  <c r="F71" i="27"/>
  <c r="G71" i="27"/>
  <c r="H71" i="27"/>
  <c r="I71" i="27"/>
  <c r="K71" i="27"/>
  <c r="L71" i="27"/>
  <c r="L69" i="27"/>
  <c r="K69" i="27"/>
  <c r="J69" i="27"/>
  <c r="I69" i="27"/>
  <c r="H69" i="27"/>
  <c r="G69" i="27"/>
  <c r="F69" i="27"/>
  <c r="E69" i="27"/>
  <c r="L60" i="27"/>
  <c r="K60" i="27"/>
  <c r="J60" i="27"/>
  <c r="I60" i="27"/>
  <c r="H60" i="27"/>
  <c r="G60" i="27"/>
  <c r="F60" i="27"/>
  <c r="E60" i="27"/>
  <c r="AC29" i="105" l="1"/>
  <c r="AB48" i="105"/>
  <c r="V5" i="26"/>
  <c r="V26" i="26" s="1"/>
  <c r="F7" i="28"/>
  <c r="F22" i="28" s="1"/>
  <c r="J111" i="27"/>
  <c r="AB20" i="105"/>
  <c r="AC20" i="105"/>
  <c r="BS38" i="105"/>
  <c r="D52" i="25"/>
  <c r="F37" i="27"/>
  <c r="F36" i="27"/>
  <c r="D35" i="25"/>
  <c r="Y17" i="31"/>
  <c r="Y10" i="31" s="1"/>
  <c r="T17" i="31"/>
  <c r="J17" i="31"/>
  <c r="M173" i="106"/>
  <c r="D9" i="25"/>
  <c r="M171" i="106"/>
  <c r="G10" i="31"/>
  <c r="H10" i="31"/>
  <c r="K10" i="31"/>
  <c r="L10" i="31"/>
  <c r="M10" i="31"/>
  <c r="N10" i="31"/>
  <c r="O10" i="31"/>
  <c r="P10" i="31"/>
  <c r="Q10" i="31"/>
  <c r="R10" i="31"/>
  <c r="V10" i="31"/>
  <c r="X10" i="31"/>
  <c r="E27" i="31"/>
  <c r="F27" i="31"/>
  <c r="U27" i="31" s="1"/>
  <c r="ID46" i="23"/>
  <c r="IE46" i="23"/>
  <c r="ID47" i="23"/>
  <c r="IE47" i="23"/>
  <c r="ID37" i="23"/>
  <c r="IE37" i="23"/>
  <c r="ID38" i="23"/>
  <c r="IE38" i="23"/>
  <c r="ID27" i="23"/>
  <c r="IE27" i="23"/>
  <c r="ID21" i="23"/>
  <c r="IE21" i="23"/>
  <c r="ID18" i="23"/>
  <c r="ID28" i="23" s="1"/>
  <c r="ID29" i="23" s="1"/>
  <c r="IE18" i="23"/>
  <c r="IE28" i="23" s="1"/>
  <c r="ID12" i="23"/>
  <c r="IE12" i="23"/>
  <c r="E11" i="24"/>
  <c r="F11" i="24"/>
  <c r="O11" i="24" s="1"/>
  <c r="N167" i="106"/>
  <c r="R9" i="24"/>
  <c r="S9" i="24"/>
  <c r="E10" i="24"/>
  <c r="F10" i="24"/>
  <c r="O10" i="24" s="1"/>
  <c r="E12" i="31"/>
  <c r="F12" i="31"/>
  <c r="U12" i="31" s="1"/>
  <c r="T10" i="31"/>
  <c r="N165" i="106"/>
  <c r="M165" i="106"/>
  <c r="F35" i="27" l="1"/>
  <c r="J10" i="31"/>
  <c r="IE20" i="23"/>
  <c r="ID20" i="23"/>
  <c r="IE48" i="23"/>
  <c r="ID48" i="23"/>
  <c r="IE29" i="23"/>
  <c r="J164" i="106"/>
  <c r="D30" i="25"/>
  <c r="P152" i="106"/>
  <c r="J151" i="106"/>
  <c r="M148" i="106"/>
  <c r="J146" i="106"/>
  <c r="I49" i="27"/>
  <c r="G49" i="27"/>
  <c r="E49" i="27"/>
  <c r="F49" i="27"/>
  <c r="L49" i="27"/>
  <c r="K49" i="27"/>
  <c r="H49" i="27"/>
  <c r="H139" i="106"/>
  <c r="H142" i="106"/>
  <c r="H141" i="106"/>
  <c r="H140" i="106"/>
  <c r="H138" i="106"/>
  <c r="J19" i="115"/>
  <c r="J17" i="115"/>
  <c r="J11" i="114" l="1"/>
  <c r="J21" i="110"/>
  <c r="J19" i="110"/>
  <c r="J13" i="111"/>
  <c r="H15" i="115"/>
  <c r="H17" i="110"/>
  <c r="H25" i="112" l="1"/>
  <c r="H24" i="112"/>
  <c r="H23" i="112"/>
  <c r="H41" i="108"/>
  <c r="H40" i="108"/>
  <c r="H39" i="108"/>
  <c r="H38" i="108"/>
  <c r="J9" i="114"/>
  <c r="H7" i="114"/>
  <c r="H23" i="107"/>
  <c r="H22" i="107"/>
  <c r="H21" i="107"/>
  <c r="J20" i="107" l="1"/>
  <c r="E69" i="31" l="1"/>
  <c r="F69" i="31"/>
  <c r="U69" i="31" s="1"/>
  <c r="T37" i="31" l="1"/>
  <c r="J37" i="31"/>
  <c r="T36" i="31"/>
  <c r="J36" i="31"/>
  <c r="E38" i="31"/>
  <c r="F38" i="31"/>
  <c r="U38" i="31" s="1"/>
  <c r="J28" i="31" l="1"/>
  <c r="J135" i="106"/>
  <c r="P19" i="104" l="1"/>
  <c r="O19" i="104"/>
  <c r="J18" i="107"/>
  <c r="T141" i="31"/>
  <c r="F141" i="31" s="1"/>
  <c r="U141" i="31" s="1"/>
  <c r="M134" i="106"/>
  <c r="E141" i="31"/>
  <c r="CA11" i="105"/>
  <c r="CA15" i="105"/>
  <c r="CA19" i="105"/>
  <c r="CA22" i="105"/>
  <c r="CA23" i="105"/>
  <c r="CA25" i="105"/>
  <c r="CA26" i="105"/>
  <c r="CA30" i="105"/>
  <c r="CA31" i="105"/>
  <c r="CA34" i="105"/>
  <c r="CA35" i="105"/>
  <c r="CA36" i="105"/>
  <c r="CA39" i="105"/>
  <c r="CA42" i="105"/>
  <c r="CA43" i="105"/>
  <c r="CA44" i="105"/>
  <c r="CA45" i="105"/>
  <c r="CA49" i="105"/>
  <c r="CA50" i="105"/>
  <c r="CA8" i="105"/>
  <c r="IF46" i="23"/>
  <c r="IG46" i="23"/>
  <c r="IH46" i="23"/>
  <c r="II46" i="23"/>
  <c r="IF47" i="23"/>
  <c r="IF48" i="23" s="1"/>
  <c r="IG47" i="23"/>
  <c r="IG48" i="23" s="1"/>
  <c r="IH47" i="23"/>
  <c r="IH48" i="23" s="1"/>
  <c r="II47" i="23"/>
  <c r="IF37" i="23"/>
  <c r="IG37" i="23"/>
  <c r="IH37" i="23"/>
  <c r="II37" i="23"/>
  <c r="IF38" i="23"/>
  <c r="IG38" i="23"/>
  <c r="IH38" i="23"/>
  <c r="II38" i="23"/>
  <c r="IF27" i="23"/>
  <c r="IG27" i="23"/>
  <c r="IH27" i="23"/>
  <c r="II27" i="23"/>
  <c r="IF21" i="23"/>
  <c r="IG21" i="23"/>
  <c r="IH21" i="23"/>
  <c r="II21" i="23"/>
  <c r="IF18" i="23"/>
  <c r="IF28" i="23" s="1"/>
  <c r="IF29" i="23" s="1"/>
  <c r="IG18" i="23"/>
  <c r="IH18" i="23"/>
  <c r="II18" i="23"/>
  <c r="IF12" i="23"/>
  <c r="IG12" i="23"/>
  <c r="IH12" i="23"/>
  <c r="II12" i="23"/>
  <c r="M132" i="106"/>
  <c r="II20" i="23" l="1"/>
  <c r="II28" i="23"/>
  <c r="IH20" i="23"/>
  <c r="IH28" i="23"/>
  <c r="IH29" i="23" s="1"/>
  <c r="IG20" i="23"/>
  <c r="IF20" i="23"/>
  <c r="IG28" i="23"/>
  <c r="IG29" i="23" s="1"/>
  <c r="X23" i="26"/>
  <c r="II48" i="23"/>
  <c r="II29" i="23"/>
  <c r="J130" i="106"/>
  <c r="J129" i="106"/>
  <c r="J22" i="112" l="1"/>
  <c r="J21" i="112"/>
  <c r="D44" i="25"/>
  <c r="L124" i="106"/>
  <c r="BU46" i="105" l="1"/>
  <c r="E139" i="31"/>
  <c r="F139" i="31"/>
  <c r="U139" i="31" s="1"/>
  <c r="CC11" i="105"/>
  <c r="CC13" i="105"/>
  <c r="CC14" i="105"/>
  <c r="CC15" i="105"/>
  <c r="CC17" i="105"/>
  <c r="CC22" i="105"/>
  <c r="CC23" i="105"/>
  <c r="CC24" i="105"/>
  <c r="CC25" i="105"/>
  <c r="CC26" i="105"/>
  <c r="CC30" i="105"/>
  <c r="CC31" i="105"/>
  <c r="CC32" i="105"/>
  <c r="CC35" i="105"/>
  <c r="CC39" i="105"/>
  <c r="CC40" i="105"/>
  <c r="CC41" i="105"/>
  <c r="CC42" i="105"/>
  <c r="CC43" i="105"/>
  <c r="CC44" i="105"/>
  <c r="CC45" i="105"/>
  <c r="CC49" i="105"/>
  <c r="CC50" i="105"/>
  <c r="CB11" i="105"/>
  <c r="CB14" i="105"/>
  <c r="CB15" i="105"/>
  <c r="CB17" i="105"/>
  <c r="CB22" i="105"/>
  <c r="CB23" i="105"/>
  <c r="CB24" i="105"/>
  <c r="CB25" i="105"/>
  <c r="CB26" i="105"/>
  <c r="CB30" i="105"/>
  <c r="CB31" i="105"/>
  <c r="CB32" i="105"/>
  <c r="CB35" i="105"/>
  <c r="CB36" i="105"/>
  <c r="CB39" i="105"/>
  <c r="CB40" i="105"/>
  <c r="CB41" i="105"/>
  <c r="CB42" i="105"/>
  <c r="CB43" i="105"/>
  <c r="CB44" i="105"/>
  <c r="CB45" i="105"/>
  <c r="CB49" i="105"/>
  <c r="CB50" i="105"/>
  <c r="IB46" i="23"/>
  <c r="IC46" i="23"/>
  <c r="IB47" i="23"/>
  <c r="IC47" i="23"/>
  <c r="IB37" i="23"/>
  <c r="IC37" i="23"/>
  <c r="IB38" i="23"/>
  <c r="IC38" i="23"/>
  <c r="IB27" i="23"/>
  <c r="IC27" i="23"/>
  <c r="IB21" i="23"/>
  <c r="IC21" i="23"/>
  <c r="IB18" i="23"/>
  <c r="IC18" i="23"/>
  <c r="IC28" i="23" s="1"/>
  <c r="IC29" i="23" s="1"/>
  <c r="IB12" i="23"/>
  <c r="IC12" i="23"/>
  <c r="HZ46" i="23"/>
  <c r="IA46" i="23"/>
  <c r="HZ47" i="23"/>
  <c r="IA47" i="23"/>
  <c r="HZ37" i="23"/>
  <c r="IA37" i="23"/>
  <c r="HZ38" i="23"/>
  <c r="IA38" i="23"/>
  <c r="HZ27" i="23"/>
  <c r="IA27" i="23"/>
  <c r="HZ21" i="23"/>
  <c r="IA21" i="23"/>
  <c r="HZ18" i="23"/>
  <c r="HZ28" i="23" s="1"/>
  <c r="HZ29" i="23" s="1"/>
  <c r="IA18" i="23"/>
  <c r="HZ12" i="23"/>
  <c r="IA12" i="23"/>
  <c r="M119" i="106"/>
  <c r="J17" i="107"/>
  <c r="H17" i="107"/>
  <c r="H16" i="107"/>
  <c r="H14" i="107"/>
  <c r="IB20" i="23" l="1"/>
  <c r="IB28" i="23"/>
  <c r="IB29" i="23" s="1"/>
  <c r="IA48" i="23"/>
  <c r="IA20" i="23"/>
  <c r="IA28" i="23"/>
  <c r="IA29" i="23" s="1"/>
  <c r="HZ20" i="23"/>
  <c r="IC20" i="23"/>
  <c r="IB48" i="23"/>
  <c r="HZ48" i="23"/>
  <c r="IC48" i="23"/>
  <c r="J117" i="106"/>
  <c r="J115" i="106" l="1"/>
  <c r="T115" i="106"/>
  <c r="CA13" i="105" l="1"/>
  <c r="J112" i="106"/>
  <c r="EM10" i="23"/>
  <c r="EM8" i="23"/>
  <c r="DI10" i="23"/>
  <c r="J109" i="106"/>
  <c r="J108" i="106"/>
  <c r="J104" i="106"/>
  <c r="CA24" i="105"/>
  <c r="P103" i="106"/>
  <c r="J10" i="111"/>
  <c r="D66" i="25" l="1"/>
  <c r="D56" i="25" s="1"/>
  <c r="J96" i="106" l="1"/>
  <c r="J94" i="106"/>
  <c r="P93" i="106"/>
  <c r="J37" i="108"/>
  <c r="J36" i="108"/>
  <c r="J92" i="106" l="1"/>
  <c r="CC36" i="105" l="1"/>
  <c r="FI21" i="23" l="1"/>
  <c r="H85" i="106" l="1"/>
  <c r="H84" i="106"/>
  <c r="H83" i="106"/>
  <c r="H82" i="106"/>
  <c r="H81" i="106"/>
  <c r="H80" i="106"/>
  <c r="H15" i="110"/>
  <c r="H20" i="112"/>
  <c r="H19" i="112"/>
  <c r="H12" i="107"/>
  <c r="H11" i="107"/>
  <c r="H12" i="115"/>
  <c r="H32" i="108"/>
  <c r="H31" i="108"/>
  <c r="H30" i="108"/>
  <c r="H29" i="108"/>
  <c r="H28" i="108"/>
  <c r="H27" i="108"/>
  <c r="J18" i="112" l="1"/>
  <c r="J17" i="112"/>
  <c r="E41" i="31"/>
  <c r="F41" i="31"/>
  <c r="U41" i="31" s="1"/>
  <c r="M77" i="106"/>
  <c r="M76" i="106"/>
  <c r="T133" i="31"/>
  <c r="CC16" i="105"/>
  <c r="M73" i="106"/>
  <c r="J72" i="106" l="1"/>
  <c r="J70" i="106"/>
  <c r="E84" i="31"/>
  <c r="F84" i="31"/>
  <c r="U84" i="31" s="1"/>
  <c r="M69" i="106"/>
  <c r="J68" i="106"/>
  <c r="J67" i="106" l="1"/>
  <c r="N67" i="106"/>
  <c r="J66" i="106"/>
  <c r="N66" i="106"/>
  <c r="J65" i="106"/>
  <c r="J64" i="106"/>
  <c r="F118" i="27"/>
  <c r="G118" i="27"/>
  <c r="H118" i="27"/>
  <c r="I118" i="27"/>
  <c r="J118" i="27"/>
  <c r="K118" i="27"/>
  <c r="L118" i="27"/>
  <c r="E118" i="27"/>
  <c r="F115" i="27"/>
  <c r="G115" i="27"/>
  <c r="H115" i="27"/>
  <c r="H121" i="27" s="1"/>
  <c r="I115" i="27"/>
  <c r="I121" i="27" s="1"/>
  <c r="J115" i="27"/>
  <c r="K115" i="27"/>
  <c r="K121" i="27" s="1"/>
  <c r="L115" i="27"/>
  <c r="L121" i="27" s="1"/>
  <c r="E115" i="27"/>
  <c r="E121" i="27" s="1"/>
  <c r="E35" i="27"/>
  <c r="F33" i="27"/>
  <c r="E33" i="27"/>
  <c r="F21" i="27"/>
  <c r="E21" i="27"/>
  <c r="I17" i="27"/>
  <c r="I10" i="27"/>
  <c r="I8" i="27"/>
  <c r="I6" i="27"/>
  <c r="F6" i="27"/>
  <c r="G6" i="27"/>
  <c r="H6" i="27"/>
  <c r="K6" i="27"/>
  <c r="L6" i="27"/>
  <c r="E6" i="27"/>
  <c r="F8" i="27"/>
  <c r="G8" i="27"/>
  <c r="H8" i="27"/>
  <c r="K8" i="27"/>
  <c r="L8" i="27"/>
  <c r="E8" i="27"/>
  <c r="F10" i="27"/>
  <c r="G10" i="27"/>
  <c r="H10" i="27"/>
  <c r="K10" i="27"/>
  <c r="L10" i="27"/>
  <c r="E10" i="27"/>
  <c r="F17" i="27"/>
  <c r="G17" i="27"/>
  <c r="H17" i="27"/>
  <c r="K17" i="27"/>
  <c r="L17" i="27"/>
  <c r="F19" i="27"/>
  <c r="G19" i="27"/>
  <c r="H19" i="27"/>
  <c r="K19" i="27"/>
  <c r="L19" i="27"/>
  <c r="G21" i="27"/>
  <c r="H21" i="27"/>
  <c r="I21" i="27"/>
  <c r="J21" i="27"/>
  <c r="K21" i="27"/>
  <c r="L21" i="27"/>
  <c r="F23" i="27"/>
  <c r="G23" i="27"/>
  <c r="H23" i="27"/>
  <c r="K23" i="27"/>
  <c r="L23" i="27"/>
  <c r="E23" i="27"/>
  <c r="G33" i="27"/>
  <c r="H33" i="27"/>
  <c r="I33" i="27"/>
  <c r="J33" i="27"/>
  <c r="K33" i="27"/>
  <c r="L33" i="27"/>
  <c r="G35" i="27"/>
  <c r="H35" i="27"/>
  <c r="I35" i="27"/>
  <c r="J35" i="27"/>
  <c r="K35" i="27"/>
  <c r="L35" i="27"/>
  <c r="F41" i="27"/>
  <c r="G41" i="27"/>
  <c r="H41" i="27"/>
  <c r="I41" i="27"/>
  <c r="K41" i="27"/>
  <c r="L41" i="27"/>
  <c r="E41" i="27"/>
  <c r="J121" i="27" l="1"/>
  <c r="G121" i="27"/>
  <c r="F121" i="27"/>
  <c r="E22" i="24"/>
  <c r="F22" i="24"/>
  <c r="O22" i="24" s="1"/>
  <c r="CW17" i="23"/>
  <c r="N60" i="106"/>
  <c r="G3" i="100"/>
  <c r="D3" i="100"/>
  <c r="H10" i="107" l="1"/>
  <c r="J26" i="108" l="1"/>
  <c r="J11" i="115"/>
  <c r="E11" i="38" l="1"/>
  <c r="M34" i="38"/>
  <c r="H10" i="115"/>
  <c r="E11" i="73"/>
  <c r="U11" i="73" s="1"/>
  <c r="M34" i="73"/>
  <c r="U34" i="73" s="1"/>
  <c r="T142" i="115" s="1"/>
  <c r="J8" i="115"/>
  <c r="T8" i="115"/>
  <c r="T7" i="115"/>
  <c r="H11" i="110"/>
  <c r="H13" i="110"/>
  <c r="O34" i="37"/>
  <c r="E11" i="37"/>
  <c r="J25" i="108"/>
  <c r="J24" i="108"/>
  <c r="J23" i="108"/>
  <c r="H22" i="108"/>
  <c r="H21" i="108"/>
  <c r="H20" i="108"/>
  <c r="H19" i="108"/>
  <c r="H18" i="108"/>
  <c r="H17" i="108"/>
  <c r="H16" i="108"/>
  <c r="H15" i="108"/>
  <c r="E11" i="40"/>
  <c r="AK34" i="40"/>
  <c r="J12" i="108"/>
  <c r="J11" i="108"/>
  <c r="J10" i="108"/>
  <c r="T12" i="108"/>
  <c r="T11" i="108"/>
  <c r="T10" i="108"/>
  <c r="T9" i="108"/>
  <c r="T8" i="108"/>
  <c r="T7" i="108"/>
  <c r="J9" i="107"/>
  <c r="H8" i="107"/>
  <c r="H7" i="107"/>
  <c r="J16" i="112"/>
  <c r="H15" i="112"/>
  <c r="H14" i="112"/>
  <c r="H13" i="112"/>
  <c r="H12" i="112"/>
  <c r="E11" i="36"/>
  <c r="D11" i="36"/>
  <c r="M34" i="36"/>
  <c r="J8" i="112"/>
  <c r="T8" i="112"/>
  <c r="T7" i="112"/>
  <c r="M57" i="106"/>
  <c r="J56" i="106"/>
  <c r="T43" i="31"/>
  <c r="T28" i="31" s="1"/>
  <c r="DY18" i="23"/>
  <c r="E51" i="31"/>
  <c r="F51" i="31"/>
  <c r="U51" i="31" s="1"/>
  <c r="E50" i="31"/>
  <c r="F50" i="31"/>
  <c r="U50" i="31" s="1"/>
  <c r="CA16" i="105"/>
  <c r="N53" i="106"/>
  <c r="N51" i="106"/>
  <c r="N52" i="106"/>
  <c r="M49" i="106"/>
  <c r="E20" i="24"/>
  <c r="F20" i="24"/>
  <c r="S17" i="23"/>
  <c r="CA17" i="105" s="1"/>
  <c r="N47" i="106"/>
  <c r="M46" i="106"/>
  <c r="E47" i="31"/>
  <c r="F47" i="31"/>
  <c r="U47" i="31" s="1"/>
  <c r="M45" i="106"/>
  <c r="M43" i="106"/>
  <c r="E134" i="31"/>
  <c r="U134" i="31"/>
  <c r="M41" i="106"/>
  <c r="M40" i="106"/>
  <c r="O20" i="24" l="1"/>
  <c r="C90" i="101"/>
  <c r="BS27" i="105" l="1"/>
  <c r="BS21" i="105" l="1"/>
  <c r="P253" i="106" l="1"/>
  <c r="P623" i="106" s="1"/>
  <c r="K33" i="116" l="1"/>
  <c r="P827" i="106"/>
  <c r="P1252" i="106" s="1"/>
  <c r="X46" i="105"/>
  <c r="Y46" i="105"/>
  <c r="X47" i="105"/>
  <c r="Y47" i="105"/>
  <c r="X37" i="105"/>
  <c r="Y37" i="105"/>
  <c r="X38" i="105"/>
  <c r="Y38" i="105"/>
  <c r="X27" i="105"/>
  <c r="Y27" i="105"/>
  <c r="X28" i="105"/>
  <c r="Y28" i="105"/>
  <c r="X21" i="105"/>
  <c r="Y21" i="105"/>
  <c r="X12" i="105"/>
  <c r="X20" i="105" s="1"/>
  <c r="Y12" i="105"/>
  <c r="Y20" i="105" s="1"/>
  <c r="W26" i="26"/>
  <c r="H12" i="26"/>
  <c r="Z12" i="26" s="1"/>
  <c r="H8" i="26"/>
  <c r="CC19" i="105"/>
  <c r="H27" i="106"/>
  <c r="H26" i="106"/>
  <c r="H25" i="106"/>
  <c r="H24" i="106"/>
  <c r="H23" i="106"/>
  <c r="H22" i="106"/>
  <c r="H21" i="106"/>
  <c r="H20" i="106"/>
  <c r="H19" i="106"/>
  <c r="H18" i="106"/>
  <c r="H17" i="106"/>
  <c r="T21" i="43"/>
  <c r="H12" i="104"/>
  <c r="R12" i="104" s="1"/>
  <c r="R10" i="104"/>
  <c r="R7" i="104"/>
  <c r="R8" i="104"/>
  <c r="R6" i="104"/>
  <c r="BY32" i="105"/>
  <c r="CA32" i="105" s="1"/>
  <c r="S16" i="106"/>
  <c r="S15" i="106"/>
  <c r="EC33" i="23"/>
  <c r="DW33" i="23"/>
  <c r="CA33" i="105"/>
  <c r="BY33" i="105"/>
  <c r="T14" i="106"/>
  <c r="T13" i="106"/>
  <c r="T11" i="106"/>
  <c r="T10" i="106"/>
  <c r="T7" i="106"/>
  <c r="T6" i="106"/>
  <c r="H5" i="26" l="1"/>
  <c r="Z5" i="26" s="1"/>
  <c r="Z8" i="26"/>
  <c r="H26" i="26"/>
  <c r="K60" i="116"/>
  <c r="Y48" i="105"/>
  <c r="X29" i="105"/>
  <c r="X48" i="105"/>
  <c r="CC33" i="105"/>
  <c r="H5" i="104"/>
  <c r="R5" i="104" s="1"/>
  <c r="Y29" i="105"/>
  <c r="AD344" i="117"/>
  <c r="AE344" i="117"/>
  <c r="AF344" i="117"/>
  <c r="AC344" i="117"/>
  <c r="G344" i="117"/>
  <c r="H344" i="117"/>
  <c r="H253" i="106"/>
  <c r="H623" i="106" s="1"/>
  <c r="H827" i="106" s="1"/>
  <c r="H1252" i="106" s="1"/>
  <c r="H19" i="104" l="1"/>
  <c r="T20" i="43"/>
  <c r="V20" i="43" s="1"/>
  <c r="C60" i="116"/>
  <c r="C7" i="116"/>
  <c r="C33" i="116" l="1"/>
  <c r="U12" i="109"/>
  <c r="U49" i="109" s="1"/>
  <c r="U73" i="109" s="1"/>
  <c r="U110" i="109" s="1"/>
  <c r="R46" i="108"/>
  <c r="P94" i="116" l="1"/>
  <c r="P68" i="116"/>
  <c r="M13" i="116"/>
  <c r="R122" i="108"/>
  <c r="P15" i="116"/>
  <c r="AX344" i="117"/>
  <c r="AW344" i="117"/>
  <c r="AR344" i="117"/>
  <c r="AQ344" i="117"/>
  <c r="AP344" i="117"/>
  <c r="AO344" i="117"/>
  <c r="AN344" i="117"/>
  <c r="AM344" i="117"/>
  <c r="AL344" i="117"/>
  <c r="AK344" i="117"/>
  <c r="AJ344" i="117"/>
  <c r="AI344" i="117"/>
  <c r="AH344" i="117"/>
  <c r="AG344" i="117"/>
  <c r="AB344" i="117"/>
  <c r="AA344" i="117"/>
  <c r="Z344" i="117"/>
  <c r="Y344" i="117"/>
  <c r="X344" i="117"/>
  <c r="W344" i="117"/>
  <c r="V344" i="117"/>
  <c r="U344" i="117"/>
  <c r="T344" i="117"/>
  <c r="S344" i="117"/>
  <c r="R344" i="117"/>
  <c r="Q344" i="117"/>
  <c r="P344" i="117"/>
  <c r="O344" i="117"/>
  <c r="N344" i="117"/>
  <c r="M344" i="117"/>
  <c r="L344" i="117"/>
  <c r="K344" i="117"/>
  <c r="J344" i="117"/>
  <c r="I344" i="117"/>
  <c r="F344" i="117"/>
  <c r="E344" i="117"/>
  <c r="D344" i="117"/>
  <c r="X22" i="115"/>
  <c r="W22" i="115"/>
  <c r="V22" i="115"/>
  <c r="V60" i="115" s="1"/>
  <c r="U22" i="115"/>
  <c r="U60" i="115" s="1"/>
  <c r="T22" i="115"/>
  <c r="T60" i="115" s="1"/>
  <c r="S22" i="115"/>
  <c r="R22" i="115"/>
  <c r="Q22" i="115"/>
  <c r="P22" i="115"/>
  <c r="O22" i="115"/>
  <c r="N22" i="115"/>
  <c r="M22" i="115"/>
  <c r="L22" i="115"/>
  <c r="K22" i="115"/>
  <c r="J22" i="115"/>
  <c r="J60" i="115" s="1"/>
  <c r="I22" i="115"/>
  <c r="H22" i="115"/>
  <c r="X16" i="114"/>
  <c r="W16" i="114"/>
  <c r="V16" i="114"/>
  <c r="U16" i="114"/>
  <c r="T16" i="114"/>
  <c r="T62" i="114" s="1"/>
  <c r="S16" i="114"/>
  <c r="R16" i="114"/>
  <c r="Q16" i="114"/>
  <c r="Q62" i="114" s="1"/>
  <c r="P16" i="114"/>
  <c r="O16" i="114"/>
  <c r="N16" i="114"/>
  <c r="M16" i="114"/>
  <c r="L16" i="114"/>
  <c r="L62" i="114" s="1"/>
  <c r="K16" i="114"/>
  <c r="J16" i="114"/>
  <c r="J62" i="114" s="1"/>
  <c r="I16" i="114"/>
  <c r="H16" i="114"/>
  <c r="Z14" i="113"/>
  <c r="X11" i="113"/>
  <c r="W11" i="113"/>
  <c r="V11" i="113"/>
  <c r="U11" i="113"/>
  <c r="U38" i="113" s="1"/>
  <c r="T11" i="113"/>
  <c r="S11" i="113"/>
  <c r="S38" i="113" s="1"/>
  <c r="R11" i="113"/>
  <c r="Q11" i="113"/>
  <c r="P11" i="113"/>
  <c r="O11" i="113"/>
  <c r="N11" i="113"/>
  <c r="M11" i="113"/>
  <c r="L11" i="113"/>
  <c r="K11" i="113"/>
  <c r="J11" i="113"/>
  <c r="J38" i="113" s="1"/>
  <c r="I11" i="113"/>
  <c r="I38" i="113" s="1"/>
  <c r="H11" i="113"/>
  <c r="H38" i="113" s="1"/>
  <c r="X28" i="112"/>
  <c r="W28" i="112"/>
  <c r="V28" i="112"/>
  <c r="U28" i="112"/>
  <c r="T28" i="112"/>
  <c r="S28" i="112"/>
  <c r="S72" i="112" s="1"/>
  <c r="R28" i="112"/>
  <c r="R72" i="112" s="1"/>
  <c r="Q28" i="112"/>
  <c r="Q72" i="112" s="1"/>
  <c r="P28" i="112"/>
  <c r="O28" i="112"/>
  <c r="N28" i="112"/>
  <c r="M28" i="112"/>
  <c r="M72" i="112" s="1"/>
  <c r="L28" i="112"/>
  <c r="K28" i="112"/>
  <c r="J28" i="112"/>
  <c r="I28" i="112"/>
  <c r="I72" i="112" s="1"/>
  <c r="I101" i="112" s="1"/>
  <c r="I146" i="112" s="1"/>
  <c r="H28" i="112"/>
  <c r="X20" i="111"/>
  <c r="W20" i="111"/>
  <c r="V20" i="111"/>
  <c r="U20" i="111"/>
  <c r="T20" i="111"/>
  <c r="S20" i="111"/>
  <c r="S65" i="111" s="1"/>
  <c r="S87" i="111" s="1"/>
  <c r="S131" i="111" s="1"/>
  <c r="R20" i="111"/>
  <c r="R65" i="111" s="1"/>
  <c r="R87" i="111" s="1"/>
  <c r="R131" i="111" s="1"/>
  <c r="Q20" i="111"/>
  <c r="Q65" i="111" s="1"/>
  <c r="P20" i="111"/>
  <c r="O20" i="111"/>
  <c r="N20" i="111"/>
  <c r="M20" i="111"/>
  <c r="M65" i="111" s="1"/>
  <c r="M87" i="111" s="1"/>
  <c r="L20" i="111"/>
  <c r="K20" i="111"/>
  <c r="J20" i="111"/>
  <c r="J65" i="111" s="1"/>
  <c r="J87" i="111" s="1"/>
  <c r="I20" i="111"/>
  <c r="H20" i="111"/>
  <c r="H65" i="111" s="1"/>
  <c r="H87" i="111" s="1"/>
  <c r="H131" i="111" s="1"/>
  <c r="X26" i="110"/>
  <c r="W26" i="110"/>
  <c r="V26" i="110"/>
  <c r="V61" i="110" s="1"/>
  <c r="U26" i="110"/>
  <c r="T26" i="110"/>
  <c r="S26" i="110"/>
  <c r="R26" i="110"/>
  <c r="Q26" i="110"/>
  <c r="Q61" i="110" s="1"/>
  <c r="P26" i="110"/>
  <c r="O26" i="110"/>
  <c r="N26" i="110"/>
  <c r="M26" i="110"/>
  <c r="L26" i="110"/>
  <c r="L61" i="110" s="1"/>
  <c r="K26" i="110"/>
  <c r="J26" i="110"/>
  <c r="I26" i="110"/>
  <c r="H26" i="110"/>
  <c r="H61" i="110" s="1"/>
  <c r="H93" i="110" s="1"/>
  <c r="H136" i="110" s="1"/>
  <c r="X12" i="109"/>
  <c r="X49" i="109" s="1"/>
  <c r="X73" i="109" s="1"/>
  <c r="X110" i="109" s="1"/>
  <c r="W12" i="109"/>
  <c r="W49" i="109" s="1"/>
  <c r="W73" i="109" s="1"/>
  <c r="W110" i="109" s="1"/>
  <c r="V12" i="109"/>
  <c r="V49" i="109" s="1"/>
  <c r="V73" i="109" s="1"/>
  <c r="V110" i="109" s="1"/>
  <c r="T12" i="109"/>
  <c r="T49" i="109" s="1"/>
  <c r="T73" i="109" s="1"/>
  <c r="T110" i="109" s="1"/>
  <c r="S12" i="109"/>
  <c r="S49" i="109" s="1"/>
  <c r="S73" i="109" s="1"/>
  <c r="S110" i="109" s="1"/>
  <c r="R12" i="109"/>
  <c r="R49" i="109" s="1"/>
  <c r="R73" i="109" s="1"/>
  <c r="R110" i="109" s="1"/>
  <c r="Q12" i="109"/>
  <c r="Q49" i="109" s="1"/>
  <c r="Q73" i="109" s="1"/>
  <c r="Q110" i="109" s="1"/>
  <c r="P12" i="109"/>
  <c r="P49" i="109" s="1"/>
  <c r="P73" i="109" s="1"/>
  <c r="P110" i="109" s="1"/>
  <c r="O12" i="109"/>
  <c r="O49" i="109" s="1"/>
  <c r="O73" i="109" s="1"/>
  <c r="O110" i="109" s="1"/>
  <c r="N12" i="109"/>
  <c r="N49" i="109" s="1"/>
  <c r="N73" i="109" s="1"/>
  <c r="N110" i="109" s="1"/>
  <c r="M12" i="109"/>
  <c r="M49" i="109" s="1"/>
  <c r="M73" i="109" s="1"/>
  <c r="M110" i="109" s="1"/>
  <c r="L12" i="109"/>
  <c r="L49" i="109" s="1"/>
  <c r="L73" i="109" s="1"/>
  <c r="L110" i="109" s="1"/>
  <c r="K12" i="109"/>
  <c r="K49" i="109" s="1"/>
  <c r="K73" i="109" s="1"/>
  <c r="K110" i="109" s="1"/>
  <c r="J12" i="109"/>
  <c r="J49" i="109" s="1"/>
  <c r="J73" i="109" s="1"/>
  <c r="J110" i="109" s="1"/>
  <c r="I12" i="109"/>
  <c r="I49" i="109" s="1"/>
  <c r="I73" i="109" s="1"/>
  <c r="I110" i="109" s="1"/>
  <c r="H12" i="109"/>
  <c r="H49" i="109" s="1"/>
  <c r="H73" i="109" s="1"/>
  <c r="H110" i="109" s="1"/>
  <c r="X46" i="108"/>
  <c r="W46" i="108"/>
  <c r="V46" i="108"/>
  <c r="U46" i="108"/>
  <c r="T46" i="108"/>
  <c r="S46" i="108"/>
  <c r="Q46" i="108"/>
  <c r="P46" i="108"/>
  <c r="O46" i="108"/>
  <c r="N46" i="108"/>
  <c r="M46" i="108"/>
  <c r="L46" i="108"/>
  <c r="K46" i="108"/>
  <c r="J46" i="108"/>
  <c r="I46" i="108"/>
  <c r="H46" i="108"/>
  <c r="X29" i="107"/>
  <c r="X79" i="107" s="1"/>
  <c r="X123" i="107" s="1"/>
  <c r="W29" i="107"/>
  <c r="V29" i="107"/>
  <c r="U29" i="107"/>
  <c r="T29" i="107"/>
  <c r="S29" i="107"/>
  <c r="R29" i="107"/>
  <c r="Q29" i="107"/>
  <c r="P29" i="107"/>
  <c r="O29" i="107"/>
  <c r="O79" i="107" s="1"/>
  <c r="N29" i="107"/>
  <c r="N79" i="107" s="1"/>
  <c r="M29" i="107"/>
  <c r="L29" i="107"/>
  <c r="K29" i="107"/>
  <c r="J29" i="107"/>
  <c r="I29" i="107"/>
  <c r="H29" i="107"/>
  <c r="H79" i="107" s="1"/>
  <c r="X253" i="106"/>
  <c r="W253" i="106"/>
  <c r="V253" i="106"/>
  <c r="U253" i="106"/>
  <c r="T253" i="106"/>
  <c r="S253" i="106"/>
  <c r="R253" i="106"/>
  <c r="Q253" i="106"/>
  <c r="K7" i="116"/>
  <c r="O253" i="106"/>
  <c r="N253" i="106"/>
  <c r="M253" i="106"/>
  <c r="L253" i="106"/>
  <c r="L623" i="106" s="1"/>
  <c r="K253" i="106"/>
  <c r="J253" i="106"/>
  <c r="J623" i="106" s="1"/>
  <c r="J827" i="106" s="1"/>
  <c r="J1252" i="106" s="1"/>
  <c r="I253" i="106"/>
  <c r="H58" i="113" l="1"/>
  <c r="H93" i="113" s="1"/>
  <c r="C93" i="116" s="1"/>
  <c r="D88" i="116"/>
  <c r="H63" i="116"/>
  <c r="M131" i="111"/>
  <c r="H89" i="116" s="1"/>
  <c r="E63" i="116"/>
  <c r="J131" i="111"/>
  <c r="E89" i="116" s="1"/>
  <c r="M89" i="116"/>
  <c r="C89" i="116"/>
  <c r="N89" i="116"/>
  <c r="S61" i="116"/>
  <c r="X196" i="107"/>
  <c r="S87" i="116" s="1"/>
  <c r="I94" i="116"/>
  <c r="F94" i="116"/>
  <c r="J94" i="116"/>
  <c r="N94" i="116"/>
  <c r="S68" i="116"/>
  <c r="S94" i="116"/>
  <c r="M94" i="116"/>
  <c r="C94" i="116"/>
  <c r="G94" i="116"/>
  <c r="K94" i="116"/>
  <c r="O68" i="116"/>
  <c r="E68" i="116"/>
  <c r="E94" i="116"/>
  <c r="R94" i="116"/>
  <c r="D94" i="116"/>
  <c r="H68" i="116"/>
  <c r="H94" i="116"/>
  <c r="L94" i="116"/>
  <c r="Q94" i="116"/>
  <c r="C90" i="116"/>
  <c r="E60" i="116"/>
  <c r="M39" i="116"/>
  <c r="R192" i="108"/>
  <c r="R298" i="108" s="1"/>
  <c r="O42" i="116"/>
  <c r="T93" i="115"/>
  <c r="T141" i="115" s="1"/>
  <c r="P42" i="116"/>
  <c r="U93" i="115"/>
  <c r="E42" i="116"/>
  <c r="J93" i="115"/>
  <c r="J141" i="115" s="1"/>
  <c r="Q42" i="116"/>
  <c r="V93" i="115"/>
  <c r="G38" i="116"/>
  <c r="L88" i="114"/>
  <c r="L133" i="114" s="1"/>
  <c r="O38" i="116"/>
  <c r="T88" i="114"/>
  <c r="T133" i="114" s="1"/>
  <c r="O91" i="116" s="1"/>
  <c r="L38" i="116"/>
  <c r="Q88" i="114"/>
  <c r="Q133" i="114" s="1"/>
  <c r="E38" i="116"/>
  <c r="J88" i="114"/>
  <c r="J133" i="114" s="1"/>
  <c r="E91" i="116" s="1"/>
  <c r="P40" i="116"/>
  <c r="U58" i="113"/>
  <c r="N40" i="116"/>
  <c r="S58" i="113"/>
  <c r="D40" i="116"/>
  <c r="I58" i="113"/>
  <c r="E40" i="116"/>
  <c r="J58" i="113"/>
  <c r="C67" i="116"/>
  <c r="N35" i="116"/>
  <c r="S101" i="112"/>
  <c r="S146" i="112" s="1"/>
  <c r="D62" i="116"/>
  <c r="H35" i="116"/>
  <c r="M101" i="112"/>
  <c r="L35" i="116"/>
  <c r="Q101" i="112"/>
  <c r="Q146" i="112" s="1"/>
  <c r="M35" i="116"/>
  <c r="R101" i="112"/>
  <c r="R146" i="112" s="1"/>
  <c r="L36" i="116"/>
  <c r="Q87" i="111"/>
  <c r="Q131" i="111" s="1"/>
  <c r="M63" i="116"/>
  <c r="C63" i="116"/>
  <c r="N63" i="116"/>
  <c r="Q37" i="116"/>
  <c r="V93" i="110"/>
  <c r="V136" i="110" s="1"/>
  <c r="L37" i="116"/>
  <c r="Q93" i="110"/>
  <c r="Q136" i="110" s="1"/>
  <c r="C64" i="116"/>
  <c r="G37" i="116"/>
  <c r="L93" i="110"/>
  <c r="L136" i="110" s="1"/>
  <c r="D68" i="116"/>
  <c r="L68" i="116"/>
  <c r="U79" i="109"/>
  <c r="U80" i="109" s="1"/>
  <c r="M68" i="116"/>
  <c r="F68" i="116"/>
  <c r="J68" i="116"/>
  <c r="N68" i="116"/>
  <c r="Q68" i="116"/>
  <c r="I68" i="116"/>
  <c r="R68" i="116"/>
  <c r="C68" i="116"/>
  <c r="L79" i="109"/>
  <c r="L80" i="109" s="1"/>
  <c r="G68" i="116"/>
  <c r="K68" i="116"/>
  <c r="I34" i="116"/>
  <c r="N123" i="107"/>
  <c r="N196" i="107" s="1"/>
  <c r="C34" i="116"/>
  <c r="H123" i="107"/>
  <c r="H196" i="107" s="1"/>
  <c r="J34" i="116"/>
  <c r="O123" i="107"/>
  <c r="G33" i="116"/>
  <c r="L827" i="106"/>
  <c r="L1252" i="106" s="1"/>
  <c r="M623" i="106"/>
  <c r="E33" i="116"/>
  <c r="L55" i="109"/>
  <c r="C13" i="116"/>
  <c r="H122" i="108"/>
  <c r="H192" i="108" s="1"/>
  <c r="H298" i="108" s="1"/>
  <c r="G13" i="116"/>
  <c r="L122" i="108"/>
  <c r="K13" i="116"/>
  <c r="P122" i="108"/>
  <c r="P13" i="116"/>
  <c r="U122" i="108"/>
  <c r="I16" i="116"/>
  <c r="N60" i="115"/>
  <c r="M16" i="116"/>
  <c r="R60" i="115"/>
  <c r="Q7" i="116"/>
  <c r="V623" i="106"/>
  <c r="F7" i="116"/>
  <c r="K623" i="106"/>
  <c r="J7" i="116"/>
  <c r="O623" i="106"/>
  <c r="N7" i="116"/>
  <c r="S623" i="106"/>
  <c r="R7" i="116"/>
  <c r="W623" i="106"/>
  <c r="D13" i="116"/>
  <c r="I122" i="108"/>
  <c r="H13" i="116"/>
  <c r="M122" i="108"/>
  <c r="L13" i="116"/>
  <c r="Q122" i="108"/>
  <c r="Q192" i="108" s="1"/>
  <c r="Q298" i="108" s="1"/>
  <c r="Q13" i="116"/>
  <c r="V122" i="108"/>
  <c r="U55" i="109"/>
  <c r="F16" i="116"/>
  <c r="K60" i="115"/>
  <c r="J16" i="116"/>
  <c r="O60" i="115"/>
  <c r="N16" i="116"/>
  <c r="S60" i="115"/>
  <c r="R16" i="116"/>
  <c r="W60" i="115"/>
  <c r="M7" i="116"/>
  <c r="R623" i="106"/>
  <c r="O7" i="116"/>
  <c r="T623" i="106"/>
  <c r="S7" i="116"/>
  <c r="X623" i="106"/>
  <c r="E13" i="116"/>
  <c r="J122" i="108"/>
  <c r="I13" i="116"/>
  <c r="N122" i="108"/>
  <c r="N13" i="116"/>
  <c r="S122" i="108"/>
  <c r="R13" i="116"/>
  <c r="W122" i="108"/>
  <c r="C16" i="116"/>
  <c r="H60" i="115"/>
  <c r="H93" i="115" s="1"/>
  <c r="H141" i="115" s="1"/>
  <c r="G16" i="116"/>
  <c r="L60" i="115"/>
  <c r="K16" i="116"/>
  <c r="P60" i="115"/>
  <c r="S16" i="116"/>
  <c r="X60" i="115"/>
  <c r="I7" i="116"/>
  <c r="N623" i="106"/>
  <c r="D7" i="116"/>
  <c r="I623" i="106"/>
  <c r="I827" i="106" s="1"/>
  <c r="I1252" i="106" s="1"/>
  <c r="L258" i="106"/>
  <c r="L259" i="106" s="1"/>
  <c r="L7" i="116"/>
  <c r="Q623" i="106"/>
  <c r="Q827" i="106" s="1"/>
  <c r="Q1252" i="106" s="1"/>
  <c r="U258" i="106"/>
  <c r="U259" i="106" s="1"/>
  <c r="P7" i="116"/>
  <c r="U623" i="106"/>
  <c r="F13" i="116"/>
  <c r="K122" i="108"/>
  <c r="J13" i="116"/>
  <c r="O122" i="108"/>
  <c r="O13" i="116"/>
  <c r="T122" i="108"/>
  <c r="S13" i="116"/>
  <c r="X122" i="108"/>
  <c r="D16" i="116"/>
  <c r="I60" i="115"/>
  <c r="H16" i="116"/>
  <c r="M60" i="115"/>
  <c r="L16" i="116"/>
  <c r="Q60" i="115"/>
  <c r="Q93" i="115" s="1"/>
  <c r="P41" i="116"/>
  <c r="C40" i="116"/>
  <c r="E36" i="116"/>
  <c r="J12" i="116"/>
  <c r="O62" i="114"/>
  <c r="N12" i="116"/>
  <c r="S62" i="114"/>
  <c r="C12" i="116"/>
  <c r="H62" i="114"/>
  <c r="H88" i="114" s="1"/>
  <c r="H133" i="114" s="1"/>
  <c r="G12" i="116"/>
  <c r="K12" i="116"/>
  <c r="P62" i="114"/>
  <c r="O12" i="116"/>
  <c r="D12" i="116"/>
  <c r="I62" i="114"/>
  <c r="I88" i="114" s="1"/>
  <c r="I133" i="114" s="1"/>
  <c r="H12" i="116"/>
  <c r="M62" i="114"/>
  <c r="L12" i="116"/>
  <c r="P12" i="116"/>
  <c r="U62" i="114"/>
  <c r="F12" i="116"/>
  <c r="K62" i="114"/>
  <c r="R12" i="116"/>
  <c r="W62" i="114"/>
  <c r="S12" i="116"/>
  <c r="X62" i="114"/>
  <c r="X88" i="114" s="1"/>
  <c r="E12" i="116"/>
  <c r="I12" i="116"/>
  <c r="N62" i="114"/>
  <c r="M12" i="116"/>
  <c r="R62" i="114"/>
  <c r="Q12" i="116"/>
  <c r="V62" i="114"/>
  <c r="D8" i="116"/>
  <c r="I79" i="107"/>
  <c r="I123" i="107" s="1"/>
  <c r="I196" i="107" s="1"/>
  <c r="D87" i="116" s="1"/>
  <c r="H8" i="116"/>
  <c r="M79" i="107"/>
  <c r="M123" i="107" s="1"/>
  <c r="L8" i="116"/>
  <c r="Q79" i="107"/>
  <c r="P8" i="116"/>
  <c r="U79" i="107"/>
  <c r="U123" i="107" s="1"/>
  <c r="U196" i="107" s="1"/>
  <c r="P87" i="116" s="1"/>
  <c r="E8" i="116"/>
  <c r="J79" i="107"/>
  <c r="J123" i="107" s="1"/>
  <c r="I8" i="116"/>
  <c r="M8" i="116"/>
  <c r="R79" i="107"/>
  <c r="R123" i="107" s="1"/>
  <c r="R196" i="107" s="1"/>
  <c r="Q8" i="116"/>
  <c r="V79" i="107"/>
  <c r="V123" i="107" s="1"/>
  <c r="V196" i="107" s="1"/>
  <c r="Q87" i="116" s="1"/>
  <c r="F8" i="116"/>
  <c r="K79" i="107"/>
  <c r="K123" i="107" s="1"/>
  <c r="K196" i="107" s="1"/>
  <c r="J8" i="116"/>
  <c r="N8" i="116"/>
  <c r="S79" i="107"/>
  <c r="S123" i="107" s="1"/>
  <c r="S196" i="107" s="1"/>
  <c r="N87" i="116" s="1"/>
  <c r="R8" i="116"/>
  <c r="W79" i="107"/>
  <c r="W123" i="107" s="1"/>
  <c r="W196" i="107" s="1"/>
  <c r="C8" i="116"/>
  <c r="G8" i="116"/>
  <c r="L79" i="107"/>
  <c r="L123" i="107" s="1"/>
  <c r="L196" i="107" s="1"/>
  <c r="K8" i="116"/>
  <c r="P79" i="107"/>
  <c r="P123" i="107" s="1"/>
  <c r="P196" i="107" s="1"/>
  <c r="O8" i="116"/>
  <c r="T79" i="107"/>
  <c r="T123" i="107" s="1"/>
  <c r="S8" i="116"/>
  <c r="K15" i="116"/>
  <c r="O15" i="116"/>
  <c r="H15" i="116"/>
  <c r="E15" i="116"/>
  <c r="I15" i="116"/>
  <c r="M15" i="116"/>
  <c r="R15" i="116"/>
  <c r="C15" i="116"/>
  <c r="G15" i="116"/>
  <c r="D15" i="116"/>
  <c r="D41" i="116"/>
  <c r="L15" i="116"/>
  <c r="L41" i="116"/>
  <c r="Q15" i="116"/>
  <c r="F15" i="116"/>
  <c r="J15" i="116"/>
  <c r="N15" i="116"/>
  <c r="S15" i="116"/>
  <c r="E11" i="116"/>
  <c r="J61" i="110"/>
  <c r="J93" i="110" s="1"/>
  <c r="Q11" i="116"/>
  <c r="F11" i="116"/>
  <c r="K61" i="110"/>
  <c r="K93" i="110" s="1"/>
  <c r="K136" i="110" s="1"/>
  <c r="J11" i="116"/>
  <c r="O61" i="110"/>
  <c r="O93" i="110" s="1"/>
  <c r="O136" i="110" s="1"/>
  <c r="N11" i="116"/>
  <c r="S61" i="110"/>
  <c r="S93" i="110" s="1"/>
  <c r="S136" i="110" s="1"/>
  <c r="R11" i="116"/>
  <c r="W61" i="110"/>
  <c r="W93" i="110" s="1"/>
  <c r="W136" i="110" s="1"/>
  <c r="I11" i="116"/>
  <c r="N61" i="110"/>
  <c r="N93" i="110" s="1"/>
  <c r="N136" i="110" s="1"/>
  <c r="C11" i="116"/>
  <c r="C37" i="116"/>
  <c r="G11" i="116"/>
  <c r="K11" i="116"/>
  <c r="P61" i="110"/>
  <c r="P93" i="110" s="1"/>
  <c r="P136" i="110" s="1"/>
  <c r="O11" i="116"/>
  <c r="T61" i="110"/>
  <c r="T93" i="110" s="1"/>
  <c r="T136" i="110" s="1"/>
  <c r="S11" i="116"/>
  <c r="X61" i="110"/>
  <c r="X93" i="110" s="1"/>
  <c r="M11" i="116"/>
  <c r="R61" i="110"/>
  <c r="D11" i="116"/>
  <c r="I61" i="110"/>
  <c r="I93" i="110" s="1"/>
  <c r="H11" i="116"/>
  <c r="M61" i="110"/>
  <c r="M93" i="110" s="1"/>
  <c r="L11" i="116"/>
  <c r="P11" i="116"/>
  <c r="U61" i="110"/>
  <c r="U93" i="110" s="1"/>
  <c r="U136" i="110" s="1"/>
  <c r="D14" i="116"/>
  <c r="L14" i="116"/>
  <c r="Q38" i="113"/>
  <c r="F14" i="116"/>
  <c r="K38" i="113"/>
  <c r="K58" i="113" s="1"/>
  <c r="J14" i="116"/>
  <c r="O38" i="113"/>
  <c r="O58" i="113" s="1"/>
  <c r="N14" i="116"/>
  <c r="R14" i="116"/>
  <c r="W38" i="113"/>
  <c r="W58" i="113" s="1"/>
  <c r="H14" i="116"/>
  <c r="M38" i="113"/>
  <c r="M58" i="113" s="1"/>
  <c r="M93" i="113" s="1"/>
  <c r="G14" i="116"/>
  <c r="L38" i="113"/>
  <c r="L58" i="113" s="1"/>
  <c r="K14" i="116"/>
  <c r="P38" i="113"/>
  <c r="P58" i="113" s="1"/>
  <c r="O14" i="116"/>
  <c r="T38" i="113"/>
  <c r="T58" i="113" s="1"/>
  <c r="S14" i="116"/>
  <c r="X38" i="113"/>
  <c r="X58" i="113" s="1"/>
  <c r="X93" i="113" s="1"/>
  <c r="P14" i="116"/>
  <c r="E14" i="116"/>
  <c r="I14" i="116"/>
  <c r="N38" i="113"/>
  <c r="N58" i="113" s="1"/>
  <c r="M14" i="116"/>
  <c r="R38" i="113"/>
  <c r="R58" i="113" s="1"/>
  <c r="Q14" i="116"/>
  <c r="V38" i="113"/>
  <c r="V58" i="113" s="1"/>
  <c r="C9" i="116"/>
  <c r="H72" i="112"/>
  <c r="H101" i="112" s="1"/>
  <c r="H146" i="112" s="1"/>
  <c r="S9" i="116"/>
  <c r="X72" i="112"/>
  <c r="X101" i="112" s="1"/>
  <c r="D9" i="116"/>
  <c r="H9" i="116"/>
  <c r="L9" i="116"/>
  <c r="P9" i="116"/>
  <c r="U72" i="112"/>
  <c r="U101" i="112" s="1"/>
  <c r="U146" i="112" s="1"/>
  <c r="O9" i="116"/>
  <c r="T72" i="112"/>
  <c r="T101" i="112" s="1"/>
  <c r="E9" i="116"/>
  <c r="J72" i="112"/>
  <c r="J101" i="112" s="1"/>
  <c r="I9" i="116"/>
  <c r="N72" i="112"/>
  <c r="N101" i="112" s="1"/>
  <c r="N146" i="112" s="1"/>
  <c r="M9" i="116"/>
  <c r="Q9" i="116"/>
  <c r="V72" i="112"/>
  <c r="V101" i="112" s="1"/>
  <c r="V146" i="112" s="1"/>
  <c r="G9" i="116"/>
  <c r="L72" i="112"/>
  <c r="L101" i="112" s="1"/>
  <c r="L146" i="112" s="1"/>
  <c r="K9" i="116"/>
  <c r="P72" i="112"/>
  <c r="P101" i="112" s="1"/>
  <c r="P146" i="112" s="1"/>
  <c r="F9" i="116"/>
  <c r="K72" i="112"/>
  <c r="K101" i="112" s="1"/>
  <c r="K146" i="112" s="1"/>
  <c r="J9" i="116"/>
  <c r="O72" i="112"/>
  <c r="O101" i="112" s="1"/>
  <c r="O146" i="112" s="1"/>
  <c r="N9" i="116"/>
  <c r="R9" i="116"/>
  <c r="W72" i="112"/>
  <c r="W101" i="112" s="1"/>
  <c r="W146" i="112" s="1"/>
  <c r="H10" i="116"/>
  <c r="E10" i="116"/>
  <c r="I10" i="116"/>
  <c r="N65" i="111"/>
  <c r="N87" i="111" s="1"/>
  <c r="N131" i="111" s="1"/>
  <c r="M10" i="116"/>
  <c r="Q10" i="116"/>
  <c r="V65" i="111"/>
  <c r="V87" i="111" s="1"/>
  <c r="V131" i="111" s="1"/>
  <c r="L10" i="116"/>
  <c r="F10" i="116"/>
  <c r="K65" i="111"/>
  <c r="K87" i="111" s="1"/>
  <c r="K131" i="111" s="1"/>
  <c r="J10" i="116"/>
  <c r="O65" i="111"/>
  <c r="O87" i="111" s="1"/>
  <c r="O131" i="111" s="1"/>
  <c r="N10" i="116"/>
  <c r="R10" i="116"/>
  <c r="W65" i="111"/>
  <c r="W87" i="111" s="1"/>
  <c r="W131" i="111" s="1"/>
  <c r="D10" i="116"/>
  <c r="I65" i="111"/>
  <c r="I87" i="111" s="1"/>
  <c r="I131" i="111" s="1"/>
  <c r="D89" i="116" s="1"/>
  <c r="P10" i="116"/>
  <c r="U65" i="111"/>
  <c r="U87" i="111" s="1"/>
  <c r="U131" i="111" s="1"/>
  <c r="C10" i="116"/>
  <c r="C36" i="116"/>
  <c r="G10" i="116"/>
  <c r="L65" i="111"/>
  <c r="L87" i="111" s="1"/>
  <c r="L131" i="111" s="1"/>
  <c r="K10" i="116"/>
  <c r="P65" i="111"/>
  <c r="P87" i="111" s="1"/>
  <c r="P131" i="111" s="1"/>
  <c r="O10" i="116"/>
  <c r="T65" i="111"/>
  <c r="T87" i="111" s="1"/>
  <c r="T131" i="111" s="1"/>
  <c r="O89" i="116" s="1"/>
  <c r="S10" i="116"/>
  <c r="X65" i="111"/>
  <c r="X87" i="111" s="1"/>
  <c r="Q16" i="116"/>
  <c r="P16" i="116"/>
  <c r="L16" i="113"/>
  <c r="L17" i="113" s="1"/>
  <c r="C14" i="116"/>
  <c r="AX346" i="117"/>
  <c r="D76" i="25" s="1"/>
  <c r="G7" i="116"/>
  <c r="U25" i="111"/>
  <c r="U26" i="111" s="1"/>
  <c r="E16" i="116"/>
  <c r="L27" i="115"/>
  <c r="L28" i="115" s="1"/>
  <c r="O16" i="116"/>
  <c r="U27" i="115"/>
  <c r="U28" i="115" s="1"/>
  <c r="U31" i="110"/>
  <c r="U32" i="110" s="1"/>
  <c r="L51" i="108"/>
  <c r="L52" i="108" s="1"/>
  <c r="U33" i="112"/>
  <c r="U34" i="112" s="1"/>
  <c r="H7" i="116"/>
  <c r="E7" i="116"/>
  <c r="L34" i="107"/>
  <c r="L35" i="107" s="1"/>
  <c r="U51" i="108"/>
  <c r="U52" i="108" s="1"/>
  <c r="U16" i="113"/>
  <c r="U17" i="113" s="1"/>
  <c r="L21" i="114"/>
  <c r="L22" i="114" s="1"/>
  <c r="L17" i="109"/>
  <c r="L18" i="109" s="1"/>
  <c r="U21" i="114"/>
  <c r="U22" i="114" s="1"/>
  <c r="U34" i="107"/>
  <c r="U35" i="107" s="1"/>
  <c r="U17" i="109"/>
  <c r="U18" i="109" s="1"/>
  <c r="L31" i="110"/>
  <c r="L32" i="110" s="1"/>
  <c r="L25" i="111"/>
  <c r="L26" i="111" s="1"/>
  <c r="L33" i="112"/>
  <c r="L34" i="112" s="1"/>
  <c r="H27" i="89"/>
  <c r="F27" i="89"/>
  <c r="H21" i="89"/>
  <c r="F21" i="89"/>
  <c r="H8" i="89"/>
  <c r="F8" i="89"/>
  <c r="D49" i="100"/>
  <c r="D45" i="100"/>
  <c r="D43" i="100"/>
  <c r="D32" i="100"/>
  <c r="D29" i="100"/>
  <c r="D26" i="100"/>
  <c r="D23" i="100"/>
  <c r="D19" i="100"/>
  <c r="D14" i="100"/>
  <c r="L93" i="113" l="1"/>
  <c r="G93" i="116" s="1"/>
  <c r="U93" i="113"/>
  <c r="P93" i="116" s="1"/>
  <c r="K93" i="113"/>
  <c r="F93" i="116" s="1"/>
  <c r="V93" i="113"/>
  <c r="Q93" i="116" s="1"/>
  <c r="J93" i="113"/>
  <c r="E93" i="116" s="1"/>
  <c r="R93" i="113"/>
  <c r="M93" i="116" s="1"/>
  <c r="T93" i="113"/>
  <c r="O93" i="116" s="1"/>
  <c r="R93" i="116"/>
  <c r="W93" i="113"/>
  <c r="I93" i="113"/>
  <c r="D93" i="116" s="1"/>
  <c r="N93" i="113"/>
  <c r="I93" i="116" s="1"/>
  <c r="P93" i="113"/>
  <c r="K93" i="116" s="1"/>
  <c r="N93" i="116"/>
  <c r="S93" i="113"/>
  <c r="O93" i="113"/>
  <c r="J93" i="116" s="1"/>
  <c r="Q69" i="116"/>
  <c r="V141" i="115"/>
  <c r="C95" i="116"/>
  <c r="H143" i="115"/>
  <c r="E95" i="116"/>
  <c r="O95" i="116"/>
  <c r="T143" i="115"/>
  <c r="L69" i="116"/>
  <c r="Q141" i="115"/>
  <c r="P69" i="116"/>
  <c r="U141" i="115"/>
  <c r="D91" i="116"/>
  <c r="S65" i="116"/>
  <c r="X133" i="114"/>
  <c r="S91" i="116" s="1"/>
  <c r="L91" i="116"/>
  <c r="G91" i="116"/>
  <c r="C91" i="116"/>
  <c r="F88" i="116"/>
  <c r="S62" i="116"/>
  <c r="X146" i="112"/>
  <c r="S88" i="116" s="1"/>
  <c r="L88" i="116"/>
  <c r="I88" i="116"/>
  <c r="N88" i="116"/>
  <c r="J88" i="116"/>
  <c r="K88" i="116"/>
  <c r="Q88" i="116"/>
  <c r="C88" i="116"/>
  <c r="M88" i="116"/>
  <c r="H62" i="116"/>
  <c r="M146" i="112"/>
  <c r="H88" i="116" s="1"/>
  <c r="G88" i="116"/>
  <c r="O62" i="116"/>
  <c r="T146" i="112"/>
  <c r="O88" i="116" s="1"/>
  <c r="R88" i="116"/>
  <c r="E62" i="116"/>
  <c r="J146" i="112"/>
  <c r="E88" i="116" s="1"/>
  <c r="P88" i="116"/>
  <c r="J89" i="116"/>
  <c r="R89" i="116"/>
  <c r="F89" i="116"/>
  <c r="I89" i="116"/>
  <c r="L137" i="111"/>
  <c r="L138" i="111" s="1"/>
  <c r="G89" i="116"/>
  <c r="P89" i="116"/>
  <c r="Q89" i="116"/>
  <c r="L89" i="116"/>
  <c r="S63" i="116"/>
  <c r="X131" i="111"/>
  <c r="S89" i="116" s="1"/>
  <c r="K89" i="116"/>
  <c r="L92" i="116"/>
  <c r="C92" i="116"/>
  <c r="M92" i="116"/>
  <c r="E61" i="116"/>
  <c r="J196" i="107"/>
  <c r="E87" i="116" s="1"/>
  <c r="G87" i="116"/>
  <c r="F87" i="116"/>
  <c r="M87" i="116"/>
  <c r="J61" i="116"/>
  <c r="O196" i="107"/>
  <c r="J87" i="116" s="1"/>
  <c r="I87" i="116"/>
  <c r="R87" i="116"/>
  <c r="O61" i="116"/>
  <c r="T196" i="107"/>
  <c r="O87" i="116" s="1"/>
  <c r="H61" i="116"/>
  <c r="M196" i="107"/>
  <c r="H87" i="116" s="1"/>
  <c r="K87" i="116"/>
  <c r="C87" i="116"/>
  <c r="L202" i="107"/>
  <c r="L203" i="107" s="1"/>
  <c r="O94" i="116"/>
  <c r="U116" i="109"/>
  <c r="U117" i="109" s="1"/>
  <c r="L116" i="109"/>
  <c r="L117" i="109" s="1"/>
  <c r="I90" i="116"/>
  <c r="N90" i="116"/>
  <c r="F90" i="116"/>
  <c r="G90" i="116"/>
  <c r="H64" i="116"/>
  <c r="M136" i="110"/>
  <c r="H90" i="116" s="1"/>
  <c r="O90" i="116"/>
  <c r="Q90" i="116"/>
  <c r="P90" i="116"/>
  <c r="R90" i="116"/>
  <c r="J90" i="116"/>
  <c r="D64" i="116"/>
  <c r="I136" i="110"/>
  <c r="S64" i="116"/>
  <c r="X136" i="110"/>
  <c r="S90" i="116" s="1"/>
  <c r="K90" i="116"/>
  <c r="E64" i="116"/>
  <c r="J136" i="110"/>
  <c r="E90" i="116" s="1"/>
  <c r="L90" i="116"/>
  <c r="H67" i="116"/>
  <c r="H93" i="116"/>
  <c r="S67" i="116"/>
  <c r="S93" i="116"/>
  <c r="G60" i="116"/>
  <c r="L66" i="116"/>
  <c r="D39" i="116"/>
  <c r="I192" i="108"/>
  <c r="I298" i="108" s="1"/>
  <c r="D92" i="116" s="1"/>
  <c r="P39" i="116"/>
  <c r="U192" i="108"/>
  <c r="U298" i="108" s="1"/>
  <c r="P92" i="116" s="1"/>
  <c r="G39" i="116"/>
  <c r="L192" i="108"/>
  <c r="L298" i="108" s="1"/>
  <c r="S39" i="116"/>
  <c r="X192" i="108"/>
  <c r="J39" i="116"/>
  <c r="O192" i="108"/>
  <c r="O298" i="108" s="1"/>
  <c r="N39" i="116"/>
  <c r="S192" i="108"/>
  <c r="S298" i="108" s="1"/>
  <c r="E39" i="116"/>
  <c r="J192" i="108"/>
  <c r="Q39" i="116"/>
  <c r="V192" i="108"/>
  <c r="V298" i="108" s="1"/>
  <c r="H39" i="116"/>
  <c r="M192" i="108"/>
  <c r="K39" i="116"/>
  <c r="P192" i="108"/>
  <c r="P298" i="108" s="1"/>
  <c r="C66" i="116"/>
  <c r="M66" i="116"/>
  <c r="O39" i="116"/>
  <c r="T192" i="108"/>
  <c r="F39" i="116"/>
  <c r="K192" i="108"/>
  <c r="K298" i="108" s="1"/>
  <c r="R39" i="116"/>
  <c r="W192" i="108"/>
  <c r="W298" i="108" s="1"/>
  <c r="I39" i="116"/>
  <c r="N192" i="108"/>
  <c r="N298" i="108" s="1"/>
  <c r="N42" i="116"/>
  <c r="S93" i="115"/>
  <c r="M42" i="116"/>
  <c r="R93" i="115"/>
  <c r="D42" i="116"/>
  <c r="I93" i="115"/>
  <c r="G42" i="116"/>
  <c r="L93" i="115"/>
  <c r="H42" i="116"/>
  <c r="M93" i="115"/>
  <c r="K42" i="116"/>
  <c r="P93" i="115"/>
  <c r="C69" i="116"/>
  <c r="R42" i="116"/>
  <c r="W93" i="115"/>
  <c r="J42" i="116"/>
  <c r="O93" i="115"/>
  <c r="E69" i="116"/>
  <c r="O69" i="116"/>
  <c r="S42" i="116"/>
  <c r="X93" i="115"/>
  <c r="F42" i="116"/>
  <c r="K93" i="115"/>
  <c r="I42" i="116"/>
  <c r="N93" i="115"/>
  <c r="R38" i="116"/>
  <c r="W88" i="114"/>
  <c r="W133" i="114" s="1"/>
  <c r="P38" i="116"/>
  <c r="U88" i="114"/>
  <c r="U133" i="114" s="1"/>
  <c r="K38" i="116"/>
  <c r="P88" i="114"/>
  <c r="P133" i="114" s="1"/>
  <c r="E65" i="116"/>
  <c r="O65" i="116"/>
  <c r="M38" i="116"/>
  <c r="R88" i="114"/>
  <c r="R133" i="114" s="1"/>
  <c r="D65" i="116"/>
  <c r="N38" i="116"/>
  <c r="S88" i="114"/>
  <c r="S133" i="114" s="1"/>
  <c r="F38" i="116"/>
  <c r="K88" i="114"/>
  <c r="K133" i="114" s="1"/>
  <c r="L65" i="116"/>
  <c r="G65" i="116"/>
  <c r="Q38" i="116"/>
  <c r="V88" i="114"/>
  <c r="V133" i="114" s="1"/>
  <c r="I38" i="116"/>
  <c r="N88" i="114"/>
  <c r="H38" i="116"/>
  <c r="M88" i="114"/>
  <c r="C65" i="116"/>
  <c r="J38" i="116"/>
  <c r="O88" i="114"/>
  <c r="O133" i="114" s="1"/>
  <c r="J67" i="116"/>
  <c r="L40" i="116"/>
  <c r="Q58" i="113"/>
  <c r="E67" i="116"/>
  <c r="N67" i="116"/>
  <c r="M67" i="116"/>
  <c r="O67" i="116"/>
  <c r="G67" i="116"/>
  <c r="R67" i="116"/>
  <c r="F67" i="116"/>
  <c r="D67" i="116"/>
  <c r="P67" i="116"/>
  <c r="Q67" i="116"/>
  <c r="I67" i="116"/>
  <c r="K67" i="116"/>
  <c r="L64" i="113"/>
  <c r="R62" i="116"/>
  <c r="P62" i="116"/>
  <c r="L62" i="116"/>
  <c r="U107" i="112"/>
  <c r="U108" i="112" s="1"/>
  <c r="F62" i="116"/>
  <c r="G62" i="116"/>
  <c r="I62" i="116"/>
  <c r="M62" i="116"/>
  <c r="N62" i="116"/>
  <c r="J62" i="116"/>
  <c r="K62" i="116"/>
  <c r="Q62" i="116"/>
  <c r="C62" i="116"/>
  <c r="L107" i="112"/>
  <c r="L108" i="112" s="1"/>
  <c r="L93" i="111"/>
  <c r="L94" i="111" s="1"/>
  <c r="K63" i="116"/>
  <c r="J63" i="116"/>
  <c r="I63" i="116"/>
  <c r="U93" i="111"/>
  <c r="U94" i="111" s="1"/>
  <c r="O63" i="116"/>
  <c r="P63" i="116"/>
  <c r="R63" i="116"/>
  <c r="Q63" i="116"/>
  <c r="L63" i="116"/>
  <c r="D63" i="116"/>
  <c r="G63" i="116"/>
  <c r="F63" i="116"/>
  <c r="N64" i="116"/>
  <c r="M37" i="116"/>
  <c r="R93" i="110"/>
  <c r="I64" i="116"/>
  <c r="L64" i="116"/>
  <c r="O64" i="116"/>
  <c r="P64" i="116"/>
  <c r="R64" i="116"/>
  <c r="J64" i="116"/>
  <c r="L99" i="110"/>
  <c r="Q64" i="116"/>
  <c r="F64" i="116"/>
  <c r="G64" i="116"/>
  <c r="K64" i="116"/>
  <c r="R61" i="116"/>
  <c r="D61" i="116"/>
  <c r="M61" i="116"/>
  <c r="N61" i="116"/>
  <c r="P61" i="116"/>
  <c r="I61" i="116"/>
  <c r="L34" i="116"/>
  <c r="Q123" i="107"/>
  <c r="Q196" i="107" s="1"/>
  <c r="C61" i="116"/>
  <c r="L129" i="107"/>
  <c r="L130" i="107" s="1"/>
  <c r="G61" i="116"/>
  <c r="F61" i="116"/>
  <c r="K61" i="116"/>
  <c r="Q61" i="116"/>
  <c r="O33" i="116"/>
  <c r="T827" i="106"/>
  <c r="T1252" i="106" s="1"/>
  <c r="R33" i="116"/>
  <c r="W827" i="106"/>
  <c r="W1252" i="106" s="1"/>
  <c r="J33" i="116"/>
  <c r="O827" i="106"/>
  <c r="O1252" i="106" s="1"/>
  <c r="Q33" i="116"/>
  <c r="V827" i="106"/>
  <c r="V1252" i="106" s="1"/>
  <c r="H33" i="116"/>
  <c r="M827" i="106"/>
  <c r="M1252" i="106" s="1"/>
  <c r="P33" i="116"/>
  <c r="U827" i="106"/>
  <c r="U1252" i="106" s="1"/>
  <c r="D60" i="116"/>
  <c r="S33" i="116"/>
  <c r="X827" i="106"/>
  <c r="X1252" i="106" s="1"/>
  <c r="M33" i="116"/>
  <c r="R827" i="106"/>
  <c r="R1252" i="106" s="1"/>
  <c r="I33" i="116"/>
  <c r="N827" i="106"/>
  <c r="N1252" i="106" s="1"/>
  <c r="L60" i="116"/>
  <c r="N33" i="116"/>
  <c r="S827" i="106"/>
  <c r="S1252" i="106" s="1"/>
  <c r="F33" i="116"/>
  <c r="K827" i="106"/>
  <c r="K1252" i="106" s="1"/>
  <c r="R34" i="116"/>
  <c r="Q34" i="116"/>
  <c r="P34" i="116"/>
  <c r="H34" i="116"/>
  <c r="C42" i="116"/>
  <c r="L66" i="115"/>
  <c r="L67" i="115" s="1"/>
  <c r="L39" i="116"/>
  <c r="U128" i="108"/>
  <c r="U129" i="108" s="1"/>
  <c r="F35" i="116"/>
  <c r="G35" i="116"/>
  <c r="E35" i="116"/>
  <c r="P35" i="116"/>
  <c r="M40" i="116"/>
  <c r="K40" i="116"/>
  <c r="H40" i="116"/>
  <c r="F40" i="116"/>
  <c r="K37" i="116"/>
  <c r="R37" i="116"/>
  <c r="J37" i="116"/>
  <c r="O34" i="116"/>
  <c r="G34" i="116"/>
  <c r="L42" i="116"/>
  <c r="U66" i="115"/>
  <c r="U67" i="115" s="1"/>
  <c r="N34" i="116"/>
  <c r="F34" i="116"/>
  <c r="M34" i="116"/>
  <c r="E34" i="116"/>
  <c r="D34" i="116"/>
  <c r="L44" i="113"/>
  <c r="L33" i="116"/>
  <c r="U629" i="106"/>
  <c r="U630" i="106" s="1"/>
  <c r="D33" i="116"/>
  <c r="L629" i="106"/>
  <c r="C39" i="116"/>
  <c r="L128" i="108"/>
  <c r="L129" i="108" s="1"/>
  <c r="R35" i="116"/>
  <c r="J35" i="116"/>
  <c r="K35" i="116"/>
  <c r="Q35" i="116"/>
  <c r="I35" i="116"/>
  <c r="O35" i="116"/>
  <c r="Q40" i="116"/>
  <c r="I40" i="116"/>
  <c r="O40" i="116"/>
  <c r="G40" i="116"/>
  <c r="R40" i="116"/>
  <c r="J40" i="116"/>
  <c r="P37" i="116"/>
  <c r="H37" i="116"/>
  <c r="O37" i="116"/>
  <c r="I37" i="116"/>
  <c r="N37" i="116"/>
  <c r="F37" i="116"/>
  <c r="E37" i="116"/>
  <c r="S34" i="116"/>
  <c r="K34" i="116"/>
  <c r="S41" i="116"/>
  <c r="J41" i="116"/>
  <c r="Q41" i="116"/>
  <c r="C41" i="116"/>
  <c r="M41" i="116"/>
  <c r="E41" i="116"/>
  <c r="O41" i="116"/>
  <c r="N41" i="116"/>
  <c r="F41" i="116"/>
  <c r="G41" i="116"/>
  <c r="R41" i="116"/>
  <c r="I41" i="116"/>
  <c r="H41" i="116"/>
  <c r="K41" i="116"/>
  <c r="S40" i="116"/>
  <c r="U44" i="113"/>
  <c r="U45" i="113" s="1"/>
  <c r="I36" i="116"/>
  <c r="K36" i="116"/>
  <c r="D36" i="116"/>
  <c r="N36" i="116"/>
  <c r="F36" i="116"/>
  <c r="Q36" i="116"/>
  <c r="M36" i="116"/>
  <c r="O36" i="116"/>
  <c r="G36" i="116"/>
  <c r="P36" i="116"/>
  <c r="R36" i="116"/>
  <c r="J36" i="116"/>
  <c r="H36" i="116"/>
  <c r="S36" i="116"/>
  <c r="N17" i="116"/>
  <c r="D35" i="116"/>
  <c r="L17" i="116"/>
  <c r="S17" i="116"/>
  <c r="L78" i="112"/>
  <c r="L79" i="112" s="1"/>
  <c r="C35" i="116"/>
  <c r="S35" i="116"/>
  <c r="F17" i="116"/>
  <c r="C17" i="116"/>
  <c r="J17" i="116"/>
  <c r="D37" i="116"/>
  <c r="S37" i="116"/>
  <c r="D38" i="116"/>
  <c r="H17" i="116"/>
  <c r="C38" i="116"/>
  <c r="L68" i="114"/>
  <c r="L69" i="114" s="1"/>
  <c r="S38" i="116"/>
  <c r="U68" i="114"/>
  <c r="U69" i="114" s="1"/>
  <c r="L85" i="107"/>
  <c r="L86" i="107" s="1"/>
  <c r="U85" i="107"/>
  <c r="U86" i="107" s="1"/>
  <c r="L56" i="109"/>
  <c r="U56" i="109"/>
  <c r="L67" i="110"/>
  <c r="L68" i="110" s="1"/>
  <c r="U67" i="110"/>
  <c r="U68" i="110" s="1"/>
  <c r="D17" i="116"/>
  <c r="R17" i="116"/>
  <c r="K17" i="116"/>
  <c r="L71" i="111"/>
  <c r="L72" i="111" s="1"/>
  <c r="M17" i="116"/>
  <c r="U71" i="111"/>
  <c r="U72" i="111" s="1"/>
  <c r="Q17" i="116"/>
  <c r="I17" i="116"/>
  <c r="P17" i="116"/>
  <c r="O17" i="116"/>
  <c r="U78" i="112"/>
  <c r="U79" i="112" s="1"/>
  <c r="G17" i="116"/>
  <c r="L45" i="113"/>
  <c r="D51" i="100"/>
  <c r="E17" i="116"/>
  <c r="F19" i="104"/>
  <c r="R19" i="104" s="1"/>
  <c r="L8" i="102"/>
  <c r="L9" i="102"/>
  <c r="L10" i="102"/>
  <c r="L11" i="102"/>
  <c r="L12" i="102"/>
  <c r="L14" i="102"/>
  <c r="L15" i="102"/>
  <c r="K6" i="102"/>
  <c r="K7" i="102"/>
  <c r="K8" i="102"/>
  <c r="K9" i="102"/>
  <c r="K10" i="102"/>
  <c r="K11" i="102"/>
  <c r="K12" i="102"/>
  <c r="K14" i="102"/>
  <c r="K15" i="102"/>
  <c r="I13" i="102"/>
  <c r="E13" i="102"/>
  <c r="I5" i="102"/>
  <c r="E5" i="102"/>
  <c r="Q93" i="113" l="1"/>
  <c r="L93" i="116" s="1"/>
  <c r="K69" i="116"/>
  <c r="P141" i="115"/>
  <c r="M69" i="116"/>
  <c r="R141" i="115"/>
  <c r="F69" i="116"/>
  <c r="K141" i="115"/>
  <c r="L95" i="116"/>
  <c r="Q143" i="115"/>
  <c r="H69" i="116"/>
  <c r="M141" i="115"/>
  <c r="H95" i="116" s="1"/>
  <c r="D69" i="116"/>
  <c r="I141" i="115"/>
  <c r="N69" i="116"/>
  <c r="S141" i="115"/>
  <c r="Q95" i="116"/>
  <c r="V143" i="115"/>
  <c r="G69" i="116"/>
  <c r="L141" i="115"/>
  <c r="R69" i="116"/>
  <c r="W141" i="115"/>
  <c r="I69" i="116"/>
  <c r="N141" i="115"/>
  <c r="S69" i="116"/>
  <c r="X141" i="115"/>
  <c r="S95" i="116" s="1"/>
  <c r="J69" i="116"/>
  <c r="O141" i="115"/>
  <c r="P95" i="116"/>
  <c r="U143" i="115"/>
  <c r="M91" i="116"/>
  <c r="L94" i="114"/>
  <c r="L95" i="114" s="1"/>
  <c r="N133" i="114"/>
  <c r="N91" i="116"/>
  <c r="R91" i="116"/>
  <c r="P91" i="116"/>
  <c r="U139" i="114"/>
  <c r="U140" i="114" s="1"/>
  <c r="J91" i="116"/>
  <c r="K91" i="116"/>
  <c r="H65" i="116"/>
  <c r="M133" i="114"/>
  <c r="H91" i="116" s="1"/>
  <c r="Q91" i="116"/>
  <c r="F91" i="116"/>
  <c r="L152" i="112"/>
  <c r="L153" i="112" s="1"/>
  <c r="U152" i="112"/>
  <c r="U153" i="112" s="1"/>
  <c r="U137" i="111"/>
  <c r="U138" i="111" s="1"/>
  <c r="F92" i="116"/>
  <c r="J92" i="116"/>
  <c r="G92" i="116"/>
  <c r="H66" i="116"/>
  <c r="M298" i="108"/>
  <c r="H92" i="116" s="1"/>
  <c r="R92" i="116"/>
  <c r="O66" i="116"/>
  <c r="T298" i="108"/>
  <c r="O92" i="116" s="1"/>
  <c r="Q92" i="116"/>
  <c r="N92" i="116"/>
  <c r="S66" i="116"/>
  <c r="X298" i="108"/>
  <c r="S92" i="116" s="1"/>
  <c r="I92" i="116"/>
  <c r="E66" i="116"/>
  <c r="J298" i="108"/>
  <c r="E92" i="116" s="1"/>
  <c r="K92" i="116"/>
  <c r="L87" i="116"/>
  <c r="U202" i="107"/>
  <c r="U203" i="107" s="1"/>
  <c r="D90" i="116"/>
  <c r="L142" i="110"/>
  <c r="L143" i="110" s="1"/>
  <c r="U99" i="110"/>
  <c r="U100" i="110" s="1"/>
  <c r="R136" i="110"/>
  <c r="N60" i="116"/>
  <c r="H60" i="116"/>
  <c r="J60" i="116"/>
  <c r="O60" i="116"/>
  <c r="O70" i="116" s="1"/>
  <c r="M60" i="116"/>
  <c r="F60" i="116"/>
  <c r="P60" i="116"/>
  <c r="Q60" i="116"/>
  <c r="R60" i="116"/>
  <c r="I60" i="116"/>
  <c r="S60" i="116"/>
  <c r="I66" i="116"/>
  <c r="F66" i="116"/>
  <c r="K66" i="116"/>
  <c r="Q66" i="116"/>
  <c r="N66" i="116"/>
  <c r="P66" i="116"/>
  <c r="U198" i="108"/>
  <c r="U199" i="108" s="1"/>
  <c r="R66" i="116"/>
  <c r="L198" i="108"/>
  <c r="L199" i="108" s="1"/>
  <c r="J66" i="116"/>
  <c r="G66" i="116"/>
  <c r="G70" i="116" s="1"/>
  <c r="D66" i="116"/>
  <c r="E70" i="116"/>
  <c r="L99" i="115"/>
  <c r="L100" i="115" s="1"/>
  <c r="U99" i="115"/>
  <c r="U100" i="115" s="1"/>
  <c r="N65" i="116"/>
  <c r="M65" i="116"/>
  <c r="P65" i="116"/>
  <c r="I65" i="116"/>
  <c r="U94" i="114"/>
  <c r="U95" i="114" s="1"/>
  <c r="F65" i="116"/>
  <c r="K65" i="116"/>
  <c r="R65" i="116"/>
  <c r="J65" i="116"/>
  <c r="Q65" i="116"/>
  <c r="J43" i="116"/>
  <c r="L67" i="116"/>
  <c r="U64" i="113"/>
  <c r="U65" i="113" s="1"/>
  <c r="C70" i="116"/>
  <c r="M64" i="116"/>
  <c r="L61" i="116"/>
  <c r="U129" i="107"/>
  <c r="U130" i="107" s="1"/>
  <c r="U833" i="106"/>
  <c r="U834" i="106" s="1"/>
  <c r="L833" i="106"/>
  <c r="L630" i="106"/>
  <c r="Q43" i="116"/>
  <c r="K43" i="116"/>
  <c r="L43" i="116"/>
  <c r="P43" i="116"/>
  <c r="I43" i="116"/>
  <c r="H43" i="116"/>
  <c r="N43" i="116"/>
  <c r="E43" i="116"/>
  <c r="G43" i="116"/>
  <c r="I16" i="102"/>
  <c r="O43" i="116"/>
  <c r="R43" i="116"/>
  <c r="M43" i="116"/>
  <c r="F43" i="116"/>
  <c r="S43" i="116"/>
  <c r="C43" i="116"/>
  <c r="D43" i="116"/>
  <c r="G21" i="116"/>
  <c r="G22" i="116" s="1"/>
  <c r="P21" i="116"/>
  <c r="P22" i="116" s="1"/>
  <c r="G19" i="104"/>
  <c r="Q19" i="104" s="1"/>
  <c r="E16" i="102"/>
  <c r="F13" i="102"/>
  <c r="G13" i="102"/>
  <c r="K13" i="102" s="1"/>
  <c r="H13" i="102"/>
  <c r="J13" i="102"/>
  <c r="F5" i="102"/>
  <c r="G5" i="102"/>
  <c r="K5" i="102" s="1"/>
  <c r="H5" i="102"/>
  <c r="J5" i="102"/>
  <c r="U304" i="108" l="1"/>
  <c r="U305" i="108" s="1"/>
  <c r="M95" i="116"/>
  <c r="R143" i="115"/>
  <c r="D70" i="116"/>
  <c r="S70" i="116"/>
  <c r="J95" i="116"/>
  <c r="O143" i="115"/>
  <c r="I95" i="116"/>
  <c r="N143" i="115"/>
  <c r="G95" i="116"/>
  <c r="N95" i="116"/>
  <c r="S143" i="115"/>
  <c r="F95" i="116"/>
  <c r="K143" i="115"/>
  <c r="K95" i="116"/>
  <c r="R95" i="116"/>
  <c r="W143" i="115"/>
  <c r="D95" i="116"/>
  <c r="L147" i="115"/>
  <c r="L148" i="115" s="1"/>
  <c r="U147" i="115"/>
  <c r="U148" i="115" s="1"/>
  <c r="I91" i="116"/>
  <c r="L139" i="114"/>
  <c r="L140" i="114" s="1"/>
  <c r="L304" i="108"/>
  <c r="L305" i="108" s="1"/>
  <c r="H70" i="116"/>
  <c r="P70" i="116"/>
  <c r="J70" i="116"/>
  <c r="M90" i="116"/>
  <c r="U142" i="110"/>
  <c r="U143" i="110" s="1"/>
  <c r="I70" i="116"/>
  <c r="K70" i="116"/>
  <c r="L70" i="116"/>
  <c r="L1258" i="106"/>
  <c r="U1258" i="106"/>
  <c r="U1259" i="106" s="1"/>
  <c r="L834" i="106"/>
  <c r="N70" i="116"/>
  <c r="R70" i="116"/>
  <c r="Q70" i="116"/>
  <c r="F70" i="116"/>
  <c r="M70" i="116"/>
  <c r="L5" i="102"/>
  <c r="P47" i="116"/>
  <c r="P48" i="116" s="1"/>
  <c r="G47" i="116"/>
  <c r="G48" i="116" s="1"/>
  <c r="H16" i="102"/>
  <c r="J16" i="102"/>
  <c r="G16" i="102"/>
  <c r="K16" i="102" s="1"/>
  <c r="L13" i="102"/>
  <c r="F16" i="102"/>
  <c r="F76" i="101"/>
  <c r="G82" i="101" s="1"/>
  <c r="F72" i="101"/>
  <c r="F71" i="101" s="1"/>
  <c r="F62" i="101"/>
  <c r="F56" i="101"/>
  <c r="F49" i="101"/>
  <c r="F24" i="101" s="1"/>
  <c r="F15" i="101"/>
  <c r="F17" i="101"/>
  <c r="F19" i="101"/>
  <c r="F21" i="101"/>
  <c r="F23" i="101"/>
  <c r="T16" i="43"/>
  <c r="D71" i="25"/>
  <c r="E71" i="25"/>
  <c r="F71" i="25"/>
  <c r="D51" i="25"/>
  <c r="E51" i="25"/>
  <c r="F51" i="25"/>
  <c r="D47" i="25"/>
  <c r="E47" i="25"/>
  <c r="F47" i="25"/>
  <c r="D36" i="25"/>
  <c r="D27" i="25" s="1"/>
  <c r="E27" i="25"/>
  <c r="F27" i="25"/>
  <c r="F24" i="25"/>
  <c r="D24" i="25"/>
  <c r="E24" i="25"/>
  <c r="C24" i="25"/>
  <c r="F21" i="25"/>
  <c r="D21" i="25"/>
  <c r="F12" i="25"/>
  <c r="D12" i="25"/>
  <c r="D6" i="25"/>
  <c r="F6" i="25"/>
  <c r="F36" i="24"/>
  <c r="O36" i="24" s="1"/>
  <c r="N21" i="24"/>
  <c r="N9" i="24" s="1"/>
  <c r="N35" i="24"/>
  <c r="H21" i="24"/>
  <c r="H9" i="24" s="1"/>
  <c r="H35" i="24"/>
  <c r="F23" i="24"/>
  <c r="O23" i="24" s="1"/>
  <c r="F24" i="24"/>
  <c r="O24" i="24" s="1"/>
  <c r="F25" i="24"/>
  <c r="O25" i="24" s="1"/>
  <c r="F26" i="24"/>
  <c r="O26" i="24" s="1"/>
  <c r="F27" i="24"/>
  <c r="F28" i="24"/>
  <c r="O28" i="24" s="1"/>
  <c r="F29" i="24"/>
  <c r="F31" i="24"/>
  <c r="F34" i="24"/>
  <c r="F35" i="24"/>
  <c r="E23" i="24"/>
  <c r="E24" i="24"/>
  <c r="E25" i="24"/>
  <c r="E26" i="24"/>
  <c r="E27" i="24"/>
  <c r="E28" i="24"/>
  <c r="E29" i="24"/>
  <c r="E31" i="24"/>
  <c r="E34" i="24"/>
  <c r="E36" i="24"/>
  <c r="T7" i="24"/>
  <c r="F8" i="24"/>
  <c r="F7" i="24" s="1"/>
  <c r="E8" i="24"/>
  <c r="G7" i="24"/>
  <c r="H7" i="24"/>
  <c r="I7" i="24"/>
  <c r="I38" i="24" s="1"/>
  <c r="J7" i="24"/>
  <c r="J38" i="24" s="1"/>
  <c r="K7" i="24"/>
  <c r="K38" i="24" s="1"/>
  <c r="L7" i="24"/>
  <c r="L38" i="24" s="1"/>
  <c r="M7" i="24"/>
  <c r="N7" i="24"/>
  <c r="P7" i="24"/>
  <c r="P38" i="24" s="1"/>
  <c r="Q7" i="24"/>
  <c r="Q38" i="24" s="1"/>
  <c r="R7" i="24"/>
  <c r="R38" i="24" s="1"/>
  <c r="S7" i="24"/>
  <c r="S38" i="24" s="1"/>
  <c r="F177" i="31"/>
  <c r="F146" i="31"/>
  <c r="F147" i="31"/>
  <c r="U147" i="31" s="1"/>
  <c r="F148" i="31"/>
  <c r="F149" i="31"/>
  <c r="F150" i="31"/>
  <c r="U150" i="31" s="1"/>
  <c r="F151" i="31"/>
  <c r="U151" i="31" s="1"/>
  <c r="F152" i="31"/>
  <c r="U152" i="31" s="1"/>
  <c r="F153" i="31"/>
  <c r="U153" i="31" s="1"/>
  <c r="F154" i="31"/>
  <c r="U154" i="31" s="1"/>
  <c r="F155" i="31"/>
  <c r="U155" i="31" s="1"/>
  <c r="F156" i="31"/>
  <c r="U156" i="31" s="1"/>
  <c r="F157" i="31"/>
  <c r="U157" i="31" s="1"/>
  <c r="F158" i="31"/>
  <c r="F159" i="31"/>
  <c r="U159" i="31" s="1"/>
  <c r="F160" i="31"/>
  <c r="F161" i="31"/>
  <c r="F162" i="31"/>
  <c r="F163" i="31"/>
  <c r="U163" i="31" s="1"/>
  <c r="F164" i="31"/>
  <c r="U164" i="31" s="1"/>
  <c r="F165" i="31"/>
  <c r="F166" i="31"/>
  <c r="F167" i="31"/>
  <c r="F168" i="31"/>
  <c r="F169" i="31"/>
  <c r="U169" i="31" s="1"/>
  <c r="F170" i="31"/>
  <c r="F171" i="31"/>
  <c r="U171" i="31" s="1"/>
  <c r="F172" i="31"/>
  <c r="F173" i="31"/>
  <c r="F174" i="31"/>
  <c r="U174" i="31" s="1"/>
  <c r="F175" i="31"/>
  <c r="U175" i="31" s="1"/>
  <c r="F176" i="31"/>
  <c r="U176" i="31" s="1"/>
  <c r="F178" i="31"/>
  <c r="F179" i="31"/>
  <c r="F180" i="31"/>
  <c r="F181" i="31"/>
  <c r="F182"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8" i="31"/>
  <c r="E179" i="31"/>
  <c r="E180" i="31"/>
  <c r="E181" i="31"/>
  <c r="E182" i="31"/>
  <c r="F145" i="31"/>
  <c r="U145" i="31" s="1"/>
  <c r="E145" i="31"/>
  <c r="G144" i="31"/>
  <c r="G183" i="31" s="1"/>
  <c r="H144" i="31"/>
  <c r="H183" i="31" s="1"/>
  <c r="I144" i="31"/>
  <c r="I183" i="31" s="1"/>
  <c r="J144" i="31"/>
  <c r="J183" i="31" s="1"/>
  <c r="K144" i="31"/>
  <c r="K183" i="31" s="1"/>
  <c r="L144" i="31"/>
  <c r="L183" i="31" s="1"/>
  <c r="O144" i="31"/>
  <c r="O183" i="31" s="1"/>
  <c r="P144" i="31"/>
  <c r="P183" i="31" s="1"/>
  <c r="Q144" i="31"/>
  <c r="Q183" i="31" s="1"/>
  <c r="R144" i="31"/>
  <c r="R183" i="31" s="1"/>
  <c r="T144" i="31"/>
  <c r="T183" i="31" s="1"/>
  <c r="V144" i="31"/>
  <c r="V183" i="31" s="1"/>
  <c r="W144" i="31"/>
  <c r="W183" i="31" s="1"/>
  <c r="X144" i="31"/>
  <c r="X183" i="31" s="1"/>
  <c r="Y144" i="31"/>
  <c r="Y183" i="31" s="1"/>
  <c r="F76" i="31"/>
  <c r="U76" i="31" s="1"/>
  <c r="T111" i="31"/>
  <c r="N111" i="31"/>
  <c r="N75" i="31" s="1"/>
  <c r="F78" i="31"/>
  <c r="F79" i="31"/>
  <c r="U79" i="31" s="1"/>
  <c r="F82" i="31"/>
  <c r="U82" i="31" s="1"/>
  <c r="F83" i="31"/>
  <c r="U83" i="31" s="1"/>
  <c r="F87" i="31"/>
  <c r="U87" i="31" s="1"/>
  <c r="F89" i="31"/>
  <c r="U89" i="31" s="1"/>
  <c r="F92" i="31"/>
  <c r="U92" i="31" s="1"/>
  <c r="F93" i="31"/>
  <c r="U93" i="31" s="1"/>
  <c r="F97" i="31"/>
  <c r="U97" i="31" s="1"/>
  <c r="F98" i="31"/>
  <c r="U98" i="31" s="1"/>
  <c r="F99" i="31"/>
  <c r="F100" i="31"/>
  <c r="U100" i="31" s="1"/>
  <c r="F101" i="31"/>
  <c r="U101" i="31" s="1"/>
  <c r="F105" i="31"/>
  <c r="U105" i="31" s="1"/>
  <c r="F106" i="31"/>
  <c r="U106" i="31" s="1"/>
  <c r="F107" i="31"/>
  <c r="U107" i="31" s="1"/>
  <c r="F110" i="31"/>
  <c r="U110" i="31" s="1"/>
  <c r="F112" i="31"/>
  <c r="U112" i="31" s="1"/>
  <c r="F113" i="31"/>
  <c r="U113" i="31" s="1"/>
  <c r="F118" i="31"/>
  <c r="U118" i="31" s="1"/>
  <c r="F125" i="31"/>
  <c r="U125" i="31" s="1"/>
  <c r="F132" i="31"/>
  <c r="U132" i="31" s="1"/>
  <c r="F136" i="31"/>
  <c r="U136" i="31" s="1"/>
  <c r="F137" i="31"/>
  <c r="U137" i="31" s="1"/>
  <c r="F138" i="31"/>
  <c r="U138" i="31" s="1"/>
  <c r="F142" i="31"/>
  <c r="U142" i="31" s="1"/>
  <c r="E78" i="31"/>
  <c r="E82" i="31"/>
  <c r="E83" i="31"/>
  <c r="E87" i="31"/>
  <c r="E89" i="31"/>
  <c r="E92" i="31"/>
  <c r="E93" i="31"/>
  <c r="E97" i="31"/>
  <c r="E98" i="31"/>
  <c r="E99" i="31"/>
  <c r="E100" i="31"/>
  <c r="E101" i="31"/>
  <c r="E105" i="31"/>
  <c r="E106" i="31"/>
  <c r="E107" i="31"/>
  <c r="E110" i="31"/>
  <c r="E112" i="31"/>
  <c r="E113" i="31"/>
  <c r="E118" i="31"/>
  <c r="E125" i="31"/>
  <c r="E132" i="31"/>
  <c r="E136" i="31"/>
  <c r="E137" i="31"/>
  <c r="E138" i="31"/>
  <c r="E142" i="31"/>
  <c r="E76" i="31"/>
  <c r="G75" i="31"/>
  <c r="H75" i="31"/>
  <c r="K75" i="31"/>
  <c r="L75" i="31"/>
  <c r="O75" i="31"/>
  <c r="P75" i="31"/>
  <c r="Q75" i="31"/>
  <c r="R75" i="31"/>
  <c r="V75" i="31"/>
  <c r="X75" i="31"/>
  <c r="Y75" i="31"/>
  <c r="T60" i="31"/>
  <c r="J60" i="31"/>
  <c r="F62" i="31"/>
  <c r="F63" i="31"/>
  <c r="U63" i="31" s="1"/>
  <c r="F64" i="31"/>
  <c r="U64" i="31" s="1"/>
  <c r="F65" i="31"/>
  <c r="F66" i="31"/>
  <c r="U66" i="31" s="1"/>
  <c r="F70" i="31"/>
  <c r="U70" i="31" s="1"/>
  <c r="E62" i="31"/>
  <c r="E63" i="31"/>
  <c r="E64" i="31"/>
  <c r="E65" i="31"/>
  <c r="E66" i="31"/>
  <c r="E70" i="31"/>
  <c r="F61" i="31"/>
  <c r="E61" i="31"/>
  <c r="G60" i="31"/>
  <c r="H60" i="31"/>
  <c r="K60" i="31"/>
  <c r="L60" i="31"/>
  <c r="M60" i="31"/>
  <c r="N60" i="31"/>
  <c r="O60" i="31"/>
  <c r="P60" i="31"/>
  <c r="Q60" i="31"/>
  <c r="R60" i="31"/>
  <c r="V60" i="31"/>
  <c r="W60" i="31"/>
  <c r="X60" i="31"/>
  <c r="Y60" i="31"/>
  <c r="F56" i="31"/>
  <c r="G56" i="31"/>
  <c r="H56" i="31"/>
  <c r="I56" i="31"/>
  <c r="J56" i="31"/>
  <c r="K56" i="31"/>
  <c r="L56" i="31"/>
  <c r="M56" i="31"/>
  <c r="N56" i="31"/>
  <c r="O56" i="31"/>
  <c r="P56" i="31"/>
  <c r="Q56" i="31"/>
  <c r="R56" i="31"/>
  <c r="S56" i="31"/>
  <c r="T56" i="31"/>
  <c r="U56" i="31"/>
  <c r="V56" i="31"/>
  <c r="W56" i="31"/>
  <c r="X56" i="31"/>
  <c r="Y56" i="31"/>
  <c r="E56" i="31"/>
  <c r="F33" i="31"/>
  <c r="U33" i="31" s="1"/>
  <c r="F30" i="31"/>
  <c r="F31" i="31"/>
  <c r="F35" i="31"/>
  <c r="F36" i="31"/>
  <c r="U36" i="31" s="1"/>
  <c r="F37" i="31"/>
  <c r="U37" i="31" s="1"/>
  <c r="F43" i="31"/>
  <c r="U43" i="31" s="1"/>
  <c r="F44" i="31"/>
  <c r="F45" i="31"/>
  <c r="U45" i="31" s="1"/>
  <c r="F49" i="31"/>
  <c r="U49" i="31" s="1"/>
  <c r="F53" i="31"/>
  <c r="F29" i="31"/>
  <c r="U29" i="31" s="1"/>
  <c r="E30" i="31"/>
  <c r="E31" i="31"/>
  <c r="E35" i="31"/>
  <c r="E36" i="31"/>
  <c r="E37" i="31"/>
  <c r="E43" i="31"/>
  <c r="E44" i="31"/>
  <c r="E45" i="31"/>
  <c r="E49" i="31"/>
  <c r="E53" i="31"/>
  <c r="E29" i="31"/>
  <c r="F13" i="31"/>
  <c r="U13" i="31" s="1"/>
  <c r="F15" i="31"/>
  <c r="F16" i="31"/>
  <c r="U16" i="31" s="1"/>
  <c r="F17" i="31"/>
  <c r="F18" i="31"/>
  <c r="U18" i="31" s="1"/>
  <c r="F19" i="31"/>
  <c r="U19" i="31" s="1"/>
  <c r="F20" i="31"/>
  <c r="U20" i="31" s="1"/>
  <c r="F21" i="31"/>
  <c r="U21" i="31" s="1"/>
  <c r="F23" i="31"/>
  <c r="E13" i="31"/>
  <c r="E15" i="31"/>
  <c r="E16" i="31"/>
  <c r="E17" i="31"/>
  <c r="E18" i="31"/>
  <c r="E19" i="31"/>
  <c r="E20" i="31"/>
  <c r="E21" i="31"/>
  <c r="E23" i="31"/>
  <c r="F11" i="31"/>
  <c r="U11" i="31" s="1"/>
  <c r="E11" i="31"/>
  <c r="F14" i="31"/>
  <c r="U14" i="31" s="1"/>
  <c r="F24" i="31"/>
  <c r="W7" i="31"/>
  <c r="T7" i="31"/>
  <c r="R7" i="31"/>
  <c r="P7" i="31"/>
  <c r="N7" i="31"/>
  <c r="L7" i="31"/>
  <c r="J7" i="31"/>
  <c r="H7" i="31"/>
  <c r="G7" i="31"/>
  <c r="F9" i="31"/>
  <c r="F7" i="31" s="1"/>
  <c r="L130" i="27"/>
  <c r="J130" i="27"/>
  <c r="H130" i="27"/>
  <c r="H132" i="27" s="1"/>
  <c r="F130" i="27"/>
  <c r="F132" i="27" s="1"/>
  <c r="Y24" i="26"/>
  <c r="Y25" i="26"/>
  <c r="Y7" i="26"/>
  <c r="Y8" i="26"/>
  <c r="Y9" i="26"/>
  <c r="Y10" i="26"/>
  <c r="Y11" i="26"/>
  <c r="Y12" i="26"/>
  <c r="Y6" i="26"/>
  <c r="F23" i="26"/>
  <c r="G23" i="26"/>
  <c r="K23" i="26"/>
  <c r="L23" i="26"/>
  <c r="L26" i="26" s="1"/>
  <c r="M23" i="26"/>
  <c r="M26" i="26" s="1"/>
  <c r="N23" i="26"/>
  <c r="N26" i="26" s="1"/>
  <c r="S23" i="26"/>
  <c r="S26" i="26" s="1"/>
  <c r="T23" i="26"/>
  <c r="T26" i="26" s="1"/>
  <c r="M9" i="43"/>
  <c r="M10" i="43"/>
  <c r="M11" i="43"/>
  <c r="M13" i="43"/>
  <c r="M14" i="43"/>
  <c r="M15" i="43"/>
  <c r="M16" i="43"/>
  <c r="M17" i="43"/>
  <c r="M19" i="43"/>
  <c r="M22" i="43"/>
  <c r="M23" i="43"/>
  <c r="M24" i="43"/>
  <c r="M25" i="43"/>
  <c r="M26" i="43"/>
  <c r="M30" i="43"/>
  <c r="M31" i="43"/>
  <c r="M32" i="43"/>
  <c r="M33" i="43"/>
  <c r="M34" i="43"/>
  <c r="M35" i="43"/>
  <c r="M36" i="43"/>
  <c r="M39" i="43"/>
  <c r="M40" i="43"/>
  <c r="M41" i="43"/>
  <c r="M42" i="43"/>
  <c r="M43" i="43"/>
  <c r="M44" i="43"/>
  <c r="M45" i="43"/>
  <c r="M49" i="43"/>
  <c r="M50" i="43"/>
  <c r="M8" i="43"/>
  <c r="L9" i="43"/>
  <c r="L10" i="43"/>
  <c r="L11" i="43"/>
  <c r="L13" i="43"/>
  <c r="L14" i="43"/>
  <c r="L15" i="43"/>
  <c r="L16" i="43"/>
  <c r="L17" i="43"/>
  <c r="L19" i="43"/>
  <c r="L22" i="43"/>
  <c r="L23" i="43"/>
  <c r="L24" i="43"/>
  <c r="L25" i="43"/>
  <c r="L26" i="43"/>
  <c r="L30" i="43"/>
  <c r="L31" i="43"/>
  <c r="L32" i="43"/>
  <c r="L33" i="43"/>
  <c r="L34" i="43"/>
  <c r="L35" i="43"/>
  <c r="L36" i="43"/>
  <c r="L39" i="43"/>
  <c r="L40" i="43"/>
  <c r="L41" i="43"/>
  <c r="L42" i="43"/>
  <c r="L43" i="43"/>
  <c r="L44" i="43"/>
  <c r="L45" i="43"/>
  <c r="L49" i="43"/>
  <c r="L50" i="43"/>
  <c r="CE9" i="105"/>
  <c r="CE10" i="105"/>
  <c r="CE11" i="105"/>
  <c r="CE12" i="105"/>
  <c r="CE13" i="105"/>
  <c r="CE14" i="105"/>
  <c r="CE15" i="105"/>
  <c r="CE16" i="105"/>
  <c r="CE17" i="105"/>
  <c r="CE18" i="105"/>
  <c r="CE19" i="105"/>
  <c r="CE20" i="105"/>
  <c r="CE21" i="105"/>
  <c r="CE22" i="105"/>
  <c r="CE23" i="105"/>
  <c r="CE24" i="105"/>
  <c r="CE25" i="105"/>
  <c r="CE26" i="105"/>
  <c r="CE27" i="105"/>
  <c r="CE28" i="105"/>
  <c r="CE29" i="105"/>
  <c r="CE30" i="105"/>
  <c r="CG30" i="105" s="1"/>
  <c r="CE31" i="105"/>
  <c r="CE32" i="105"/>
  <c r="CE33" i="105"/>
  <c r="CE34" i="105"/>
  <c r="CE35" i="105"/>
  <c r="CE36" i="105"/>
  <c r="CE37" i="105"/>
  <c r="CE38" i="105"/>
  <c r="CE39" i="105"/>
  <c r="CE40" i="105"/>
  <c r="CE41" i="105"/>
  <c r="CE42" i="105"/>
  <c r="CE43" i="105"/>
  <c r="CE44" i="105"/>
  <c r="CE45" i="105"/>
  <c r="CE46" i="105"/>
  <c r="CE47" i="105"/>
  <c r="CE48" i="105"/>
  <c r="CE49" i="105"/>
  <c r="CE50" i="105"/>
  <c r="CD9" i="105"/>
  <c r="CD10" i="105"/>
  <c r="CD11" i="105"/>
  <c r="CD12" i="105"/>
  <c r="CD13" i="105"/>
  <c r="CD14" i="105"/>
  <c r="CD15" i="105"/>
  <c r="CD16" i="105"/>
  <c r="CD17" i="105"/>
  <c r="CD18" i="105"/>
  <c r="CD19" i="105"/>
  <c r="CD20" i="105"/>
  <c r="CD21" i="105"/>
  <c r="CD22" i="105"/>
  <c r="CD23" i="105"/>
  <c r="CD24" i="105"/>
  <c r="CD25" i="105"/>
  <c r="CD26" i="105"/>
  <c r="CD27" i="105"/>
  <c r="CD28" i="105"/>
  <c r="CD29" i="105"/>
  <c r="CD30" i="105"/>
  <c r="CD31" i="105"/>
  <c r="CD32" i="105"/>
  <c r="CD33" i="105"/>
  <c r="CD34" i="105"/>
  <c r="CD35" i="105"/>
  <c r="CD36" i="105"/>
  <c r="CD37" i="105"/>
  <c r="CD38" i="105"/>
  <c r="CD39" i="105"/>
  <c r="CD40" i="105"/>
  <c r="CD41" i="105"/>
  <c r="CD42" i="105"/>
  <c r="CD43" i="105"/>
  <c r="CD44" i="105"/>
  <c r="CD45" i="105"/>
  <c r="CD46" i="105"/>
  <c r="CD47" i="105"/>
  <c r="CD48" i="105"/>
  <c r="CD49" i="105"/>
  <c r="CD50" i="105"/>
  <c r="CD8" i="105"/>
  <c r="CE8" i="105"/>
  <c r="J132" i="27" l="1"/>
  <c r="J134" i="27" s="1"/>
  <c r="Z23" i="26"/>
  <c r="F28" i="31"/>
  <c r="G74" i="116"/>
  <c r="G75" i="116" s="1"/>
  <c r="L1259" i="106"/>
  <c r="P74" i="116"/>
  <c r="P75" i="116" s="1"/>
  <c r="L16" i="102"/>
  <c r="F131" i="31"/>
  <c r="U131" i="31" s="1"/>
  <c r="U24" i="31"/>
  <c r="L143" i="31"/>
  <c r="L184" i="31" s="1"/>
  <c r="P143" i="31"/>
  <c r="P184" i="31" s="1"/>
  <c r="U78" i="31"/>
  <c r="U30" i="31"/>
  <c r="F74" i="31"/>
  <c r="H143" i="31"/>
  <c r="H184" i="31" s="1"/>
  <c r="F111" i="31"/>
  <c r="U111" i="31" s="1"/>
  <c r="F21" i="24"/>
  <c r="F9" i="24" s="1"/>
  <c r="F38" i="24" s="1"/>
  <c r="T14" i="43" s="1"/>
  <c r="F26" i="31"/>
  <c r="R143" i="31"/>
  <c r="R184" i="31" s="1"/>
  <c r="N143" i="31"/>
  <c r="G143" i="31"/>
  <c r="G184" i="31" s="1"/>
  <c r="E7" i="24"/>
  <c r="O8" i="24"/>
  <c r="F9" i="101"/>
  <c r="Y23" i="26"/>
  <c r="H38" i="24"/>
  <c r="U17" i="31"/>
  <c r="L132" i="27"/>
  <c r="F26" i="26"/>
  <c r="Z26" i="26" s="1"/>
  <c r="D74" i="25"/>
  <c r="D75" i="25" s="1"/>
  <c r="K26" i="26"/>
  <c r="N144" i="31"/>
  <c r="N183" i="31" s="1"/>
  <c r="N38" i="24"/>
  <c r="F74" i="25"/>
  <c r="T75" i="31"/>
  <c r="T143" i="31" s="1"/>
  <c r="T184" i="31" s="1"/>
  <c r="F12" i="101"/>
  <c r="F8" i="101" s="1"/>
  <c r="F55" i="101"/>
  <c r="G80" i="101" s="1"/>
  <c r="F144" i="31"/>
  <c r="F183" i="31" s="1"/>
  <c r="F133" i="31"/>
  <c r="U133" i="31" s="1"/>
  <c r="J75" i="31"/>
  <c r="X26" i="26"/>
  <c r="F53" i="101" l="1"/>
  <c r="G69" i="101" s="1"/>
  <c r="F60" i="31"/>
  <c r="U74" i="31"/>
  <c r="W75" i="31"/>
  <c r="W143" i="31" s="1"/>
  <c r="W184" i="31" s="1"/>
  <c r="T11" i="43"/>
  <c r="F10" i="31"/>
  <c r="U26" i="31"/>
  <c r="N184" i="31"/>
  <c r="F75" i="31"/>
  <c r="J143" i="31"/>
  <c r="J184" i="31" s="1"/>
  <c r="T12" i="43"/>
  <c r="FG14" i="23"/>
  <c r="CA14" i="105" s="1"/>
  <c r="T15" i="43"/>
  <c r="I82" i="101" l="1"/>
  <c r="F143" i="31"/>
  <c r="F184" i="31" s="1"/>
  <c r="F78" i="101"/>
  <c r="G86" i="101" s="1"/>
  <c r="G10" i="41"/>
  <c r="G12" i="41"/>
  <c r="G11" i="43" s="1"/>
  <c r="G14" i="41"/>
  <c r="G13" i="43" s="1"/>
  <c r="G15" i="41"/>
  <c r="G14" i="43" s="1"/>
  <c r="G16" i="41"/>
  <c r="G15" i="43" s="1"/>
  <c r="G17" i="41"/>
  <c r="G16" i="43" s="1"/>
  <c r="G18" i="41"/>
  <c r="G17" i="43" s="1"/>
  <c r="G19" i="41"/>
  <c r="G20" i="41"/>
  <c r="G19" i="43" s="1"/>
  <c r="G23" i="41"/>
  <c r="G22" i="43" s="1"/>
  <c r="G24" i="41"/>
  <c r="G23" i="43" s="1"/>
  <c r="G25" i="41"/>
  <c r="G24" i="43" s="1"/>
  <c r="G26" i="41"/>
  <c r="G25" i="43" s="1"/>
  <c r="G27" i="41"/>
  <c r="G26" i="43" s="1"/>
  <c r="G31" i="41"/>
  <c r="G30" i="43" s="1"/>
  <c r="G32" i="41"/>
  <c r="G31" i="43" s="1"/>
  <c r="G33" i="41"/>
  <c r="G32" i="43" s="1"/>
  <c r="G34" i="41"/>
  <c r="G35" i="41"/>
  <c r="G36" i="41"/>
  <c r="G35" i="43" s="1"/>
  <c r="G37" i="41"/>
  <c r="G36" i="43" s="1"/>
  <c r="G40" i="41"/>
  <c r="G39" i="43" s="1"/>
  <c r="G41" i="41"/>
  <c r="G40" i="43" s="1"/>
  <c r="G42" i="41"/>
  <c r="G41" i="43" s="1"/>
  <c r="G43" i="41"/>
  <c r="G42" i="43" s="1"/>
  <c r="G44" i="41"/>
  <c r="G43" i="43" s="1"/>
  <c r="G45" i="41"/>
  <c r="G44" i="43" s="1"/>
  <c r="G46" i="41"/>
  <c r="G45" i="43" s="1"/>
  <c r="G50" i="41"/>
  <c r="G49" i="43" s="1"/>
  <c r="G51" i="41"/>
  <c r="G50" i="43" s="1"/>
  <c r="G9" i="41"/>
  <c r="E12" i="41"/>
  <c r="E11" i="43" s="1"/>
  <c r="E14" i="41"/>
  <c r="E13" i="43" s="1"/>
  <c r="E15" i="41"/>
  <c r="E14" i="43" s="1"/>
  <c r="E16" i="41"/>
  <c r="E15" i="43" s="1"/>
  <c r="E17" i="41"/>
  <c r="E16" i="43" s="1"/>
  <c r="E18" i="41"/>
  <c r="E17" i="43" s="1"/>
  <c r="E20" i="41"/>
  <c r="E19" i="43" s="1"/>
  <c r="E23" i="41"/>
  <c r="E22" i="43" s="1"/>
  <c r="E24" i="41"/>
  <c r="E23" i="43" s="1"/>
  <c r="E25" i="41"/>
  <c r="E24" i="43" s="1"/>
  <c r="E26" i="41"/>
  <c r="E25" i="43" s="1"/>
  <c r="E27" i="41"/>
  <c r="E26" i="43" s="1"/>
  <c r="E31" i="41"/>
  <c r="E30" i="43" s="1"/>
  <c r="E32" i="41"/>
  <c r="E31" i="43" s="1"/>
  <c r="E33" i="41"/>
  <c r="E32" i="43" s="1"/>
  <c r="E34" i="41"/>
  <c r="E33" i="43" s="1"/>
  <c r="E35" i="41"/>
  <c r="E34" i="43" s="1"/>
  <c r="E36" i="41"/>
  <c r="E35" i="43" s="1"/>
  <c r="E37" i="41"/>
  <c r="E36" i="43" s="1"/>
  <c r="E40" i="41"/>
  <c r="E39" i="43" s="1"/>
  <c r="E42" i="41"/>
  <c r="E45" i="41"/>
  <c r="E44" i="43" s="1"/>
  <c r="E46" i="41"/>
  <c r="E45" i="43" s="1"/>
  <c r="E50" i="41"/>
  <c r="E49" i="43" s="1"/>
  <c r="E51" i="41"/>
  <c r="E50" i="43" s="1"/>
  <c r="I10" i="41"/>
  <c r="I9" i="43" s="1"/>
  <c r="I12" i="41"/>
  <c r="I11" i="43" s="1"/>
  <c r="I14" i="41"/>
  <c r="I13" i="43" s="1"/>
  <c r="I15" i="41"/>
  <c r="I14" i="43" s="1"/>
  <c r="I16" i="41"/>
  <c r="I15" i="43" s="1"/>
  <c r="I17" i="41"/>
  <c r="I16" i="43" s="1"/>
  <c r="I18" i="41"/>
  <c r="I17" i="43" s="1"/>
  <c r="I20" i="41"/>
  <c r="I19" i="43" s="1"/>
  <c r="I23" i="41"/>
  <c r="I22" i="43" s="1"/>
  <c r="I24" i="41"/>
  <c r="I23" i="43" s="1"/>
  <c r="I25" i="41"/>
  <c r="I24" i="43" s="1"/>
  <c r="I26" i="41"/>
  <c r="I25" i="43" s="1"/>
  <c r="I27" i="41"/>
  <c r="I26" i="43" s="1"/>
  <c r="I31" i="41"/>
  <c r="I30" i="43" s="1"/>
  <c r="I32" i="41"/>
  <c r="I31" i="43" s="1"/>
  <c r="I33" i="41"/>
  <c r="I32" i="43" s="1"/>
  <c r="I34" i="41"/>
  <c r="I33" i="43" s="1"/>
  <c r="I35" i="41"/>
  <c r="I34" i="43" s="1"/>
  <c r="I36" i="41"/>
  <c r="I35" i="43" s="1"/>
  <c r="I37" i="41"/>
  <c r="I36" i="43" s="1"/>
  <c r="I40" i="41"/>
  <c r="I39" i="43" s="1"/>
  <c r="I41" i="41"/>
  <c r="I40" i="43" s="1"/>
  <c r="I42" i="41"/>
  <c r="I41" i="43" s="1"/>
  <c r="I43" i="41"/>
  <c r="I42" i="43" s="1"/>
  <c r="I44" i="41"/>
  <c r="I43" i="43" s="1"/>
  <c r="I45" i="41"/>
  <c r="I44" i="43" s="1"/>
  <c r="I46" i="41"/>
  <c r="I45" i="43" s="1"/>
  <c r="I50" i="41"/>
  <c r="I49" i="43" s="1"/>
  <c r="I51" i="41"/>
  <c r="I50" i="43" s="1"/>
  <c r="I9" i="41"/>
  <c r="I8" i="43" s="1"/>
  <c r="H10" i="41"/>
  <c r="H9" i="43" s="1"/>
  <c r="H12" i="41"/>
  <c r="H11" i="43" s="1"/>
  <c r="H14" i="41"/>
  <c r="H13" i="43" s="1"/>
  <c r="H15" i="41"/>
  <c r="H14" i="43" s="1"/>
  <c r="H16" i="41"/>
  <c r="H15" i="43" s="1"/>
  <c r="H18" i="41"/>
  <c r="H17" i="43" s="1"/>
  <c r="H20" i="41"/>
  <c r="H19" i="43" s="1"/>
  <c r="H23" i="41"/>
  <c r="H22" i="43" s="1"/>
  <c r="H24" i="41"/>
  <c r="H23" i="43" s="1"/>
  <c r="H25" i="41"/>
  <c r="H24" i="43" s="1"/>
  <c r="H26" i="41"/>
  <c r="H25" i="43" s="1"/>
  <c r="H27" i="41"/>
  <c r="H26" i="43" s="1"/>
  <c r="H31" i="41"/>
  <c r="H30" i="43" s="1"/>
  <c r="H32" i="41"/>
  <c r="H31" i="43" s="1"/>
  <c r="H33" i="41"/>
  <c r="H32" i="43" s="1"/>
  <c r="H34" i="41"/>
  <c r="H33" i="43" s="1"/>
  <c r="H35" i="41"/>
  <c r="H34" i="43" s="1"/>
  <c r="H36" i="41"/>
  <c r="H35" i="43" s="1"/>
  <c r="H37" i="41"/>
  <c r="H36" i="43" s="1"/>
  <c r="H40" i="41"/>
  <c r="H39" i="43" s="1"/>
  <c r="H41" i="41"/>
  <c r="H40" i="43" s="1"/>
  <c r="H42" i="41"/>
  <c r="H41" i="43" s="1"/>
  <c r="H43" i="41"/>
  <c r="H42" i="43" s="1"/>
  <c r="H44" i="41"/>
  <c r="H43" i="43" s="1"/>
  <c r="H45" i="41"/>
  <c r="H44" i="43" s="1"/>
  <c r="H46" i="41"/>
  <c r="H45" i="43" s="1"/>
  <c r="H50" i="41"/>
  <c r="H49" i="43" s="1"/>
  <c r="H9" i="41"/>
  <c r="H8" i="43" s="1"/>
  <c r="F10" i="41"/>
  <c r="F12" i="41"/>
  <c r="F11" i="43" s="1"/>
  <c r="F14" i="41"/>
  <c r="F15" i="41"/>
  <c r="F14" i="43" s="1"/>
  <c r="F16" i="41"/>
  <c r="F15" i="43" s="1"/>
  <c r="F18" i="41"/>
  <c r="F17" i="43" s="1"/>
  <c r="F19" i="41"/>
  <c r="F20" i="41"/>
  <c r="F23" i="41"/>
  <c r="F22" i="43" s="1"/>
  <c r="F24" i="41"/>
  <c r="F23" i="43" s="1"/>
  <c r="F25" i="41"/>
  <c r="F24" i="43" s="1"/>
  <c r="F26" i="41"/>
  <c r="F25" i="43" s="1"/>
  <c r="F27" i="41"/>
  <c r="F26" i="43" s="1"/>
  <c r="F31" i="41"/>
  <c r="F30" i="43" s="1"/>
  <c r="F32" i="41"/>
  <c r="F31" i="43" s="1"/>
  <c r="F33" i="41"/>
  <c r="F32" i="43" s="1"/>
  <c r="F34" i="41"/>
  <c r="F35" i="41"/>
  <c r="F36" i="41"/>
  <c r="F35" i="43" s="1"/>
  <c r="F37" i="41"/>
  <c r="F36" i="43" s="1"/>
  <c r="F40" i="41"/>
  <c r="F39" i="43" s="1"/>
  <c r="F41" i="41"/>
  <c r="F40" i="43" s="1"/>
  <c r="F42" i="41"/>
  <c r="F41" i="43" s="1"/>
  <c r="F43" i="41"/>
  <c r="F42" i="43" s="1"/>
  <c r="F44" i="41"/>
  <c r="F43" i="43" s="1"/>
  <c r="F45" i="41"/>
  <c r="F44" i="43" s="1"/>
  <c r="F46" i="41"/>
  <c r="F45" i="43" s="1"/>
  <c r="F50" i="41"/>
  <c r="F49" i="43" s="1"/>
  <c r="F51" i="41"/>
  <c r="F50" i="43" s="1"/>
  <c r="F9" i="41"/>
  <c r="T13" i="43" l="1"/>
  <c r="T19" i="43"/>
  <c r="V19" i="43" s="1"/>
  <c r="F82" i="101"/>
  <c r="K39" i="43"/>
  <c r="K35" i="43"/>
  <c r="K31" i="43"/>
  <c r="K23" i="43"/>
  <c r="K15" i="43"/>
  <c r="F11" i="91" s="1"/>
  <c r="K11" i="43"/>
  <c r="K51" i="41"/>
  <c r="K45" i="41"/>
  <c r="K40" i="41"/>
  <c r="K35" i="41"/>
  <c r="K31" i="41"/>
  <c r="K25" i="41"/>
  <c r="K18" i="41"/>
  <c r="K50" i="43"/>
  <c r="K30" i="43"/>
  <c r="K26" i="43"/>
  <c r="K22" i="43"/>
  <c r="K14" i="43"/>
  <c r="K50" i="41"/>
  <c r="K34" i="41"/>
  <c r="K24" i="41"/>
  <c r="K16" i="41"/>
  <c r="K12" i="41"/>
  <c r="K49" i="43"/>
  <c r="K45" i="43"/>
  <c r="K25" i="43"/>
  <c r="K17" i="43"/>
  <c r="K13" i="43"/>
  <c r="K42" i="41"/>
  <c r="K37" i="41"/>
  <c r="K33" i="41"/>
  <c r="K27" i="41"/>
  <c r="K23" i="41"/>
  <c r="K15" i="41"/>
  <c r="K44" i="43"/>
  <c r="K36" i="43"/>
  <c r="K32" i="43"/>
  <c r="K24" i="43"/>
  <c r="K46" i="41"/>
  <c r="K36" i="41"/>
  <c r="K32" i="41"/>
  <c r="K26" i="41"/>
  <c r="K14" i="41"/>
  <c r="K16" i="43"/>
  <c r="K17" i="41"/>
  <c r="K20" i="41"/>
  <c r="K19" i="43"/>
  <c r="V11" i="43" s="1"/>
  <c r="D12" i="41"/>
  <c r="D14" i="41"/>
  <c r="D15" i="41"/>
  <c r="D16" i="41"/>
  <c r="D18" i="41"/>
  <c r="D23" i="41"/>
  <c r="D24" i="41"/>
  <c r="D25" i="41"/>
  <c r="D26" i="41"/>
  <c r="D27" i="41"/>
  <c r="D31" i="41"/>
  <c r="D32" i="41"/>
  <c r="D33" i="41"/>
  <c r="D34" i="41"/>
  <c r="D35" i="41"/>
  <c r="D36" i="41"/>
  <c r="D37" i="41"/>
  <c r="D40" i="41"/>
  <c r="D42" i="41"/>
  <c r="D45" i="41"/>
  <c r="D46" i="41"/>
  <c r="D50" i="41"/>
  <c r="D51" i="41"/>
  <c r="V16" i="43" l="1"/>
  <c r="V14" i="43"/>
  <c r="F189" i="31"/>
  <c r="F190" i="31" s="1"/>
  <c r="V13" i="43"/>
  <c r="F9" i="91"/>
  <c r="V12" i="43"/>
  <c r="F15" i="91"/>
  <c r="F14" i="91" s="1"/>
  <c r="F10" i="91"/>
  <c r="V15" i="43"/>
  <c r="J12" i="90"/>
  <c r="F13" i="91"/>
  <c r="E6" i="90"/>
  <c r="F28" i="91"/>
  <c r="J20" i="90"/>
  <c r="F22" i="91"/>
  <c r="F43" i="91"/>
  <c r="E22" i="90"/>
  <c r="F7" i="91"/>
  <c r="J9" i="90"/>
  <c r="F29" i="91"/>
  <c r="E7" i="90"/>
  <c r="J11" i="90"/>
  <c r="F12" i="91"/>
  <c r="E8" i="90"/>
  <c r="F30" i="91"/>
  <c r="J21" i="90"/>
  <c r="F23" i="91"/>
  <c r="F44" i="91"/>
  <c r="E23" i="90"/>
  <c r="F20" i="91"/>
  <c r="J18" i="90"/>
  <c r="F33" i="91"/>
  <c r="E11" i="90"/>
  <c r="E12" i="90"/>
  <c r="F34" i="91"/>
  <c r="F24" i="91"/>
  <c r="J22" i="90"/>
  <c r="F21" i="91"/>
  <c r="J19" i="90"/>
  <c r="F45" i="91"/>
  <c r="E24" i="90"/>
  <c r="F47" i="74"/>
  <c r="G47" i="74"/>
  <c r="H47" i="74"/>
  <c r="I47" i="74"/>
  <c r="J47" i="74"/>
  <c r="K47" i="74"/>
  <c r="L47" i="74"/>
  <c r="M47" i="74"/>
  <c r="N47" i="74"/>
  <c r="O47" i="74"/>
  <c r="P47" i="74"/>
  <c r="Q47" i="74"/>
  <c r="F48" i="74"/>
  <c r="G48" i="74"/>
  <c r="H48" i="74"/>
  <c r="I48" i="74"/>
  <c r="J48" i="74"/>
  <c r="K48" i="74"/>
  <c r="K49" i="74" s="1"/>
  <c r="L48" i="74"/>
  <c r="M48" i="74"/>
  <c r="N48" i="74"/>
  <c r="O48" i="74"/>
  <c r="P48" i="74"/>
  <c r="Q48" i="74"/>
  <c r="Q49" i="74" s="1"/>
  <c r="F49" i="74"/>
  <c r="E38" i="74"/>
  <c r="F38" i="74"/>
  <c r="G38" i="74"/>
  <c r="H38" i="74"/>
  <c r="I38" i="74"/>
  <c r="J38" i="74"/>
  <c r="K38" i="74"/>
  <c r="L38" i="74"/>
  <c r="M38" i="74"/>
  <c r="N38" i="74"/>
  <c r="O38" i="74"/>
  <c r="P38" i="74"/>
  <c r="Q38" i="74"/>
  <c r="F39" i="74"/>
  <c r="G39" i="74"/>
  <c r="H39" i="74"/>
  <c r="I39" i="74"/>
  <c r="J39" i="74"/>
  <c r="K39" i="74"/>
  <c r="L39" i="74"/>
  <c r="M39" i="74"/>
  <c r="N39" i="74"/>
  <c r="O39" i="74"/>
  <c r="P39" i="74"/>
  <c r="Q39" i="74"/>
  <c r="E29" i="74"/>
  <c r="G29" i="74"/>
  <c r="I29" i="74"/>
  <c r="J29" i="74"/>
  <c r="K29" i="74"/>
  <c r="L29" i="74"/>
  <c r="M29" i="74"/>
  <c r="N29" i="74"/>
  <c r="O29" i="74"/>
  <c r="P29" i="74"/>
  <c r="Q29" i="74"/>
  <c r="E22" i="74"/>
  <c r="F22" i="74"/>
  <c r="G22" i="74"/>
  <c r="H22" i="74"/>
  <c r="I22" i="74"/>
  <c r="J22" i="74"/>
  <c r="K22" i="74"/>
  <c r="L22" i="74"/>
  <c r="M22" i="74"/>
  <c r="N22" i="74"/>
  <c r="O22" i="74"/>
  <c r="P22" i="74"/>
  <c r="Q22" i="74"/>
  <c r="E13" i="74"/>
  <c r="E28" i="74" s="1"/>
  <c r="E30" i="74" s="1"/>
  <c r="F13" i="74"/>
  <c r="G13" i="74"/>
  <c r="H13" i="74"/>
  <c r="I13" i="74"/>
  <c r="I21" i="74" s="1"/>
  <c r="J13" i="74"/>
  <c r="J21" i="74" s="1"/>
  <c r="K13" i="74"/>
  <c r="K28" i="74" s="1"/>
  <c r="L13" i="74"/>
  <c r="L21" i="74" s="1"/>
  <c r="M13" i="74"/>
  <c r="M21" i="74" s="1"/>
  <c r="N13" i="74"/>
  <c r="N21" i="74" s="1"/>
  <c r="O13" i="74"/>
  <c r="O28" i="74" s="1"/>
  <c r="P13" i="74"/>
  <c r="P21" i="74" s="1"/>
  <c r="Q13" i="74"/>
  <c r="Q21" i="74" s="1"/>
  <c r="S9" i="74"/>
  <c r="S10" i="74"/>
  <c r="S11" i="74"/>
  <c r="S12" i="74"/>
  <c r="S14" i="74"/>
  <c r="S15" i="74"/>
  <c r="S16" i="74"/>
  <c r="S17" i="74"/>
  <c r="S18" i="74"/>
  <c r="S19" i="74"/>
  <c r="S20" i="74"/>
  <c r="S23" i="74"/>
  <c r="S24" i="74"/>
  <c r="S25" i="74"/>
  <c r="S26" i="74"/>
  <c r="S27" i="74"/>
  <c r="S31" i="74"/>
  <c r="S32" i="74"/>
  <c r="S33" i="74"/>
  <c r="S34" i="74"/>
  <c r="S35" i="74"/>
  <c r="S36" i="74"/>
  <c r="S37" i="74"/>
  <c r="S40" i="74"/>
  <c r="S42" i="74"/>
  <c r="S45" i="74"/>
  <c r="S46" i="74"/>
  <c r="S50" i="74"/>
  <c r="S51" i="74"/>
  <c r="F47" i="73"/>
  <c r="G47" i="73"/>
  <c r="H47" i="73"/>
  <c r="I47" i="73"/>
  <c r="J47" i="73"/>
  <c r="K47" i="73"/>
  <c r="K49" i="73" s="1"/>
  <c r="L47" i="73"/>
  <c r="M47" i="73"/>
  <c r="R47" i="73"/>
  <c r="S47" i="73"/>
  <c r="F48" i="73"/>
  <c r="G48" i="73"/>
  <c r="H48" i="73"/>
  <c r="I48" i="73"/>
  <c r="J48" i="73"/>
  <c r="K48" i="73"/>
  <c r="L48" i="73"/>
  <c r="M48" i="73"/>
  <c r="R48" i="73"/>
  <c r="S48" i="73"/>
  <c r="E38" i="73"/>
  <c r="F38" i="73"/>
  <c r="G38" i="73"/>
  <c r="H38" i="73"/>
  <c r="I38" i="73"/>
  <c r="J38" i="73"/>
  <c r="K38" i="73"/>
  <c r="L38" i="73"/>
  <c r="M38" i="73"/>
  <c r="R38" i="73"/>
  <c r="S38" i="73"/>
  <c r="F39" i="73"/>
  <c r="G39" i="73"/>
  <c r="H39" i="73"/>
  <c r="I39" i="73"/>
  <c r="J39" i="73"/>
  <c r="K39" i="73"/>
  <c r="L39" i="73"/>
  <c r="M39" i="73"/>
  <c r="R39" i="73"/>
  <c r="S39" i="73"/>
  <c r="E29" i="73"/>
  <c r="G29" i="73"/>
  <c r="I29" i="73"/>
  <c r="K29" i="73"/>
  <c r="L29" i="73"/>
  <c r="M29" i="73"/>
  <c r="R29" i="73"/>
  <c r="S29" i="73"/>
  <c r="E22" i="73"/>
  <c r="U22" i="73" s="1"/>
  <c r="F22" i="73"/>
  <c r="G22" i="73"/>
  <c r="H22" i="73"/>
  <c r="I22" i="73"/>
  <c r="J22" i="73"/>
  <c r="K22" i="73"/>
  <c r="L22" i="73"/>
  <c r="M22" i="73"/>
  <c r="R22" i="73"/>
  <c r="S22" i="73"/>
  <c r="E13" i="73"/>
  <c r="F13" i="73"/>
  <c r="G13" i="73"/>
  <c r="G28" i="73" s="1"/>
  <c r="H13" i="73"/>
  <c r="I13" i="73"/>
  <c r="I28" i="73" s="1"/>
  <c r="J13" i="73"/>
  <c r="K13" i="73"/>
  <c r="L13" i="73"/>
  <c r="L21" i="73" s="1"/>
  <c r="M13" i="73"/>
  <c r="M28" i="73" s="1"/>
  <c r="R13" i="73"/>
  <c r="R28" i="73" s="1"/>
  <c r="S13" i="73"/>
  <c r="S28" i="73" s="1"/>
  <c r="U29" i="73" l="1"/>
  <c r="O49" i="74"/>
  <c r="M49" i="74"/>
  <c r="U38" i="73"/>
  <c r="S22" i="74"/>
  <c r="R49" i="73"/>
  <c r="O30" i="74"/>
  <c r="K30" i="74"/>
  <c r="E28" i="73"/>
  <c r="U28" i="73" s="1"/>
  <c r="U13" i="73"/>
  <c r="S30" i="73"/>
  <c r="E44" i="73"/>
  <c r="R30" i="73"/>
  <c r="J49" i="73"/>
  <c r="F49" i="73"/>
  <c r="N49" i="74"/>
  <c r="J49" i="74"/>
  <c r="G30" i="73"/>
  <c r="G49" i="74"/>
  <c r="K21" i="74"/>
  <c r="I49" i="74"/>
  <c r="O21" i="74"/>
  <c r="N28" i="74"/>
  <c r="N30" i="74" s="1"/>
  <c r="J28" i="74"/>
  <c r="J30" i="74" s="1"/>
  <c r="F8" i="91"/>
  <c r="F18" i="91"/>
  <c r="F55" i="91" s="1"/>
  <c r="F19" i="91"/>
  <c r="M21" i="73"/>
  <c r="M30" i="73"/>
  <c r="E21" i="74"/>
  <c r="I21" i="73"/>
  <c r="Q28" i="74"/>
  <c r="Q30" i="74" s="1"/>
  <c r="M28" i="74"/>
  <c r="M30" i="74" s="1"/>
  <c r="I28" i="74"/>
  <c r="I30" i="74" s="1"/>
  <c r="P49" i="74"/>
  <c r="L49" i="74"/>
  <c r="H49" i="74"/>
  <c r="S49" i="73"/>
  <c r="G49" i="73"/>
  <c r="S13" i="74"/>
  <c r="P28" i="74"/>
  <c r="P30" i="74" s="1"/>
  <c r="L28" i="74"/>
  <c r="L30" i="74" s="1"/>
  <c r="S38" i="74"/>
  <c r="R21" i="73"/>
  <c r="G21" i="74"/>
  <c r="G28" i="74"/>
  <c r="G30" i="74" s="1"/>
  <c r="L28" i="73"/>
  <c r="L30" i="73" s="1"/>
  <c r="S21" i="73"/>
  <c r="K21" i="73"/>
  <c r="J28" i="73"/>
  <c r="G21" i="73"/>
  <c r="L49" i="73"/>
  <c r="H49" i="73"/>
  <c r="E21" i="73"/>
  <c r="K28" i="73"/>
  <c r="J17" i="90"/>
  <c r="S29" i="74"/>
  <c r="E44" i="74" s="1"/>
  <c r="S41" i="74"/>
  <c r="M49" i="73"/>
  <c r="I49" i="73"/>
  <c r="I30" i="73"/>
  <c r="U41" i="35"/>
  <c r="F47" i="35"/>
  <c r="G47" i="35"/>
  <c r="H47" i="35"/>
  <c r="I47" i="35"/>
  <c r="J47" i="35"/>
  <c r="K47" i="35"/>
  <c r="N47" i="35"/>
  <c r="O47" i="35"/>
  <c r="P47" i="35"/>
  <c r="Q47" i="35"/>
  <c r="R47" i="35"/>
  <c r="S47" i="35"/>
  <c r="F48" i="35"/>
  <c r="G48" i="35"/>
  <c r="H48" i="35"/>
  <c r="I48" i="35"/>
  <c r="J48" i="35"/>
  <c r="K48" i="35"/>
  <c r="N48" i="35"/>
  <c r="O48" i="35"/>
  <c r="P48" i="35"/>
  <c r="Q48" i="35"/>
  <c r="R48" i="35"/>
  <c r="S48" i="35"/>
  <c r="F49" i="35"/>
  <c r="E38" i="35"/>
  <c r="F38" i="35"/>
  <c r="G38" i="35"/>
  <c r="H38" i="35"/>
  <c r="I38" i="35"/>
  <c r="J38" i="35"/>
  <c r="K38" i="35"/>
  <c r="N38" i="35"/>
  <c r="O38" i="35"/>
  <c r="P38" i="35"/>
  <c r="Q38" i="35"/>
  <c r="R38" i="35"/>
  <c r="S38" i="35"/>
  <c r="F39" i="35"/>
  <c r="G39" i="35"/>
  <c r="H39" i="35"/>
  <c r="I39" i="35"/>
  <c r="J39" i="35"/>
  <c r="K39" i="35"/>
  <c r="N39" i="35"/>
  <c r="O39" i="35"/>
  <c r="P39" i="35"/>
  <c r="Q39" i="35"/>
  <c r="R39" i="35"/>
  <c r="S39" i="35"/>
  <c r="E29" i="35"/>
  <c r="F29" i="35"/>
  <c r="G29" i="35"/>
  <c r="H29" i="35"/>
  <c r="I29" i="35"/>
  <c r="K29" i="35"/>
  <c r="N29" i="35"/>
  <c r="O29" i="35"/>
  <c r="Q29" i="35"/>
  <c r="R29" i="35"/>
  <c r="S29" i="35"/>
  <c r="E22" i="35"/>
  <c r="F22" i="35"/>
  <c r="G22" i="35"/>
  <c r="H22" i="35"/>
  <c r="I22" i="35"/>
  <c r="J22" i="35"/>
  <c r="K22" i="35"/>
  <c r="N22" i="35"/>
  <c r="O22" i="35"/>
  <c r="P22" i="35"/>
  <c r="Q22" i="35"/>
  <c r="R22" i="35"/>
  <c r="S22" i="35"/>
  <c r="E13" i="35"/>
  <c r="E21" i="35" s="1"/>
  <c r="F13" i="35"/>
  <c r="G13" i="35"/>
  <c r="G21" i="35" s="1"/>
  <c r="H13" i="35"/>
  <c r="H28" i="35" s="1"/>
  <c r="I13" i="35"/>
  <c r="I28" i="35" s="1"/>
  <c r="J13" i="35"/>
  <c r="K13" i="35"/>
  <c r="K21" i="35" s="1"/>
  <c r="N13" i="35"/>
  <c r="N28" i="35" s="1"/>
  <c r="O13" i="35"/>
  <c r="O21" i="35" s="1"/>
  <c r="P13" i="35"/>
  <c r="P28" i="35" s="1"/>
  <c r="Q13" i="35"/>
  <c r="Q28" i="35" s="1"/>
  <c r="R13" i="35"/>
  <c r="R21" i="35" s="1"/>
  <c r="S13" i="35"/>
  <c r="S28" i="35" s="1"/>
  <c r="S30" i="35" s="1"/>
  <c r="U11" i="35"/>
  <c r="U12" i="35"/>
  <c r="U14" i="35"/>
  <c r="U15" i="35"/>
  <c r="U16" i="35"/>
  <c r="U17" i="35"/>
  <c r="U18" i="35"/>
  <c r="U19" i="35"/>
  <c r="U20" i="35"/>
  <c r="U23" i="35"/>
  <c r="U24" i="35"/>
  <c r="U25" i="35"/>
  <c r="U26" i="35"/>
  <c r="U27" i="35"/>
  <c r="U31" i="35"/>
  <c r="U32" i="35"/>
  <c r="U33" i="35"/>
  <c r="U34" i="35"/>
  <c r="U35" i="35"/>
  <c r="U36" i="35"/>
  <c r="U37" i="35"/>
  <c r="U40" i="35"/>
  <c r="U42" i="35"/>
  <c r="U45" i="35"/>
  <c r="U46" i="35"/>
  <c r="U50" i="35"/>
  <c r="E30" i="73" l="1"/>
  <c r="H21" i="35"/>
  <c r="N49" i="35"/>
  <c r="U30" i="73"/>
  <c r="U21" i="73"/>
  <c r="U44" i="73"/>
  <c r="G14" i="29" s="1"/>
  <c r="N30" i="35"/>
  <c r="H49" i="35"/>
  <c r="Q30" i="35"/>
  <c r="S44" i="74"/>
  <c r="G11" i="29" s="1"/>
  <c r="S21" i="74"/>
  <c r="Q49" i="35"/>
  <c r="G28" i="35"/>
  <c r="G30" i="35" s="1"/>
  <c r="Q21" i="35"/>
  <c r="U13" i="35"/>
  <c r="I30" i="35"/>
  <c r="G49" i="35"/>
  <c r="E43" i="73"/>
  <c r="R49" i="35"/>
  <c r="H30" i="35"/>
  <c r="F26" i="91"/>
  <c r="O28" i="35"/>
  <c r="O30" i="35" s="1"/>
  <c r="E28" i="35"/>
  <c r="E30" i="35" s="1"/>
  <c r="O49" i="35"/>
  <c r="S21" i="35"/>
  <c r="N21" i="35"/>
  <c r="R28" i="35"/>
  <c r="R30" i="35" s="1"/>
  <c r="I21" i="35"/>
  <c r="K28" i="35"/>
  <c r="U28" i="35" s="1"/>
  <c r="K49" i="35"/>
  <c r="S28" i="74"/>
  <c r="E43" i="74" s="1"/>
  <c r="S43" i="74" s="1"/>
  <c r="E11" i="29" s="1"/>
  <c r="E48" i="74"/>
  <c r="S48" i="74" s="1"/>
  <c r="P49" i="35"/>
  <c r="J49" i="35"/>
  <c r="U22" i="35"/>
  <c r="S49" i="35"/>
  <c r="I49" i="35"/>
  <c r="S30" i="74"/>
  <c r="K30" i="73"/>
  <c r="E48" i="73"/>
  <c r="U48" i="73" s="1"/>
  <c r="U38" i="35"/>
  <c r="U29" i="35"/>
  <c r="E44" i="35" s="1"/>
  <c r="U44" i="35" s="1"/>
  <c r="W11" i="40"/>
  <c r="G11" i="41"/>
  <c r="AQ10" i="40"/>
  <c r="F47" i="40"/>
  <c r="G47" i="40"/>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F48" i="40"/>
  <c r="F49" i="40" s="1"/>
  <c r="G48" i="40"/>
  <c r="H48" i="40"/>
  <c r="I48" i="40"/>
  <c r="J48" i="40"/>
  <c r="K48" i="40"/>
  <c r="L48" i="40"/>
  <c r="M48" i="40"/>
  <c r="N48" i="40"/>
  <c r="O48" i="40"/>
  <c r="P48" i="40"/>
  <c r="Q48" i="40"/>
  <c r="R48" i="40"/>
  <c r="S48" i="40"/>
  <c r="T48" i="40"/>
  <c r="U48" i="40"/>
  <c r="U49" i="40" s="1"/>
  <c r="V48" i="40"/>
  <c r="V49" i="40" s="1"/>
  <c r="W48" i="40"/>
  <c r="W49" i="40" s="1"/>
  <c r="X48" i="40"/>
  <c r="Y48" i="40"/>
  <c r="Z48" i="40"/>
  <c r="AA48" i="40"/>
  <c r="AB48" i="40"/>
  <c r="AC48" i="40"/>
  <c r="AD48" i="40"/>
  <c r="AE48" i="40"/>
  <c r="AF48" i="40"/>
  <c r="AG48" i="40"/>
  <c r="AH48" i="40"/>
  <c r="AI48" i="40"/>
  <c r="AJ48" i="40"/>
  <c r="AK48" i="40"/>
  <c r="AL48" i="40"/>
  <c r="AL49" i="40" s="1"/>
  <c r="AM48" i="40"/>
  <c r="AN48" i="40"/>
  <c r="AO48" i="40"/>
  <c r="E38" i="40"/>
  <c r="F38" i="40"/>
  <c r="G38" i="40"/>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F39" i="40"/>
  <c r="G39" i="40"/>
  <c r="H39" i="40"/>
  <c r="I39" i="40"/>
  <c r="J39" i="40"/>
  <c r="K39" i="40"/>
  <c r="L39" i="40"/>
  <c r="M39" i="40"/>
  <c r="N39" i="40"/>
  <c r="O39" i="40"/>
  <c r="P39" i="40"/>
  <c r="Q39" i="40"/>
  <c r="R39" i="40"/>
  <c r="S39" i="40"/>
  <c r="T39" i="40"/>
  <c r="U39" i="40"/>
  <c r="V39" i="40"/>
  <c r="W39" i="40"/>
  <c r="X39" i="40"/>
  <c r="Y39" i="40"/>
  <c r="Z39" i="40"/>
  <c r="AA39" i="40"/>
  <c r="AB39" i="40"/>
  <c r="AC39" i="40"/>
  <c r="AD39" i="40"/>
  <c r="AE39" i="40"/>
  <c r="AF39" i="40"/>
  <c r="AG39" i="40"/>
  <c r="AH39" i="40"/>
  <c r="AI39" i="40"/>
  <c r="AJ39" i="40"/>
  <c r="AK39" i="40"/>
  <c r="AL39" i="40"/>
  <c r="AM39" i="40"/>
  <c r="AN39" i="40"/>
  <c r="AO39" i="40"/>
  <c r="E29" i="40"/>
  <c r="G29" i="40"/>
  <c r="K29" i="40"/>
  <c r="M29" i="40"/>
  <c r="O29" i="40"/>
  <c r="Q29" i="40"/>
  <c r="S29" i="40"/>
  <c r="U29" i="40"/>
  <c r="W29" i="40"/>
  <c r="Y29" i="40"/>
  <c r="AA29" i="40"/>
  <c r="AB29" i="40"/>
  <c r="AC29" i="40"/>
  <c r="AE29" i="40"/>
  <c r="AF29" i="40"/>
  <c r="AG29" i="40"/>
  <c r="AH29" i="40"/>
  <c r="AI29" i="40"/>
  <c r="AJ29" i="40"/>
  <c r="AK29" i="40"/>
  <c r="AL29" i="40"/>
  <c r="AM29" i="40"/>
  <c r="AN29" i="40"/>
  <c r="AO29" i="40"/>
  <c r="E22" i="40"/>
  <c r="F22" i="40"/>
  <c r="G22" i="40"/>
  <c r="H22" i="40"/>
  <c r="I22" i="40"/>
  <c r="J22" i="40"/>
  <c r="K22" i="40"/>
  <c r="L22" i="40"/>
  <c r="M22" i="40"/>
  <c r="N22" i="40"/>
  <c r="O22" i="40"/>
  <c r="P22" i="40"/>
  <c r="Q22" i="40"/>
  <c r="R22" i="40"/>
  <c r="S22" i="40"/>
  <c r="T22" i="40"/>
  <c r="U22" i="40"/>
  <c r="V22" i="40"/>
  <c r="W22" i="40"/>
  <c r="X22" i="40"/>
  <c r="Y22" i="40"/>
  <c r="Z22" i="40"/>
  <c r="AA22" i="40"/>
  <c r="AB22" i="40"/>
  <c r="AC22" i="40"/>
  <c r="AD22" i="40"/>
  <c r="AE22" i="40"/>
  <c r="AF22" i="40"/>
  <c r="AG22" i="40"/>
  <c r="AH22" i="40"/>
  <c r="AI22" i="40"/>
  <c r="AJ22" i="40"/>
  <c r="AK22" i="40"/>
  <c r="AL22" i="40"/>
  <c r="AM22" i="40"/>
  <c r="AN22" i="40"/>
  <c r="AO22" i="40"/>
  <c r="E13" i="40"/>
  <c r="E21" i="40" s="1"/>
  <c r="F13" i="40"/>
  <c r="G13" i="40"/>
  <c r="G21" i="40" s="1"/>
  <c r="H13" i="40"/>
  <c r="I13" i="40"/>
  <c r="I21" i="40" s="1"/>
  <c r="J13" i="40"/>
  <c r="K13" i="40"/>
  <c r="L13" i="40"/>
  <c r="L28" i="40" s="1"/>
  <c r="M13" i="40"/>
  <c r="M21" i="40" s="1"/>
  <c r="N13" i="40"/>
  <c r="O13" i="40"/>
  <c r="P13" i="40"/>
  <c r="Q13" i="40"/>
  <c r="Q21" i="40" s="1"/>
  <c r="R13" i="40"/>
  <c r="S13" i="40"/>
  <c r="S28" i="40" s="1"/>
  <c r="T13" i="40"/>
  <c r="U13" i="40"/>
  <c r="U28" i="40" s="1"/>
  <c r="V13" i="40"/>
  <c r="W13" i="40"/>
  <c r="X13" i="40"/>
  <c r="Y13" i="40"/>
  <c r="Y21" i="40" s="1"/>
  <c r="Z13" i="40"/>
  <c r="AA13" i="40"/>
  <c r="AA28" i="40" s="1"/>
  <c r="AB13" i="40"/>
  <c r="AC13" i="40"/>
  <c r="AC28" i="40" s="1"/>
  <c r="AD13" i="40"/>
  <c r="AE13" i="40"/>
  <c r="AF13" i="40"/>
  <c r="AG13" i="40"/>
  <c r="AG28" i="40" s="1"/>
  <c r="AH13" i="40"/>
  <c r="AI13" i="40"/>
  <c r="AJ13" i="40"/>
  <c r="AJ28" i="40" s="1"/>
  <c r="AK13" i="40"/>
  <c r="AK21" i="40" s="1"/>
  <c r="AL13" i="40"/>
  <c r="AL21" i="40" s="1"/>
  <c r="AM13" i="40"/>
  <c r="AN13" i="40"/>
  <c r="AO13" i="40"/>
  <c r="AO21" i="40" s="1"/>
  <c r="AQ9" i="40"/>
  <c r="AQ12" i="40"/>
  <c r="AQ14" i="40"/>
  <c r="AQ15" i="40"/>
  <c r="AQ16" i="40"/>
  <c r="AQ18" i="40"/>
  <c r="AQ19" i="40"/>
  <c r="AQ20" i="40"/>
  <c r="AQ23" i="40"/>
  <c r="AQ24" i="40"/>
  <c r="AQ25" i="40"/>
  <c r="AQ26" i="40"/>
  <c r="AQ27" i="40"/>
  <c r="AQ31" i="40"/>
  <c r="AQ32" i="40"/>
  <c r="AQ33" i="40"/>
  <c r="AQ34" i="40"/>
  <c r="AQ35" i="40"/>
  <c r="AQ36" i="40"/>
  <c r="AQ37" i="40"/>
  <c r="AQ40" i="40"/>
  <c r="AQ41" i="40"/>
  <c r="AQ42" i="40"/>
  <c r="AQ45" i="40"/>
  <c r="AQ46" i="40"/>
  <c r="AQ50" i="40"/>
  <c r="S41" i="39"/>
  <c r="F47" i="39"/>
  <c r="G47" i="39"/>
  <c r="H47" i="39"/>
  <c r="I47" i="39"/>
  <c r="J47" i="39"/>
  <c r="K47" i="39"/>
  <c r="L47" i="39"/>
  <c r="M47" i="39"/>
  <c r="N47" i="39"/>
  <c r="O47" i="39"/>
  <c r="P47" i="39"/>
  <c r="Q47" i="39"/>
  <c r="F48" i="39"/>
  <c r="F49" i="39" s="1"/>
  <c r="G48" i="39"/>
  <c r="H48" i="39"/>
  <c r="I48" i="39"/>
  <c r="J48" i="39"/>
  <c r="K48" i="39"/>
  <c r="L48" i="39"/>
  <c r="M48" i="39"/>
  <c r="N48" i="39"/>
  <c r="O48" i="39"/>
  <c r="P48" i="39"/>
  <c r="Q48" i="39"/>
  <c r="E38" i="39"/>
  <c r="F38" i="39"/>
  <c r="G38" i="39"/>
  <c r="H38" i="39"/>
  <c r="I38" i="39"/>
  <c r="J38" i="39"/>
  <c r="K38" i="39"/>
  <c r="L38" i="39"/>
  <c r="M38" i="39"/>
  <c r="N38" i="39"/>
  <c r="O38" i="39"/>
  <c r="P38" i="39"/>
  <c r="Q38" i="39"/>
  <c r="F39" i="39"/>
  <c r="G39" i="39"/>
  <c r="H39" i="39"/>
  <c r="I39" i="39"/>
  <c r="J39" i="39"/>
  <c r="K39" i="39"/>
  <c r="L39" i="39"/>
  <c r="M39" i="39"/>
  <c r="N39" i="39"/>
  <c r="O39" i="39"/>
  <c r="P39" i="39"/>
  <c r="Q39" i="39"/>
  <c r="E29" i="39"/>
  <c r="G29" i="39"/>
  <c r="H29" i="39"/>
  <c r="I29" i="39"/>
  <c r="K29" i="39"/>
  <c r="L29" i="39"/>
  <c r="M29" i="39"/>
  <c r="O29" i="39"/>
  <c r="P29" i="39"/>
  <c r="Q29" i="39"/>
  <c r="E22" i="39"/>
  <c r="F22" i="39"/>
  <c r="G22" i="39"/>
  <c r="H22" i="39"/>
  <c r="I22" i="39"/>
  <c r="J22" i="39"/>
  <c r="K22" i="39"/>
  <c r="L22" i="39"/>
  <c r="M22" i="39"/>
  <c r="N22" i="39"/>
  <c r="O22" i="39"/>
  <c r="P22" i="39"/>
  <c r="Q22" i="39"/>
  <c r="E13" i="39"/>
  <c r="E21" i="39" s="1"/>
  <c r="F13" i="39"/>
  <c r="G13" i="39"/>
  <c r="G28" i="39" s="1"/>
  <c r="H13" i="39"/>
  <c r="H28" i="39" s="1"/>
  <c r="I13" i="39"/>
  <c r="I21" i="39" s="1"/>
  <c r="J13" i="39"/>
  <c r="J28" i="39" s="1"/>
  <c r="K13" i="39"/>
  <c r="L13" i="39"/>
  <c r="L28" i="39" s="1"/>
  <c r="M13" i="39"/>
  <c r="M21" i="39" s="1"/>
  <c r="N13" i="39"/>
  <c r="N28" i="39" s="1"/>
  <c r="O13" i="39"/>
  <c r="P13" i="39"/>
  <c r="Q13" i="39"/>
  <c r="Q28" i="39" s="1"/>
  <c r="Q30" i="39" s="1"/>
  <c r="S9" i="39"/>
  <c r="S10" i="39"/>
  <c r="S12" i="39"/>
  <c r="S14" i="39"/>
  <c r="S15" i="39"/>
  <c r="S16" i="39"/>
  <c r="S17" i="39"/>
  <c r="S18" i="39"/>
  <c r="S19" i="39"/>
  <c r="S20" i="39"/>
  <c r="S23" i="39"/>
  <c r="S24" i="39"/>
  <c r="S25" i="39"/>
  <c r="S26" i="39"/>
  <c r="S27" i="39"/>
  <c r="S31" i="39"/>
  <c r="S32" i="39"/>
  <c r="S33" i="39"/>
  <c r="S34" i="39"/>
  <c r="S35" i="39"/>
  <c r="S36" i="39"/>
  <c r="S37" i="39"/>
  <c r="S40" i="39"/>
  <c r="S42" i="39"/>
  <c r="S45" i="39"/>
  <c r="S46" i="39"/>
  <c r="S50" i="39"/>
  <c r="S51" i="39"/>
  <c r="H17" i="36"/>
  <c r="H29" i="36" s="1"/>
  <c r="I29" i="36"/>
  <c r="O10" i="36"/>
  <c r="F47" i="36"/>
  <c r="F49" i="36" s="1"/>
  <c r="G47" i="36"/>
  <c r="H47" i="36"/>
  <c r="I47" i="36"/>
  <c r="J47" i="36"/>
  <c r="K47" i="36"/>
  <c r="L47" i="36"/>
  <c r="M47" i="36"/>
  <c r="F48" i="36"/>
  <c r="G48" i="36"/>
  <c r="H48" i="36"/>
  <c r="I48" i="36"/>
  <c r="J48" i="36"/>
  <c r="K48" i="36"/>
  <c r="L48" i="36"/>
  <c r="M48" i="36"/>
  <c r="E38" i="36"/>
  <c r="F38" i="36"/>
  <c r="G38" i="36"/>
  <c r="H38" i="36"/>
  <c r="I38" i="36"/>
  <c r="J38" i="36"/>
  <c r="K38" i="36"/>
  <c r="L38" i="36"/>
  <c r="M38" i="36"/>
  <c r="F39" i="36"/>
  <c r="G39" i="36"/>
  <c r="H39" i="36"/>
  <c r="I39" i="36"/>
  <c r="J39" i="36"/>
  <c r="K39" i="36"/>
  <c r="L39" i="36"/>
  <c r="M39" i="36"/>
  <c r="E29" i="36"/>
  <c r="G29" i="36"/>
  <c r="K29" i="36"/>
  <c r="L29" i="36"/>
  <c r="M29" i="36"/>
  <c r="E22" i="36"/>
  <c r="F22" i="36"/>
  <c r="G22" i="36"/>
  <c r="H22" i="36"/>
  <c r="I22" i="36"/>
  <c r="J22" i="36"/>
  <c r="K22" i="36"/>
  <c r="L22" i="36"/>
  <c r="M22" i="36"/>
  <c r="E13" i="36"/>
  <c r="E28" i="36" s="1"/>
  <c r="F13" i="36"/>
  <c r="G13" i="36"/>
  <c r="H13" i="36"/>
  <c r="I13" i="36"/>
  <c r="I28" i="36" s="1"/>
  <c r="J13" i="36"/>
  <c r="K13" i="36"/>
  <c r="L13" i="36"/>
  <c r="L28" i="36" s="1"/>
  <c r="M13" i="36"/>
  <c r="M28" i="36" s="1"/>
  <c r="O9" i="36"/>
  <c r="O11" i="36"/>
  <c r="O12" i="36"/>
  <c r="O14" i="36"/>
  <c r="O15" i="36"/>
  <c r="O16" i="36"/>
  <c r="O17" i="36"/>
  <c r="O18" i="36"/>
  <c r="O19" i="36"/>
  <c r="O20" i="36"/>
  <c r="O23" i="36"/>
  <c r="O24" i="36"/>
  <c r="O25" i="36"/>
  <c r="O26" i="36"/>
  <c r="O27" i="36"/>
  <c r="O31" i="36"/>
  <c r="O32" i="36"/>
  <c r="O33" i="36"/>
  <c r="O34" i="36"/>
  <c r="O35" i="36"/>
  <c r="O36" i="36"/>
  <c r="O37" i="36"/>
  <c r="O40" i="36"/>
  <c r="O41" i="36"/>
  <c r="O42" i="36"/>
  <c r="O45" i="36"/>
  <c r="O46" i="36"/>
  <c r="O50" i="36"/>
  <c r="F47" i="38"/>
  <c r="F49" i="38" s="1"/>
  <c r="G47" i="38"/>
  <c r="H47" i="38"/>
  <c r="I47" i="38"/>
  <c r="J47" i="38"/>
  <c r="K47" i="38"/>
  <c r="L47" i="38"/>
  <c r="M47" i="38"/>
  <c r="N47" i="38"/>
  <c r="O47" i="38"/>
  <c r="F48" i="38"/>
  <c r="G48" i="38"/>
  <c r="H48" i="38"/>
  <c r="I48" i="38"/>
  <c r="J48" i="38"/>
  <c r="K48" i="38"/>
  <c r="L48" i="38"/>
  <c r="M48" i="38"/>
  <c r="N48" i="38"/>
  <c r="O48" i="38"/>
  <c r="E38" i="38"/>
  <c r="F38" i="38"/>
  <c r="G38" i="38"/>
  <c r="H38" i="38"/>
  <c r="I38" i="38"/>
  <c r="J38" i="38"/>
  <c r="K38" i="38"/>
  <c r="L38" i="38"/>
  <c r="M38" i="38"/>
  <c r="N38" i="38"/>
  <c r="O38" i="38"/>
  <c r="F39" i="38"/>
  <c r="G39" i="38"/>
  <c r="H39" i="38"/>
  <c r="I39" i="38"/>
  <c r="J39" i="38"/>
  <c r="K39" i="38"/>
  <c r="L39" i="38"/>
  <c r="M39" i="38"/>
  <c r="N39" i="38"/>
  <c r="O39" i="38"/>
  <c r="E29" i="38"/>
  <c r="G29" i="38"/>
  <c r="I29" i="38"/>
  <c r="K29" i="38"/>
  <c r="L29" i="38"/>
  <c r="M29" i="38"/>
  <c r="N29" i="38"/>
  <c r="O29" i="38"/>
  <c r="O22" i="38"/>
  <c r="E22" i="38"/>
  <c r="F22" i="38"/>
  <c r="G22" i="38"/>
  <c r="H22" i="38"/>
  <c r="I22" i="38"/>
  <c r="J22" i="38"/>
  <c r="K22" i="38"/>
  <c r="L22" i="38"/>
  <c r="M22" i="38"/>
  <c r="N22" i="38"/>
  <c r="E13" i="38"/>
  <c r="E28" i="38" s="1"/>
  <c r="F13" i="38"/>
  <c r="G13" i="38"/>
  <c r="G28" i="38" s="1"/>
  <c r="H13" i="38"/>
  <c r="I13" i="38"/>
  <c r="I28" i="38" s="1"/>
  <c r="J13" i="38"/>
  <c r="J28" i="38" s="1"/>
  <c r="K13" i="38"/>
  <c r="K21" i="38" s="1"/>
  <c r="L13" i="38"/>
  <c r="L28" i="38" s="1"/>
  <c r="L30" i="38" s="1"/>
  <c r="M13" i="38"/>
  <c r="M21" i="38" s="1"/>
  <c r="N13" i="38"/>
  <c r="N28" i="38" s="1"/>
  <c r="O13" i="38"/>
  <c r="O28" i="38" s="1"/>
  <c r="O30" i="38" s="1"/>
  <c r="Q9" i="38"/>
  <c r="Q10" i="38"/>
  <c r="Q11" i="38"/>
  <c r="Q12" i="38"/>
  <c r="Q14" i="38"/>
  <c r="Q15" i="38"/>
  <c r="Q16" i="38"/>
  <c r="Q17" i="38"/>
  <c r="Q18" i="38"/>
  <c r="Q19" i="38"/>
  <c r="Q20" i="38"/>
  <c r="Q23" i="38"/>
  <c r="Q24" i="38"/>
  <c r="Q25" i="38"/>
  <c r="Q26" i="38"/>
  <c r="Q27" i="38"/>
  <c r="Q31" i="38"/>
  <c r="Q32" i="38"/>
  <c r="Q33" i="38"/>
  <c r="Q34" i="38"/>
  <c r="Q35" i="38"/>
  <c r="Q36" i="38"/>
  <c r="Q37" i="38"/>
  <c r="Q40" i="38"/>
  <c r="Q41" i="38"/>
  <c r="Q42" i="38"/>
  <c r="Q45" i="38"/>
  <c r="Q46" i="38"/>
  <c r="Q50" i="38"/>
  <c r="Q51" i="38"/>
  <c r="U41" i="37"/>
  <c r="F47" i="37"/>
  <c r="G47" i="37"/>
  <c r="H47" i="37"/>
  <c r="I47" i="37"/>
  <c r="J47" i="37"/>
  <c r="K47" i="37"/>
  <c r="L47" i="37"/>
  <c r="M47" i="37"/>
  <c r="N47" i="37"/>
  <c r="O47" i="37"/>
  <c r="O49" i="37" s="1"/>
  <c r="P47" i="37"/>
  <c r="Q47" i="37"/>
  <c r="R47" i="37"/>
  <c r="S47" i="37"/>
  <c r="F48" i="37"/>
  <c r="G48" i="37"/>
  <c r="H48" i="37"/>
  <c r="I48" i="37"/>
  <c r="J48" i="37"/>
  <c r="K48" i="37"/>
  <c r="L48" i="37"/>
  <c r="L49" i="37" s="1"/>
  <c r="M48" i="37"/>
  <c r="N48" i="37"/>
  <c r="O48" i="37"/>
  <c r="P48" i="37"/>
  <c r="Q48" i="37"/>
  <c r="R48" i="37"/>
  <c r="S48" i="37"/>
  <c r="K49" i="37"/>
  <c r="E38" i="37"/>
  <c r="F38" i="37"/>
  <c r="G38" i="37"/>
  <c r="H38" i="37"/>
  <c r="I38" i="37"/>
  <c r="J38" i="37"/>
  <c r="K38" i="37"/>
  <c r="L38" i="37"/>
  <c r="M38" i="37"/>
  <c r="N38" i="37"/>
  <c r="O38" i="37"/>
  <c r="P38" i="37"/>
  <c r="Q38" i="37"/>
  <c r="R38" i="37"/>
  <c r="S38" i="37"/>
  <c r="F39" i="37"/>
  <c r="G39" i="37"/>
  <c r="H39" i="37"/>
  <c r="I39" i="37"/>
  <c r="J39" i="37"/>
  <c r="K39" i="37"/>
  <c r="L39" i="37"/>
  <c r="M39" i="37"/>
  <c r="N39" i="37"/>
  <c r="O39" i="37"/>
  <c r="P39" i="37"/>
  <c r="Q39" i="37"/>
  <c r="R39" i="37"/>
  <c r="S39" i="37"/>
  <c r="D38" i="37"/>
  <c r="E29" i="37"/>
  <c r="G29" i="37"/>
  <c r="I29" i="37"/>
  <c r="J29" i="37"/>
  <c r="K29" i="37"/>
  <c r="L29" i="37"/>
  <c r="M29" i="37"/>
  <c r="N29" i="37"/>
  <c r="O29" i="37"/>
  <c r="P29" i="37"/>
  <c r="Q29" i="37"/>
  <c r="R29" i="37"/>
  <c r="S29" i="37"/>
  <c r="E22" i="37"/>
  <c r="F22" i="37"/>
  <c r="G22" i="37"/>
  <c r="H22" i="37"/>
  <c r="I22" i="37"/>
  <c r="J22" i="37"/>
  <c r="K22" i="37"/>
  <c r="L22" i="37"/>
  <c r="M22" i="37"/>
  <c r="N22" i="37"/>
  <c r="O22" i="37"/>
  <c r="P22" i="37"/>
  <c r="Q22" i="37"/>
  <c r="R22" i="37"/>
  <c r="S22" i="37"/>
  <c r="E13" i="37"/>
  <c r="E21" i="37" s="1"/>
  <c r="F13" i="37"/>
  <c r="G13" i="37"/>
  <c r="G28" i="37" s="1"/>
  <c r="H13" i="37"/>
  <c r="H28" i="37" s="1"/>
  <c r="I13" i="37"/>
  <c r="I21" i="37" s="1"/>
  <c r="J13" i="37"/>
  <c r="J21" i="37" s="1"/>
  <c r="K13" i="37"/>
  <c r="K28" i="37" s="1"/>
  <c r="L13" i="37"/>
  <c r="L21" i="37" s="1"/>
  <c r="M13" i="37"/>
  <c r="M28" i="37" s="1"/>
  <c r="N13" i="37"/>
  <c r="N28" i="37" s="1"/>
  <c r="O13" i="37"/>
  <c r="O28" i="37" s="1"/>
  <c r="P13" i="37"/>
  <c r="P21" i="37" s="1"/>
  <c r="Q13" i="37"/>
  <c r="Q21" i="37" s="1"/>
  <c r="R13" i="37"/>
  <c r="R21" i="37" s="1"/>
  <c r="S13" i="37"/>
  <c r="S28" i="37" s="1"/>
  <c r="U9" i="37"/>
  <c r="U10" i="37"/>
  <c r="U12" i="37"/>
  <c r="U14" i="37"/>
  <c r="U15" i="37"/>
  <c r="U16" i="37"/>
  <c r="U17" i="37"/>
  <c r="U18" i="37"/>
  <c r="U19" i="37"/>
  <c r="U20" i="37"/>
  <c r="U23" i="37"/>
  <c r="U24" i="37"/>
  <c r="U25" i="37"/>
  <c r="U26" i="37"/>
  <c r="U27" i="37"/>
  <c r="U31" i="37"/>
  <c r="U32" i="37"/>
  <c r="U33" i="37"/>
  <c r="U34" i="37"/>
  <c r="U35" i="37"/>
  <c r="U36" i="37"/>
  <c r="U37" i="37"/>
  <c r="U40" i="37"/>
  <c r="U42" i="37"/>
  <c r="U45" i="37"/>
  <c r="U46" i="37"/>
  <c r="U50" i="37"/>
  <c r="U51" i="37"/>
  <c r="N21" i="37" l="1"/>
  <c r="N49" i="37"/>
  <c r="K49" i="39"/>
  <c r="U21" i="35"/>
  <c r="N30" i="38"/>
  <c r="AA49" i="40"/>
  <c r="S49" i="40"/>
  <c r="Z49" i="40"/>
  <c r="S49" i="37"/>
  <c r="I49" i="40"/>
  <c r="AM49" i="40"/>
  <c r="O49" i="40"/>
  <c r="G49" i="39"/>
  <c r="K30" i="35"/>
  <c r="U30" i="35" s="1"/>
  <c r="AE49" i="40"/>
  <c r="J49" i="39"/>
  <c r="R28" i="37"/>
  <c r="R30" i="37" s="1"/>
  <c r="Q21" i="39"/>
  <c r="M28" i="39"/>
  <c r="AH49" i="40"/>
  <c r="N49" i="40"/>
  <c r="G49" i="37"/>
  <c r="N49" i="38"/>
  <c r="L21" i="39"/>
  <c r="E39" i="73"/>
  <c r="U39" i="73" s="1"/>
  <c r="U43" i="73"/>
  <c r="E14" i="29" s="1"/>
  <c r="M30" i="39"/>
  <c r="AO28" i="40"/>
  <c r="AO30" i="40" s="1"/>
  <c r="M21" i="37"/>
  <c r="Q28" i="37"/>
  <c r="G21" i="38"/>
  <c r="J49" i="36"/>
  <c r="AK28" i="40"/>
  <c r="AK30" i="40" s="1"/>
  <c r="I28" i="40"/>
  <c r="Q49" i="40"/>
  <c r="M49" i="40"/>
  <c r="AG21" i="40"/>
  <c r="M28" i="40"/>
  <c r="U13" i="37"/>
  <c r="S30" i="37"/>
  <c r="O30" i="37"/>
  <c r="K30" i="37"/>
  <c r="J28" i="37"/>
  <c r="J30" i="37" s="1"/>
  <c r="R49" i="37"/>
  <c r="J49" i="37"/>
  <c r="F49" i="37"/>
  <c r="P49" i="37"/>
  <c r="H49" i="37"/>
  <c r="H30" i="39"/>
  <c r="S21" i="40"/>
  <c r="Y28" i="40"/>
  <c r="Y30" i="40" s="1"/>
  <c r="N30" i="37"/>
  <c r="I28" i="37"/>
  <c r="I30" i="37" s="1"/>
  <c r="O21" i="38"/>
  <c r="N49" i="39"/>
  <c r="F13" i="41"/>
  <c r="K28" i="38"/>
  <c r="K30" i="38" s="1"/>
  <c r="O49" i="39"/>
  <c r="E39" i="74"/>
  <c r="S39" i="74" s="1"/>
  <c r="G30" i="37"/>
  <c r="E48" i="35"/>
  <c r="U48" i="35" s="1"/>
  <c r="E28" i="40"/>
  <c r="J49" i="38"/>
  <c r="E21" i="36"/>
  <c r="M49" i="36"/>
  <c r="AJ21" i="40"/>
  <c r="U21" i="40"/>
  <c r="Q28" i="40"/>
  <c r="Q30" i="40" s="1"/>
  <c r="AD49" i="40"/>
  <c r="R49" i="40"/>
  <c r="J49" i="40"/>
  <c r="E47" i="73"/>
  <c r="O49" i="38"/>
  <c r="K49" i="38"/>
  <c r="M21" i="36"/>
  <c r="I28" i="39"/>
  <c r="I30" i="39" s="1"/>
  <c r="AJ30" i="40"/>
  <c r="AC30" i="40"/>
  <c r="AG49" i="40"/>
  <c r="I21" i="36"/>
  <c r="M49" i="39"/>
  <c r="E28" i="37"/>
  <c r="Q49" i="37"/>
  <c r="M49" i="37"/>
  <c r="I49" i="37"/>
  <c r="L21" i="36"/>
  <c r="L30" i="39"/>
  <c r="E28" i="39"/>
  <c r="AA21" i="40"/>
  <c r="E47" i="74"/>
  <c r="E49" i="74" s="1"/>
  <c r="S49" i="74" s="1"/>
  <c r="E43" i="35"/>
  <c r="E13" i="29" s="1"/>
  <c r="G49" i="40"/>
  <c r="G49" i="38"/>
  <c r="U38" i="37"/>
  <c r="M30" i="40"/>
  <c r="G49" i="36"/>
  <c r="Q49" i="39"/>
  <c r="M30" i="36"/>
  <c r="S21" i="37"/>
  <c r="O21" i="37"/>
  <c r="K21" i="37"/>
  <c r="Q30" i="37"/>
  <c r="M30" i="37"/>
  <c r="N21" i="38"/>
  <c r="M28" i="38"/>
  <c r="M30" i="38" s="1"/>
  <c r="K28" i="36"/>
  <c r="K30" i="36" s="1"/>
  <c r="K21" i="36"/>
  <c r="O13" i="36"/>
  <c r="O28" i="39"/>
  <c r="O30" i="39" s="1"/>
  <c r="O21" i="39"/>
  <c r="K28" i="39"/>
  <c r="K21" i="39"/>
  <c r="S21" i="39" s="1"/>
  <c r="S13" i="39"/>
  <c r="G21" i="39"/>
  <c r="AM28" i="40"/>
  <c r="AM30" i="40" s="1"/>
  <c r="AM21" i="40"/>
  <c r="AI28" i="40"/>
  <c r="AI30" i="40" s="1"/>
  <c r="AI21" i="40"/>
  <c r="AE28" i="40"/>
  <c r="AE30" i="40" s="1"/>
  <c r="AE21" i="40"/>
  <c r="W28" i="40"/>
  <c r="W30" i="40" s="1"/>
  <c r="W21" i="40"/>
  <c r="O28" i="40"/>
  <c r="O30" i="40" s="1"/>
  <c r="O21" i="40"/>
  <c r="G13" i="41"/>
  <c r="K28" i="40"/>
  <c r="G28" i="40"/>
  <c r="G30" i="40" s="1"/>
  <c r="AQ13" i="40"/>
  <c r="K21" i="40"/>
  <c r="J28" i="40"/>
  <c r="G22" i="41"/>
  <c r="AQ22" i="40"/>
  <c r="AG30" i="40"/>
  <c r="E21" i="38"/>
  <c r="P28" i="37"/>
  <c r="P30" i="37" s="1"/>
  <c r="Q13" i="38"/>
  <c r="E30" i="36"/>
  <c r="S38" i="39"/>
  <c r="P49" i="39"/>
  <c r="L49" i="39"/>
  <c r="H49" i="39"/>
  <c r="AL28" i="40"/>
  <c r="AL30" i="40" s="1"/>
  <c r="G39" i="41"/>
  <c r="K49" i="36"/>
  <c r="I49" i="39"/>
  <c r="L28" i="37"/>
  <c r="L30" i="37" s="1"/>
  <c r="L21" i="38"/>
  <c r="G28" i="36"/>
  <c r="G30" i="36" s="1"/>
  <c r="U11" i="37"/>
  <c r="U22" i="37"/>
  <c r="G21" i="37"/>
  <c r="I21" i="38"/>
  <c r="I49" i="38"/>
  <c r="L30" i="36"/>
  <c r="O22" i="36"/>
  <c r="G21" i="36"/>
  <c r="S11" i="39"/>
  <c r="S22" i="39"/>
  <c r="H21" i="39"/>
  <c r="E30" i="39"/>
  <c r="U30" i="40"/>
  <c r="E30" i="40"/>
  <c r="F39" i="41"/>
  <c r="F38" i="41"/>
  <c r="AO49" i="40"/>
  <c r="AK49" i="40"/>
  <c r="AC49" i="40"/>
  <c r="Y49" i="40"/>
  <c r="Q22" i="38"/>
  <c r="L49" i="38"/>
  <c r="H49" i="38"/>
  <c r="I49" i="36"/>
  <c r="F22" i="41"/>
  <c r="AA30" i="40"/>
  <c r="S30" i="40"/>
  <c r="G29" i="41"/>
  <c r="AN49" i="40"/>
  <c r="AJ49" i="40"/>
  <c r="AF49" i="40"/>
  <c r="AB49" i="40"/>
  <c r="X49" i="40"/>
  <c r="T49" i="40"/>
  <c r="P49" i="40"/>
  <c r="L49" i="40"/>
  <c r="H49" i="40"/>
  <c r="AC21" i="40"/>
  <c r="L49" i="36"/>
  <c r="H49" i="36"/>
  <c r="G48" i="41"/>
  <c r="G47" i="41"/>
  <c r="G38" i="41"/>
  <c r="F48" i="41"/>
  <c r="F47" i="41"/>
  <c r="G13" i="29"/>
  <c r="AI49" i="40"/>
  <c r="AQ38" i="40"/>
  <c r="AQ11" i="40"/>
  <c r="K49" i="40"/>
  <c r="AQ17" i="40"/>
  <c r="I29" i="40"/>
  <c r="K30" i="39"/>
  <c r="G30" i="39"/>
  <c r="S29" i="39"/>
  <c r="E44" i="39" s="1"/>
  <c r="G15" i="29" s="1"/>
  <c r="O38" i="36"/>
  <c r="I30" i="36"/>
  <c r="O29" i="36"/>
  <c r="E44" i="36" s="1"/>
  <c r="M49" i="38"/>
  <c r="Q38" i="38"/>
  <c r="I30" i="38"/>
  <c r="Q29" i="38"/>
  <c r="E44" i="38" s="1"/>
  <c r="G9" i="29" s="1"/>
  <c r="G30" i="38"/>
  <c r="Q28" i="38"/>
  <c r="E43" i="38" s="1"/>
  <c r="E9" i="29" s="1"/>
  <c r="E30" i="38"/>
  <c r="U29" i="37"/>
  <c r="E44" i="37" s="1"/>
  <c r="E30" i="37"/>
  <c r="AC9" i="34"/>
  <c r="AB50" i="34"/>
  <c r="AC50" i="34"/>
  <c r="I11" i="41"/>
  <c r="I10" i="43" s="1"/>
  <c r="D41" i="34"/>
  <c r="AB41" i="34" s="1"/>
  <c r="E41" i="41"/>
  <c r="K41" i="41" s="1"/>
  <c r="E9" i="41"/>
  <c r="E10" i="41"/>
  <c r="K10" i="41" s="1"/>
  <c r="AC10" i="34"/>
  <c r="AC12" i="34"/>
  <c r="AC14" i="34"/>
  <c r="AC15" i="34"/>
  <c r="AC16" i="34"/>
  <c r="AC17" i="34"/>
  <c r="AC18" i="34"/>
  <c r="N197" i="107" s="1"/>
  <c r="N198" i="107" s="1"/>
  <c r="AC20" i="34"/>
  <c r="AC23" i="34"/>
  <c r="AC24" i="34"/>
  <c r="AC25" i="34"/>
  <c r="AC26" i="34"/>
  <c r="AC27" i="34"/>
  <c r="AC31" i="34"/>
  <c r="Q197" i="107" s="1"/>
  <c r="Q198" i="107" s="1"/>
  <c r="AC32" i="34"/>
  <c r="R197" i="107" s="1"/>
  <c r="R198" i="107" s="1"/>
  <c r="AC33" i="34"/>
  <c r="S197" i="107" s="1"/>
  <c r="S198" i="107" s="1"/>
  <c r="AC34" i="34"/>
  <c r="AC35" i="34"/>
  <c r="AC36" i="34"/>
  <c r="V197" i="107" s="1"/>
  <c r="V198" i="107" s="1"/>
  <c r="AC37" i="34"/>
  <c r="W197" i="107" s="1"/>
  <c r="W198" i="107" s="1"/>
  <c r="AC40" i="34"/>
  <c r="AC42" i="34"/>
  <c r="AC45" i="34"/>
  <c r="AC46" i="34"/>
  <c r="AC51" i="34"/>
  <c r="AB12" i="34"/>
  <c r="AB14" i="34"/>
  <c r="AB15" i="34"/>
  <c r="AB16" i="34"/>
  <c r="AB18" i="34"/>
  <c r="AB23" i="34"/>
  <c r="AB24" i="34"/>
  <c r="AB25" i="34"/>
  <c r="AB26" i="34"/>
  <c r="AB27" i="34"/>
  <c r="AB31" i="34"/>
  <c r="AB32" i="34"/>
  <c r="AB33" i="34"/>
  <c r="AB34" i="34"/>
  <c r="AB35" i="34"/>
  <c r="AB36" i="34"/>
  <c r="AB37" i="34"/>
  <c r="AB40" i="34"/>
  <c r="AB42" i="34"/>
  <c r="AB45" i="34"/>
  <c r="AB46" i="34"/>
  <c r="AB51" i="34"/>
  <c r="F47" i="34"/>
  <c r="G47" i="34"/>
  <c r="H47" i="34"/>
  <c r="I47" i="34"/>
  <c r="J47" i="34"/>
  <c r="K47" i="34"/>
  <c r="L47" i="34"/>
  <c r="M47" i="34"/>
  <c r="N47" i="34"/>
  <c r="O47" i="34"/>
  <c r="P47" i="34"/>
  <c r="Q47" i="34"/>
  <c r="R47" i="34"/>
  <c r="S47" i="34"/>
  <c r="S49" i="34" s="1"/>
  <c r="T47" i="34"/>
  <c r="U47" i="34"/>
  <c r="V47" i="34"/>
  <c r="W47" i="34"/>
  <c r="X47" i="34"/>
  <c r="Y47" i="34"/>
  <c r="Z47" i="34"/>
  <c r="AA47" i="34"/>
  <c r="F48" i="34"/>
  <c r="G48" i="34"/>
  <c r="H48" i="34"/>
  <c r="I48" i="34"/>
  <c r="J48" i="34"/>
  <c r="K48" i="34"/>
  <c r="L48" i="34"/>
  <c r="M48" i="34"/>
  <c r="N48" i="34"/>
  <c r="O48" i="34"/>
  <c r="P48" i="34"/>
  <c r="Q48" i="34"/>
  <c r="R48" i="34"/>
  <c r="S48" i="34"/>
  <c r="T48" i="34"/>
  <c r="U48" i="34"/>
  <c r="V48" i="34"/>
  <c r="W48" i="34"/>
  <c r="X48" i="34"/>
  <c r="Y48" i="34"/>
  <c r="Z48" i="34"/>
  <c r="AA48" i="34"/>
  <c r="F38" i="34"/>
  <c r="G38" i="34"/>
  <c r="H38" i="34"/>
  <c r="I38" i="34"/>
  <c r="J38" i="34"/>
  <c r="K38" i="34"/>
  <c r="L38" i="34"/>
  <c r="M38" i="34"/>
  <c r="N38" i="34"/>
  <c r="O38" i="34"/>
  <c r="P38" i="34"/>
  <c r="Q38" i="34"/>
  <c r="R38" i="34"/>
  <c r="S38" i="34"/>
  <c r="T38" i="34"/>
  <c r="U38" i="34"/>
  <c r="V38" i="34"/>
  <c r="W38" i="34"/>
  <c r="X38" i="34"/>
  <c r="Y38" i="34"/>
  <c r="Z38" i="34"/>
  <c r="AA38" i="34"/>
  <c r="F39" i="34"/>
  <c r="G39" i="34"/>
  <c r="H39" i="34"/>
  <c r="I39" i="34"/>
  <c r="J39" i="34"/>
  <c r="K39" i="34"/>
  <c r="L39" i="34"/>
  <c r="M39" i="34"/>
  <c r="N39" i="34"/>
  <c r="O39" i="34"/>
  <c r="P39" i="34"/>
  <c r="Q39" i="34"/>
  <c r="R39" i="34"/>
  <c r="S39" i="34"/>
  <c r="T39" i="34"/>
  <c r="U39" i="34"/>
  <c r="V39" i="34"/>
  <c r="W39" i="34"/>
  <c r="X39" i="34"/>
  <c r="Y39" i="34"/>
  <c r="Z39" i="34"/>
  <c r="AA39" i="34"/>
  <c r="F22" i="34"/>
  <c r="G22" i="34"/>
  <c r="H22" i="34"/>
  <c r="I22" i="34"/>
  <c r="J22" i="34"/>
  <c r="K22" i="34"/>
  <c r="L22" i="34"/>
  <c r="M22" i="34"/>
  <c r="N22" i="34"/>
  <c r="O22" i="34"/>
  <c r="P22" i="34"/>
  <c r="Q22" i="34"/>
  <c r="R22" i="34"/>
  <c r="S22" i="34"/>
  <c r="T22" i="34"/>
  <c r="U22" i="34"/>
  <c r="V22" i="34"/>
  <c r="W22" i="34"/>
  <c r="X22" i="34"/>
  <c r="Y22" i="34"/>
  <c r="Z22" i="34"/>
  <c r="AA22" i="34"/>
  <c r="E19" i="34"/>
  <c r="E21" i="34" s="1"/>
  <c r="G19" i="34"/>
  <c r="G29" i="34" s="1"/>
  <c r="H19" i="34"/>
  <c r="I19" i="34"/>
  <c r="J19" i="34"/>
  <c r="K19" i="34"/>
  <c r="K29" i="34" s="1"/>
  <c r="L19" i="34"/>
  <c r="M19" i="34"/>
  <c r="M29" i="34" s="1"/>
  <c r="N19" i="34"/>
  <c r="N29" i="34" s="1"/>
  <c r="O19" i="34"/>
  <c r="O29" i="34" s="1"/>
  <c r="P19" i="34"/>
  <c r="Q19" i="34"/>
  <c r="Q29" i="34" s="1"/>
  <c r="R19" i="34"/>
  <c r="R29" i="34" s="1"/>
  <c r="S19" i="34"/>
  <c r="S29" i="34" s="1"/>
  <c r="T19" i="34"/>
  <c r="T29" i="34" s="1"/>
  <c r="U19" i="34"/>
  <c r="U29" i="34" s="1"/>
  <c r="V19" i="34"/>
  <c r="V29" i="34" s="1"/>
  <c r="W19" i="34"/>
  <c r="W29" i="34" s="1"/>
  <c r="X19" i="34"/>
  <c r="X29" i="34" s="1"/>
  <c r="Y19" i="34"/>
  <c r="Y29" i="34" s="1"/>
  <c r="Z19" i="34"/>
  <c r="Z29" i="34" s="1"/>
  <c r="AA19" i="34"/>
  <c r="AA29" i="34" s="1"/>
  <c r="F13" i="34"/>
  <c r="G13" i="34"/>
  <c r="H13" i="34"/>
  <c r="I13" i="34"/>
  <c r="J13" i="34"/>
  <c r="K13" i="34"/>
  <c r="L13" i="34"/>
  <c r="L28" i="34" s="1"/>
  <c r="M13" i="34"/>
  <c r="M28" i="34" s="1"/>
  <c r="N13" i="34"/>
  <c r="N28" i="34" s="1"/>
  <c r="O13" i="34"/>
  <c r="P13" i="34"/>
  <c r="Q13" i="34"/>
  <c r="R13" i="34"/>
  <c r="R28" i="34" s="1"/>
  <c r="S13" i="34"/>
  <c r="T13" i="34"/>
  <c r="T28" i="34" s="1"/>
  <c r="U13" i="34"/>
  <c r="U28" i="34" s="1"/>
  <c r="V13" i="34"/>
  <c r="V28" i="34" s="1"/>
  <c r="W13" i="34"/>
  <c r="W28" i="34" s="1"/>
  <c r="X13" i="34"/>
  <c r="X28" i="34" s="1"/>
  <c r="Y13" i="34"/>
  <c r="Y28" i="34" s="1"/>
  <c r="Z13" i="34"/>
  <c r="AA13" i="34"/>
  <c r="W30" i="34" l="1"/>
  <c r="AA21" i="34"/>
  <c r="S21" i="34"/>
  <c r="K21" i="34"/>
  <c r="U197" i="107"/>
  <c r="U198" i="107" s="1"/>
  <c r="K197" i="107"/>
  <c r="K198" i="107" s="1"/>
  <c r="Z49" i="34"/>
  <c r="T197" i="107"/>
  <c r="T198" i="107" s="1"/>
  <c r="O21" i="34"/>
  <c r="J49" i="34"/>
  <c r="G49" i="41"/>
  <c r="G28" i="41"/>
  <c r="Q21" i="34"/>
  <c r="E49" i="73"/>
  <c r="U49" i="73" s="1"/>
  <c r="U47" i="73"/>
  <c r="E47" i="35"/>
  <c r="U47" i="35" s="1"/>
  <c r="U43" i="35"/>
  <c r="G21" i="41"/>
  <c r="U28" i="37"/>
  <c r="E43" i="37" s="1"/>
  <c r="E10" i="29" s="1"/>
  <c r="I30" i="40"/>
  <c r="I21" i="34"/>
  <c r="V49" i="34"/>
  <c r="R49" i="34"/>
  <c r="N49" i="34"/>
  <c r="T30" i="34"/>
  <c r="N30" i="34"/>
  <c r="H22" i="41"/>
  <c r="H21" i="43" s="1"/>
  <c r="K49" i="34"/>
  <c r="F49" i="41"/>
  <c r="Q21" i="38"/>
  <c r="E39" i="35"/>
  <c r="U39" i="35" s="1"/>
  <c r="V30" i="34"/>
  <c r="R30" i="34"/>
  <c r="M30" i="34"/>
  <c r="S47" i="74"/>
  <c r="L21" i="34"/>
  <c r="F49" i="34"/>
  <c r="X49" i="34"/>
  <c r="T49" i="34"/>
  <c r="P49" i="34"/>
  <c r="L49" i="34"/>
  <c r="S28" i="39"/>
  <c r="E43" i="39" s="1"/>
  <c r="E39" i="39" s="1"/>
  <c r="S39" i="39" s="1"/>
  <c r="I38" i="41"/>
  <c r="I37" i="43" s="1"/>
  <c r="Y49" i="34"/>
  <c r="U49" i="34"/>
  <c r="Q49" i="34"/>
  <c r="M49" i="34"/>
  <c r="AA49" i="34"/>
  <c r="W49" i="34"/>
  <c r="O49" i="34"/>
  <c r="Y30" i="34"/>
  <c r="U21" i="37"/>
  <c r="G21" i="34"/>
  <c r="E21" i="41" s="1"/>
  <c r="E19" i="41"/>
  <c r="O21" i="36"/>
  <c r="U30" i="37"/>
  <c r="AQ21" i="40"/>
  <c r="AQ28" i="40"/>
  <c r="E43" i="40" s="1"/>
  <c r="AQ43" i="40" s="1"/>
  <c r="E12" i="29" s="1"/>
  <c r="K30" i="40"/>
  <c r="G30" i="41" s="1"/>
  <c r="O28" i="36"/>
  <c r="E43" i="36" s="1"/>
  <c r="E8" i="29" s="1"/>
  <c r="O30" i="36"/>
  <c r="E29" i="34"/>
  <c r="I19" i="41"/>
  <c r="I18" i="43" s="1"/>
  <c r="I29" i="34"/>
  <c r="U21" i="34"/>
  <c r="N21" i="34"/>
  <c r="AA28" i="34"/>
  <c r="AA30" i="34" s="1"/>
  <c r="S28" i="34"/>
  <c r="S30" i="34" s="1"/>
  <c r="K28" i="34"/>
  <c r="K30" i="34" s="1"/>
  <c r="H38" i="41"/>
  <c r="H37" i="43" s="1"/>
  <c r="Q28" i="34"/>
  <c r="Q30" i="34" s="1"/>
  <c r="G10" i="29"/>
  <c r="E48" i="37"/>
  <c r="U48" i="37" s="1"/>
  <c r="U44" i="37"/>
  <c r="V21" i="34"/>
  <c r="I13" i="41"/>
  <c r="I12" i="43" s="1"/>
  <c r="I28" i="34"/>
  <c r="E13" i="41"/>
  <c r="AC13" i="34"/>
  <c r="H19" i="41"/>
  <c r="H18" i="43" s="1"/>
  <c r="Y21" i="34"/>
  <c r="M21" i="34"/>
  <c r="L29" i="34"/>
  <c r="L30" i="34" s="1"/>
  <c r="X30" i="34"/>
  <c r="AC11" i="34"/>
  <c r="E11" i="41"/>
  <c r="K11" i="41" s="1"/>
  <c r="O44" i="36"/>
  <c r="G8" i="29"/>
  <c r="E48" i="36"/>
  <c r="O48" i="36" s="1"/>
  <c r="X21" i="34"/>
  <c r="T21" i="34"/>
  <c r="W21" i="34"/>
  <c r="R21" i="34"/>
  <c r="O28" i="34"/>
  <c r="O30" i="34" s="1"/>
  <c r="G28" i="34"/>
  <c r="H49" i="34"/>
  <c r="H47" i="41"/>
  <c r="H46" i="43" s="1"/>
  <c r="E38" i="41"/>
  <c r="I49" i="34"/>
  <c r="I48" i="41"/>
  <c r="I47" i="43" s="1"/>
  <c r="Q30" i="38"/>
  <c r="S30" i="39"/>
  <c r="I39" i="41"/>
  <c r="I38" i="43" s="1"/>
  <c r="H48" i="41"/>
  <c r="H47" i="43" s="1"/>
  <c r="H13" i="41"/>
  <c r="H12" i="43" s="1"/>
  <c r="I22" i="41"/>
  <c r="I21" i="43" s="1"/>
  <c r="E22" i="41"/>
  <c r="H39" i="41"/>
  <c r="H38" i="43" s="1"/>
  <c r="G49" i="34"/>
  <c r="I47" i="41"/>
  <c r="I46" i="43" s="1"/>
  <c r="AC22" i="34"/>
  <c r="K9" i="41"/>
  <c r="AQ29" i="40"/>
  <c r="E44" i="40" s="1"/>
  <c r="E48" i="40" s="1"/>
  <c r="AQ48" i="40" s="1"/>
  <c r="E48" i="39"/>
  <c r="S48" i="39" s="1"/>
  <c r="S44" i="39"/>
  <c r="E39" i="38"/>
  <c r="Q39" i="38" s="1"/>
  <c r="E47" i="38"/>
  <c r="Q47" i="38" s="1"/>
  <c r="E48" i="38"/>
  <c r="Q44" i="38"/>
  <c r="Q43" i="38"/>
  <c r="U30" i="34"/>
  <c r="AC38" i="34"/>
  <c r="AC29" i="34"/>
  <c r="E44" i="34" s="1"/>
  <c r="AC19" i="34"/>
  <c r="U43" i="37" l="1"/>
  <c r="E39" i="37"/>
  <c r="U39" i="37" s="1"/>
  <c r="E47" i="37"/>
  <c r="U47" i="37" s="1"/>
  <c r="E49" i="35"/>
  <c r="U49" i="35" s="1"/>
  <c r="K22" i="41"/>
  <c r="AC28" i="34"/>
  <c r="E43" i="34" s="1"/>
  <c r="E47" i="34" s="1"/>
  <c r="G30" i="34"/>
  <c r="E15" i="29"/>
  <c r="E47" i="39"/>
  <c r="S47" i="39" s="1"/>
  <c r="S43" i="39"/>
  <c r="K38" i="41"/>
  <c r="E47" i="36"/>
  <c r="E49" i="36" s="1"/>
  <c r="O49" i="36" s="1"/>
  <c r="E48" i="34"/>
  <c r="E48" i="41" s="1"/>
  <c r="I49" i="41"/>
  <c r="I48" i="43" s="1"/>
  <c r="I21" i="41"/>
  <c r="I20" i="43" s="1"/>
  <c r="H49" i="41"/>
  <c r="H48" i="43" s="1"/>
  <c r="AC21" i="34"/>
  <c r="K13" i="41"/>
  <c r="O43" i="36"/>
  <c r="E39" i="36"/>
  <c r="O39" i="36" s="1"/>
  <c r="E39" i="40"/>
  <c r="AQ39" i="40" s="1"/>
  <c r="AQ30" i="40"/>
  <c r="E47" i="40"/>
  <c r="E49" i="40" s="1"/>
  <c r="AQ49" i="40" s="1"/>
  <c r="E30" i="34"/>
  <c r="E29" i="41"/>
  <c r="I28" i="41"/>
  <c r="I27" i="43" s="1"/>
  <c r="I30" i="34"/>
  <c r="I30" i="41" s="1"/>
  <c r="I29" i="43" s="1"/>
  <c r="I29" i="41"/>
  <c r="I28" i="43" s="1"/>
  <c r="K19" i="41"/>
  <c r="AC44" i="34"/>
  <c r="G7" i="29"/>
  <c r="E44" i="41"/>
  <c r="E28" i="41"/>
  <c r="AQ44" i="40"/>
  <c r="G12" i="29" s="1"/>
  <c r="Q48" i="38"/>
  <c r="E49" i="38"/>
  <c r="Q49" i="38" s="1"/>
  <c r="E49" i="37" l="1"/>
  <c r="U49" i="37" s="1"/>
  <c r="K21" i="41"/>
  <c r="E30" i="41"/>
  <c r="K30" i="41" s="1"/>
  <c r="O47" i="36"/>
  <c r="E39" i="34"/>
  <c r="AC39" i="34" s="1"/>
  <c r="E49" i="39"/>
  <c r="S49" i="39" s="1"/>
  <c r="E49" i="34"/>
  <c r="G16" i="29"/>
  <c r="T18" i="43" s="1"/>
  <c r="V18" i="43" s="1"/>
  <c r="AC30" i="34"/>
  <c r="AQ47" i="40"/>
  <c r="K28" i="41"/>
  <c r="K29" i="41"/>
  <c r="E7" i="29"/>
  <c r="E16" i="29" s="1"/>
  <c r="G19" i="29" s="1"/>
  <c r="E43" i="41"/>
  <c r="AC43" i="34"/>
  <c r="K48" i="41"/>
  <c r="AC47" i="34"/>
  <c r="E47" i="41"/>
  <c r="E43" i="43"/>
  <c r="K43" i="43" s="1"/>
  <c r="K44" i="41"/>
  <c r="AC48" i="34"/>
  <c r="T17" i="43" l="1"/>
  <c r="V17" i="43" s="1"/>
  <c r="K47" i="41"/>
  <c r="AC49" i="34"/>
  <c r="E49" i="41"/>
  <c r="F42" i="91"/>
  <c r="E21" i="90"/>
  <c r="E39" i="41"/>
  <c r="K39" i="41" s="1"/>
  <c r="E42" i="43"/>
  <c r="K42" i="43" s="1"/>
  <c r="K43" i="41"/>
  <c r="CG50" i="105"/>
  <c r="CG49" i="105"/>
  <c r="BZ49" i="105"/>
  <c r="D49" i="43" s="1"/>
  <c r="K49" i="41" l="1"/>
  <c r="K55" i="41" s="1"/>
  <c r="CF49" i="105"/>
  <c r="F41" i="91"/>
  <c r="E20" i="90"/>
  <c r="CG11" i="105"/>
  <c r="CG13" i="105"/>
  <c r="CG14" i="105"/>
  <c r="CG15" i="105"/>
  <c r="CG16" i="105"/>
  <c r="CG17" i="105"/>
  <c r="CG19" i="105"/>
  <c r="CG22" i="105"/>
  <c r="CG25" i="105"/>
  <c r="CG26" i="105"/>
  <c r="CG31" i="105"/>
  <c r="CG32" i="105"/>
  <c r="CG35" i="105"/>
  <c r="CG36" i="105"/>
  <c r="CG39" i="105"/>
  <c r="CG42" i="105"/>
  <c r="CG43" i="105"/>
  <c r="CG44" i="105"/>
  <c r="CG45" i="105"/>
  <c r="CG24" i="105"/>
  <c r="BZ15" i="105"/>
  <c r="D15" i="43" s="1"/>
  <c r="BZ19" i="105"/>
  <c r="BZ22" i="105"/>
  <c r="D22" i="43" s="1"/>
  <c r="BZ25" i="105"/>
  <c r="D25" i="43" s="1"/>
  <c r="BZ26" i="105"/>
  <c r="D26" i="43" s="1"/>
  <c r="BZ30" i="105"/>
  <c r="BZ31" i="105"/>
  <c r="D31" i="43" s="1"/>
  <c r="BZ33" i="105"/>
  <c r="D33" i="43" s="1"/>
  <c r="BZ34" i="105"/>
  <c r="D34" i="43" s="1"/>
  <c r="BZ35" i="105"/>
  <c r="D35" i="43" s="1"/>
  <c r="BZ36" i="105"/>
  <c r="D36" i="43" s="1"/>
  <c r="BZ39" i="105"/>
  <c r="D39" i="43" s="1"/>
  <c r="BZ42" i="105"/>
  <c r="BZ43" i="105"/>
  <c r="BZ44" i="105"/>
  <c r="D44" i="43" s="1"/>
  <c r="BZ45" i="105"/>
  <c r="D45" i="43" s="1"/>
  <c r="D30" i="43" l="1"/>
  <c r="CF30" i="105"/>
  <c r="CG23" i="105"/>
  <c r="BR21" i="105"/>
  <c r="E46" i="105"/>
  <c r="F46" i="105"/>
  <c r="G46" i="105"/>
  <c r="H46" i="105"/>
  <c r="I46" i="105"/>
  <c r="J46" i="105"/>
  <c r="K46" i="105"/>
  <c r="L46" i="105"/>
  <c r="M46" i="105"/>
  <c r="N46" i="105"/>
  <c r="O46" i="105"/>
  <c r="P46" i="105"/>
  <c r="Q46" i="105"/>
  <c r="R46" i="105"/>
  <c r="S46" i="105"/>
  <c r="T46" i="105"/>
  <c r="U46" i="105"/>
  <c r="V46" i="105"/>
  <c r="W46" i="105"/>
  <c r="Z46" i="105"/>
  <c r="AA46" i="105"/>
  <c r="AD46" i="105"/>
  <c r="AE46" i="105"/>
  <c r="AF46" i="105"/>
  <c r="AG46" i="105"/>
  <c r="AH46" i="105"/>
  <c r="AI46" i="105"/>
  <c r="AJ46" i="105"/>
  <c r="AK46" i="105"/>
  <c r="AL46" i="105"/>
  <c r="AM46" i="105"/>
  <c r="AN46" i="105"/>
  <c r="AO46" i="105"/>
  <c r="AP46" i="105"/>
  <c r="AQ46" i="105"/>
  <c r="AR46" i="105"/>
  <c r="AS46" i="105"/>
  <c r="AT46" i="105"/>
  <c r="AU46" i="105"/>
  <c r="AV46" i="105"/>
  <c r="AW46" i="105"/>
  <c r="AX46" i="105"/>
  <c r="AY46" i="105"/>
  <c r="AZ46" i="105"/>
  <c r="BA46" i="105"/>
  <c r="BB46" i="105"/>
  <c r="BC46" i="105"/>
  <c r="BD46" i="105"/>
  <c r="BE46" i="105"/>
  <c r="BF46" i="105"/>
  <c r="BG46" i="105"/>
  <c r="BH46" i="105"/>
  <c r="BI46" i="105"/>
  <c r="BJ46" i="105"/>
  <c r="BK46" i="105"/>
  <c r="BL46" i="105"/>
  <c r="BM46" i="105"/>
  <c r="BN46" i="105"/>
  <c r="BO46" i="105"/>
  <c r="BR46" i="105"/>
  <c r="BY46" i="105"/>
  <c r="E47" i="105"/>
  <c r="F47" i="105"/>
  <c r="G47" i="105"/>
  <c r="H47" i="105"/>
  <c r="I47" i="105"/>
  <c r="J47" i="105"/>
  <c r="K47" i="105"/>
  <c r="L47" i="105"/>
  <c r="M47" i="105"/>
  <c r="N47" i="105"/>
  <c r="O47" i="105"/>
  <c r="P47" i="105"/>
  <c r="Q47" i="105"/>
  <c r="R47" i="105"/>
  <c r="S47" i="105"/>
  <c r="T47" i="105"/>
  <c r="U47" i="105"/>
  <c r="V47" i="105"/>
  <c r="W47" i="105"/>
  <c r="Z47" i="105"/>
  <c r="AA47" i="105"/>
  <c r="AD47" i="105"/>
  <c r="AE47" i="105"/>
  <c r="AF47" i="105"/>
  <c r="AG47" i="105"/>
  <c r="AH47" i="105"/>
  <c r="AI47" i="105"/>
  <c r="AJ47" i="105"/>
  <c r="AK47" i="105"/>
  <c r="AL47" i="105"/>
  <c r="AM47" i="105"/>
  <c r="AN47" i="105"/>
  <c r="AO47" i="105"/>
  <c r="AP47" i="105"/>
  <c r="AQ47" i="105"/>
  <c r="AR47" i="105"/>
  <c r="AS47" i="105"/>
  <c r="AT47" i="105"/>
  <c r="AU47" i="105"/>
  <c r="AV47" i="105"/>
  <c r="AW47" i="105"/>
  <c r="AX47" i="105"/>
  <c r="AY47" i="105"/>
  <c r="AZ47" i="105"/>
  <c r="BA47" i="105"/>
  <c r="BB47" i="105"/>
  <c r="BC47" i="105"/>
  <c r="BD47" i="105"/>
  <c r="BE47" i="105"/>
  <c r="BF47" i="105"/>
  <c r="BG47" i="105"/>
  <c r="BH47" i="105"/>
  <c r="BI47" i="105"/>
  <c r="BJ47" i="105"/>
  <c r="BK47" i="105"/>
  <c r="BL47" i="105"/>
  <c r="BM47" i="105"/>
  <c r="BN47" i="105"/>
  <c r="BO47" i="105"/>
  <c r="BR47" i="105"/>
  <c r="BS47" i="105"/>
  <c r="BS48" i="105" s="1"/>
  <c r="BT47" i="105"/>
  <c r="BU47" i="105"/>
  <c r="BV47" i="105"/>
  <c r="BW47" i="105"/>
  <c r="BW48" i="105" s="1"/>
  <c r="BX47" i="105"/>
  <c r="BY47" i="105"/>
  <c r="E37" i="105"/>
  <c r="F37" i="105"/>
  <c r="G37" i="105"/>
  <c r="H37" i="105"/>
  <c r="I37" i="105"/>
  <c r="J37" i="105"/>
  <c r="K37" i="105"/>
  <c r="L37" i="105"/>
  <c r="M37" i="105"/>
  <c r="N37" i="105"/>
  <c r="O37" i="105"/>
  <c r="P37" i="105"/>
  <c r="Q37" i="105"/>
  <c r="R37" i="105"/>
  <c r="S37" i="105"/>
  <c r="T37" i="105"/>
  <c r="U37" i="105"/>
  <c r="V37" i="105"/>
  <c r="W37" i="105"/>
  <c r="Z37" i="105"/>
  <c r="AA37" i="105"/>
  <c r="AD37" i="105"/>
  <c r="AE37" i="105"/>
  <c r="AF37" i="105"/>
  <c r="AG37" i="105"/>
  <c r="AH37" i="105"/>
  <c r="AI37" i="105"/>
  <c r="AJ37" i="105"/>
  <c r="AK37" i="105"/>
  <c r="AL37" i="105"/>
  <c r="AM37" i="105"/>
  <c r="AN37" i="105"/>
  <c r="AO37" i="105"/>
  <c r="AP37" i="105"/>
  <c r="AQ37" i="105"/>
  <c r="AR37" i="105"/>
  <c r="AS37" i="105"/>
  <c r="AT37" i="105"/>
  <c r="AU37" i="105"/>
  <c r="AV37" i="105"/>
  <c r="AW37" i="105"/>
  <c r="AX37" i="105"/>
  <c r="AY37" i="105"/>
  <c r="AZ37" i="105"/>
  <c r="BA37" i="105"/>
  <c r="BB37" i="105"/>
  <c r="BC37" i="105"/>
  <c r="BD37" i="105"/>
  <c r="BE37" i="105"/>
  <c r="BF37" i="105"/>
  <c r="BG37" i="105"/>
  <c r="BH37" i="105"/>
  <c r="BI37" i="105"/>
  <c r="BJ37" i="105"/>
  <c r="BK37" i="105"/>
  <c r="BL37" i="105"/>
  <c r="BM37" i="105"/>
  <c r="BN37" i="105"/>
  <c r="BO37" i="105"/>
  <c r="BR37" i="105"/>
  <c r="BS37" i="105"/>
  <c r="BU37" i="105"/>
  <c r="BV37" i="105"/>
  <c r="BW37" i="105"/>
  <c r="BY37" i="105"/>
  <c r="E38" i="105"/>
  <c r="F38" i="105"/>
  <c r="G38" i="105"/>
  <c r="H38" i="105"/>
  <c r="I38" i="105"/>
  <c r="J38" i="105"/>
  <c r="K38" i="105"/>
  <c r="L38" i="105"/>
  <c r="M38" i="105"/>
  <c r="N38" i="105"/>
  <c r="O38" i="105"/>
  <c r="P38" i="105"/>
  <c r="Q38" i="105"/>
  <c r="R38" i="105"/>
  <c r="S38" i="105"/>
  <c r="T38" i="105"/>
  <c r="U38" i="105"/>
  <c r="V38" i="105"/>
  <c r="W38" i="105"/>
  <c r="Z38" i="105"/>
  <c r="AA38" i="105"/>
  <c r="AD38" i="105"/>
  <c r="AE38" i="105"/>
  <c r="AF38" i="105"/>
  <c r="AG38" i="105"/>
  <c r="AH38" i="105"/>
  <c r="AI38" i="105"/>
  <c r="AJ38" i="105"/>
  <c r="AK38" i="105"/>
  <c r="AL38" i="105"/>
  <c r="AM38" i="105"/>
  <c r="AN38" i="105"/>
  <c r="AO38" i="105"/>
  <c r="AP38" i="105"/>
  <c r="AQ38" i="105"/>
  <c r="AR38" i="105"/>
  <c r="AS38" i="105"/>
  <c r="AT38" i="105"/>
  <c r="AU38" i="105"/>
  <c r="AV38" i="105"/>
  <c r="AW38" i="105"/>
  <c r="AX38" i="105"/>
  <c r="AY38" i="105"/>
  <c r="AZ38" i="105"/>
  <c r="BA38" i="105"/>
  <c r="BB38" i="105"/>
  <c r="BC38" i="105"/>
  <c r="BD38" i="105"/>
  <c r="BE38" i="105"/>
  <c r="BF38" i="105"/>
  <c r="BG38" i="105"/>
  <c r="BH38" i="105"/>
  <c r="BI38" i="105"/>
  <c r="BJ38" i="105"/>
  <c r="BK38" i="105"/>
  <c r="BL38" i="105"/>
  <c r="BM38" i="105"/>
  <c r="BN38" i="105"/>
  <c r="BO38" i="105"/>
  <c r="BR38" i="105"/>
  <c r="BT38" i="105"/>
  <c r="BU38" i="105"/>
  <c r="BV38" i="105"/>
  <c r="BX38" i="105"/>
  <c r="BY38" i="105"/>
  <c r="E27" i="105"/>
  <c r="G27" i="105"/>
  <c r="I27" i="105"/>
  <c r="K27" i="105"/>
  <c r="M27" i="105"/>
  <c r="O27" i="105"/>
  <c r="Q27" i="105"/>
  <c r="R27" i="105"/>
  <c r="S27" i="105"/>
  <c r="U27" i="105"/>
  <c r="W27" i="105"/>
  <c r="AA27" i="105"/>
  <c r="AD27" i="105"/>
  <c r="AE27" i="105"/>
  <c r="AF27" i="105"/>
  <c r="AG27" i="105"/>
  <c r="AH27" i="105"/>
  <c r="AI27" i="105"/>
  <c r="AK27" i="105"/>
  <c r="AM27" i="105"/>
  <c r="AO27" i="105"/>
  <c r="AP27" i="105"/>
  <c r="AQ27" i="105"/>
  <c r="AR27" i="105"/>
  <c r="AS27" i="105"/>
  <c r="AU27" i="105"/>
  <c r="AV27" i="105"/>
  <c r="AW27" i="105"/>
  <c r="AY27" i="105"/>
  <c r="AZ27" i="105"/>
  <c r="BA27" i="105"/>
  <c r="BC27" i="105"/>
  <c r="BE27" i="105"/>
  <c r="BG27" i="105"/>
  <c r="BI27" i="105"/>
  <c r="BK27" i="105"/>
  <c r="BM27" i="105"/>
  <c r="BO27" i="105"/>
  <c r="BR27" i="105"/>
  <c r="BT27" i="105"/>
  <c r="BU27" i="105"/>
  <c r="BV27" i="105"/>
  <c r="BW27" i="105"/>
  <c r="BX27" i="105"/>
  <c r="BY27" i="105"/>
  <c r="E21" i="105"/>
  <c r="F21" i="105"/>
  <c r="G21" i="105"/>
  <c r="H21" i="105"/>
  <c r="I21" i="105"/>
  <c r="J21" i="105"/>
  <c r="K21" i="105"/>
  <c r="L21" i="105"/>
  <c r="M21" i="105"/>
  <c r="N21" i="105"/>
  <c r="O21" i="105"/>
  <c r="P21" i="105"/>
  <c r="Q21" i="105"/>
  <c r="R21" i="105"/>
  <c r="S21" i="105"/>
  <c r="T21" i="105"/>
  <c r="U21" i="105"/>
  <c r="V21" i="105"/>
  <c r="W21" i="105"/>
  <c r="Z21" i="105"/>
  <c r="AA21" i="105"/>
  <c r="AD21" i="105"/>
  <c r="AE21" i="105"/>
  <c r="AF21" i="105"/>
  <c r="AG21" i="105"/>
  <c r="AH21" i="105"/>
  <c r="AI21" i="105"/>
  <c r="AJ21" i="105"/>
  <c r="AK21" i="105"/>
  <c r="AL21" i="105"/>
  <c r="AM21" i="105"/>
  <c r="AN21" i="105"/>
  <c r="AO21" i="105"/>
  <c r="AP21" i="105"/>
  <c r="AQ21" i="105"/>
  <c r="AR21" i="105"/>
  <c r="AS21" i="105"/>
  <c r="AT21" i="105"/>
  <c r="AU21" i="105"/>
  <c r="AV21" i="105"/>
  <c r="AW21" i="105"/>
  <c r="AX21" i="105"/>
  <c r="AY21" i="105"/>
  <c r="AZ21" i="105"/>
  <c r="BA21" i="105"/>
  <c r="BB21" i="105"/>
  <c r="BC21" i="105"/>
  <c r="BD21" i="105"/>
  <c r="BE21" i="105"/>
  <c r="BF21" i="105"/>
  <c r="BG21" i="105"/>
  <c r="BH21" i="105"/>
  <c r="BI21" i="105"/>
  <c r="BJ21" i="105"/>
  <c r="BK21" i="105"/>
  <c r="BL21" i="105"/>
  <c r="BM21" i="105"/>
  <c r="BN21" i="105"/>
  <c r="BO21" i="105"/>
  <c r="BT21" i="105"/>
  <c r="BU21" i="105"/>
  <c r="BV21" i="105"/>
  <c r="BW21" i="105"/>
  <c r="BX21" i="105"/>
  <c r="BY21" i="105"/>
  <c r="E18" i="105"/>
  <c r="F18" i="105"/>
  <c r="F28" i="105" s="1"/>
  <c r="G18" i="105"/>
  <c r="G28" i="105" s="1"/>
  <c r="H18" i="105"/>
  <c r="I18" i="105"/>
  <c r="I28" i="105" s="1"/>
  <c r="J18" i="105"/>
  <c r="J28" i="105" s="1"/>
  <c r="K18" i="105"/>
  <c r="K28" i="105" s="1"/>
  <c r="L18" i="105"/>
  <c r="M18" i="105"/>
  <c r="M28" i="105" s="1"/>
  <c r="N18" i="105"/>
  <c r="N28" i="105" s="1"/>
  <c r="O18" i="105"/>
  <c r="O28" i="105" s="1"/>
  <c r="P18" i="105"/>
  <c r="P28" i="105" s="1"/>
  <c r="Q18" i="105"/>
  <c r="Q28" i="105" s="1"/>
  <c r="R18" i="105"/>
  <c r="R28" i="105" s="1"/>
  <c r="R29" i="105" s="1"/>
  <c r="S18" i="105"/>
  <c r="S28" i="105" s="1"/>
  <c r="T18" i="105"/>
  <c r="T28" i="105" s="1"/>
  <c r="U18" i="105"/>
  <c r="U28" i="105" s="1"/>
  <c r="V18" i="105"/>
  <c r="V28" i="105" s="1"/>
  <c r="W18" i="105"/>
  <c r="W28" i="105" s="1"/>
  <c r="Z18" i="105"/>
  <c r="AA18" i="105"/>
  <c r="AA28" i="105" s="1"/>
  <c r="AE18" i="105"/>
  <c r="AE28" i="105" s="1"/>
  <c r="AE29" i="105" s="1"/>
  <c r="AG18" i="105"/>
  <c r="AH18" i="105"/>
  <c r="AH28" i="105" s="1"/>
  <c r="AI18" i="105"/>
  <c r="AI28" i="105" s="1"/>
  <c r="AJ18" i="105"/>
  <c r="AK18" i="105"/>
  <c r="AK28" i="105" s="1"/>
  <c r="AL18" i="105"/>
  <c r="AL28" i="105" s="1"/>
  <c r="AM18" i="105"/>
  <c r="AM28" i="105" s="1"/>
  <c r="AN18" i="105"/>
  <c r="AN28" i="105" s="1"/>
  <c r="AO18" i="105"/>
  <c r="AP18" i="105"/>
  <c r="AP28" i="105" s="1"/>
  <c r="AP29" i="105" s="1"/>
  <c r="AQ18" i="105"/>
  <c r="AQ28" i="105" s="1"/>
  <c r="AR18" i="105"/>
  <c r="AR28" i="105" s="1"/>
  <c r="AS18" i="105"/>
  <c r="AS28" i="105" s="1"/>
  <c r="AT18" i="105"/>
  <c r="AT28" i="105" s="1"/>
  <c r="AU18" i="105"/>
  <c r="AU28" i="105" s="1"/>
  <c r="AV18" i="105"/>
  <c r="AW18" i="105"/>
  <c r="AY18" i="105"/>
  <c r="AY28" i="105" s="1"/>
  <c r="AZ18" i="105"/>
  <c r="BA18" i="105"/>
  <c r="BB18" i="105"/>
  <c r="BC18" i="105"/>
  <c r="BC28" i="105" s="1"/>
  <c r="BD18" i="105"/>
  <c r="BD28" i="105" s="1"/>
  <c r="BE18" i="105"/>
  <c r="BE28" i="105" s="1"/>
  <c r="BF18" i="105"/>
  <c r="BG18" i="105"/>
  <c r="BG28" i="105" s="1"/>
  <c r="BH18" i="105"/>
  <c r="BH28" i="105" s="1"/>
  <c r="BI18" i="105"/>
  <c r="BI28" i="105" s="1"/>
  <c r="BJ18" i="105"/>
  <c r="BJ28" i="105" s="1"/>
  <c r="BK18" i="105"/>
  <c r="BK28" i="105" s="1"/>
  <c r="BL18" i="105"/>
  <c r="BM18" i="105"/>
  <c r="BN18" i="105"/>
  <c r="BO28" i="105"/>
  <c r="BR18" i="105"/>
  <c r="BS18" i="105"/>
  <c r="BT18" i="105"/>
  <c r="BT28" i="105" s="1"/>
  <c r="BU18" i="105"/>
  <c r="BU28" i="105" s="1"/>
  <c r="BV18" i="105"/>
  <c r="BW18" i="105"/>
  <c r="BX18" i="105"/>
  <c r="BX28" i="105" s="1"/>
  <c r="BY18" i="105"/>
  <c r="BY28" i="105" s="1"/>
  <c r="E12" i="105"/>
  <c r="F12" i="105"/>
  <c r="G12" i="105"/>
  <c r="H12" i="105"/>
  <c r="I12" i="105"/>
  <c r="J12" i="105"/>
  <c r="K12" i="105"/>
  <c r="L12" i="105"/>
  <c r="M12" i="105"/>
  <c r="N12" i="105"/>
  <c r="O12" i="105"/>
  <c r="P12" i="105"/>
  <c r="Q12" i="105"/>
  <c r="R12" i="105"/>
  <c r="S12" i="105"/>
  <c r="T12" i="105"/>
  <c r="U12" i="105"/>
  <c r="V12" i="105"/>
  <c r="W12" i="105"/>
  <c r="Z12" i="105"/>
  <c r="AA12" i="105"/>
  <c r="AD12" i="105"/>
  <c r="AE12" i="105"/>
  <c r="AF12" i="105"/>
  <c r="AG12" i="105"/>
  <c r="AH12" i="105"/>
  <c r="AI12" i="105"/>
  <c r="AK12" i="105"/>
  <c r="AM12" i="105"/>
  <c r="AO12" i="105"/>
  <c r="AP12" i="105"/>
  <c r="AQ12" i="105"/>
  <c r="AR12" i="105"/>
  <c r="AS12" i="105"/>
  <c r="AU12" i="105"/>
  <c r="AV12" i="105"/>
  <c r="AW12" i="105"/>
  <c r="AY12" i="105"/>
  <c r="AZ12" i="105"/>
  <c r="BA12" i="105"/>
  <c r="BC12" i="105"/>
  <c r="BE12" i="105"/>
  <c r="BE20" i="105" s="1"/>
  <c r="BG12" i="105"/>
  <c r="BI12" i="105"/>
  <c r="BK12" i="105"/>
  <c r="BL12" i="105"/>
  <c r="BM12" i="105"/>
  <c r="BO12" i="105"/>
  <c r="BR12" i="105"/>
  <c r="BS12" i="105"/>
  <c r="BT12" i="105"/>
  <c r="BU12" i="105"/>
  <c r="BV12" i="105"/>
  <c r="BW12" i="105"/>
  <c r="BX12" i="105"/>
  <c r="BY12" i="105"/>
  <c r="EQ10" i="23"/>
  <c r="EO10" i="23"/>
  <c r="EO27" i="23" s="1"/>
  <c r="EM9" i="23"/>
  <c r="EK10" i="23"/>
  <c r="DC27" i="23"/>
  <c r="BW27" i="23"/>
  <c r="BS10" i="23"/>
  <c r="CA9" i="105"/>
  <c r="AC40" i="23"/>
  <c r="CA41" i="105"/>
  <c r="E46" i="23"/>
  <c r="F46" i="23"/>
  <c r="G46" i="23"/>
  <c r="H46" i="23"/>
  <c r="I46" i="23"/>
  <c r="J46" i="23"/>
  <c r="K46" i="23"/>
  <c r="L46" i="23"/>
  <c r="M46" i="23"/>
  <c r="N46" i="23"/>
  <c r="O46" i="23"/>
  <c r="P46" i="23"/>
  <c r="Q46" i="23"/>
  <c r="R46" i="23"/>
  <c r="R48" i="23" s="1"/>
  <c r="S46" i="23"/>
  <c r="T46" i="23"/>
  <c r="U46" i="23"/>
  <c r="V46" i="23"/>
  <c r="W46" i="23"/>
  <c r="X46" i="23"/>
  <c r="Y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A46" i="23"/>
  <c r="CB46" i="23"/>
  <c r="CC46" i="23"/>
  <c r="CD46" i="23"/>
  <c r="CE46" i="23"/>
  <c r="CF46" i="23"/>
  <c r="CG46" i="23"/>
  <c r="CH46" i="23"/>
  <c r="CI46" i="23"/>
  <c r="CJ46" i="23"/>
  <c r="CK46" i="23"/>
  <c r="CL46" i="23"/>
  <c r="CM46" i="23"/>
  <c r="CN46" i="23"/>
  <c r="CO46" i="23"/>
  <c r="CP46" i="23"/>
  <c r="CQ46" i="23"/>
  <c r="CR46" i="23"/>
  <c r="CS46" i="23"/>
  <c r="CT46" i="23"/>
  <c r="CU46" i="23"/>
  <c r="CV46" i="23"/>
  <c r="CW46" i="23"/>
  <c r="CX46" i="23"/>
  <c r="CY46" i="23"/>
  <c r="CZ46" i="23"/>
  <c r="DA46" i="23"/>
  <c r="DB46" i="23"/>
  <c r="DC46" i="23"/>
  <c r="DD46" i="23"/>
  <c r="DE46" i="23"/>
  <c r="DE48" i="23" s="1"/>
  <c r="DF46" i="23"/>
  <c r="DG46" i="23"/>
  <c r="DH46" i="23"/>
  <c r="DI46" i="23"/>
  <c r="DJ46" i="23"/>
  <c r="DK46" i="23"/>
  <c r="DL46" i="23"/>
  <c r="DM46" i="23"/>
  <c r="DN46" i="23"/>
  <c r="DO46" i="23"/>
  <c r="DP46" i="23"/>
  <c r="DQ46" i="23"/>
  <c r="DR46" i="23"/>
  <c r="DS46" i="23"/>
  <c r="DT46" i="23"/>
  <c r="DU46" i="23"/>
  <c r="DV46" i="23"/>
  <c r="DW46" i="23"/>
  <c r="DX46" i="23"/>
  <c r="DY46" i="23"/>
  <c r="EB46" i="23"/>
  <c r="EC46" i="23"/>
  <c r="ED46" i="23"/>
  <c r="EE46" i="23"/>
  <c r="EH46" i="23"/>
  <c r="EI46" i="23"/>
  <c r="EJ46" i="23"/>
  <c r="EK46" i="23"/>
  <c r="EL46" i="23"/>
  <c r="EM46" i="23"/>
  <c r="EN46" i="23"/>
  <c r="EO46" i="23"/>
  <c r="EP46" i="23"/>
  <c r="EQ46" i="23"/>
  <c r="ER46" i="23"/>
  <c r="ES46" i="23"/>
  <c r="ET46" i="23"/>
  <c r="EU46" i="23"/>
  <c r="EV46" i="23"/>
  <c r="EW46" i="23"/>
  <c r="EX46" i="23"/>
  <c r="EY46" i="23"/>
  <c r="EZ46" i="23"/>
  <c r="FA46" i="23"/>
  <c r="FB46" i="23"/>
  <c r="FC46" i="23"/>
  <c r="FD46" i="23"/>
  <c r="FE46" i="23"/>
  <c r="FF46" i="23"/>
  <c r="FG46" i="23"/>
  <c r="FH46" i="23"/>
  <c r="FI46" i="23"/>
  <c r="FJ46" i="23"/>
  <c r="FK46" i="23"/>
  <c r="FL46" i="23"/>
  <c r="FM46" i="23"/>
  <c r="FN46" i="23"/>
  <c r="FO46" i="23"/>
  <c r="FP46" i="23"/>
  <c r="FQ46" i="23"/>
  <c r="FR46" i="23"/>
  <c r="FS46" i="23"/>
  <c r="FT46" i="23"/>
  <c r="FU46" i="23"/>
  <c r="FV46" i="23"/>
  <c r="FW46" i="23"/>
  <c r="FX46" i="23"/>
  <c r="FY46" i="23"/>
  <c r="FZ46" i="23"/>
  <c r="GA46" i="23"/>
  <c r="GB46" i="23"/>
  <c r="GC46" i="23"/>
  <c r="GD46" i="23"/>
  <c r="GE46" i="23"/>
  <c r="GF46" i="23"/>
  <c r="GG46" i="23"/>
  <c r="GH46" i="23"/>
  <c r="GI46" i="23"/>
  <c r="GJ46" i="23"/>
  <c r="GK46" i="23"/>
  <c r="GL46" i="23"/>
  <c r="GM46" i="23"/>
  <c r="GN46" i="23"/>
  <c r="GO46" i="23"/>
  <c r="GP46" i="23"/>
  <c r="GQ46" i="23"/>
  <c r="GR46" i="23"/>
  <c r="GS46" i="23"/>
  <c r="GT46" i="23"/>
  <c r="GU46" i="23"/>
  <c r="GV46" i="23"/>
  <c r="GW46" i="23"/>
  <c r="GX46" i="23"/>
  <c r="GY46" i="23"/>
  <c r="GZ46" i="23"/>
  <c r="HA46" i="23"/>
  <c r="HB46" i="23"/>
  <c r="HC46" i="23"/>
  <c r="HD46" i="23"/>
  <c r="HE46" i="23"/>
  <c r="HF46" i="23"/>
  <c r="HG46" i="23"/>
  <c r="CI46" i="105" s="1"/>
  <c r="M46" i="43" s="1"/>
  <c r="HH46" i="23"/>
  <c r="HI46" i="23"/>
  <c r="HJ46" i="23"/>
  <c r="HK46" i="23"/>
  <c r="HL46" i="23"/>
  <c r="HM46" i="23"/>
  <c r="HN46" i="23"/>
  <c r="HO46" i="23"/>
  <c r="HP46" i="23"/>
  <c r="HQ46" i="23"/>
  <c r="HR46" i="23"/>
  <c r="HS46" i="23"/>
  <c r="HT46" i="23"/>
  <c r="HU46" i="23"/>
  <c r="HV46" i="23"/>
  <c r="HW46" i="23"/>
  <c r="HX46" i="23"/>
  <c r="HY46" i="23"/>
  <c r="E47" i="23"/>
  <c r="F47" i="23"/>
  <c r="F48" i="23" s="1"/>
  <c r="G47" i="23"/>
  <c r="H47" i="23"/>
  <c r="I47" i="23"/>
  <c r="J47" i="23"/>
  <c r="K47" i="23"/>
  <c r="L47" i="23"/>
  <c r="M47" i="23"/>
  <c r="N47" i="23"/>
  <c r="O47" i="23"/>
  <c r="P47" i="23"/>
  <c r="Q47" i="23"/>
  <c r="R47" i="23"/>
  <c r="S47" i="23"/>
  <c r="T47" i="23"/>
  <c r="U47" i="23"/>
  <c r="V47" i="23"/>
  <c r="W47" i="23"/>
  <c r="X47" i="23"/>
  <c r="Y47" i="23"/>
  <c r="AA47" i="23"/>
  <c r="AC47" i="23"/>
  <c r="AD47" i="23"/>
  <c r="AE47" i="23"/>
  <c r="AF47" i="23"/>
  <c r="AG47" i="23"/>
  <c r="AG48" i="23" s="1"/>
  <c r="AH47" i="23"/>
  <c r="AI47" i="23"/>
  <c r="AI48" i="23" s="1"/>
  <c r="AJ47" i="23"/>
  <c r="AK47" i="23"/>
  <c r="AL47" i="23"/>
  <c r="AM47" i="23"/>
  <c r="AN47" i="23"/>
  <c r="AO47" i="23"/>
  <c r="AO48" i="23" s="1"/>
  <c r="AP47" i="23"/>
  <c r="AQ47" i="23"/>
  <c r="AQ48" i="23" s="1"/>
  <c r="AR47" i="23"/>
  <c r="AS47" i="23"/>
  <c r="AT47" i="23"/>
  <c r="AU47" i="23"/>
  <c r="AV47" i="23"/>
  <c r="AW47" i="23"/>
  <c r="AW48" i="23" s="1"/>
  <c r="AX47" i="23"/>
  <c r="AY47" i="23"/>
  <c r="AY48" i="23" s="1"/>
  <c r="AZ47" i="23"/>
  <c r="BA47" i="23"/>
  <c r="BB47" i="23"/>
  <c r="BC47" i="23"/>
  <c r="BD47" i="23"/>
  <c r="BE47" i="23"/>
  <c r="BE48" i="23" s="1"/>
  <c r="BF47" i="23"/>
  <c r="BG47" i="23"/>
  <c r="BG48" i="23" s="1"/>
  <c r="BH47" i="23"/>
  <c r="BI47" i="23"/>
  <c r="BJ47" i="23"/>
  <c r="BK47" i="23"/>
  <c r="BL47" i="23"/>
  <c r="BM47" i="23"/>
  <c r="BM48" i="23" s="1"/>
  <c r="BN47" i="23"/>
  <c r="BO47" i="23"/>
  <c r="BP47" i="23"/>
  <c r="BQ47" i="23"/>
  <c r="BR47" i="23"/>
  <c r="BS47" i="23"/>
  <c r="BT47" i="23"/>
  <c r="BU47" i="23"/>
  <c r="BU48" i="23" s="1"/>
  <c r="BV47" i="23"/>
  <c r="BW47" i="23"/>
  <c r="BW48" i="23" s="1"/>
  <c r="BX47" i="23"/>
  <c r="BY47" i="23"/>
  <c r="BZ47" i="23"/>
  <c r="CA47" i="23"/>
  <c r="CB47" i="23"/>
  <c r="CC47" i="23"/>
  <c r="CC48" i="23" s="1"/>
  <c r="CD47" i="23"/>
  <c r="CE47" i="23"/>
  <c r="CE48" i="23" s="1"/>
  <c r="CF47" i="23"/>
  <c r="CG47" i="23"/>
  <c r="CH47" i="23"/>
  <c r="CH48" i="23" s="1"/>
  <c r="CI47" i="23"/>
  <c r="CJ47" i="23"/>
  <c r="CK47" i="23"/>
  <c r="CK48" i="23" s="1"/>
  <c r="CL47" i="23"/>
  <c r="CM47" i="23"/>
  <c r="CM48" i="23" s="1"/>
  <c r="CN47" i="23"/>
  <c r="CO47" i="23"/>
  <c r="CP47" i="23"/>
  <c r="CQ47" i="23"/>
  <c r="CR47" i="23"/>
  <c r="CS47" i="23"/>
  <c r="CT47" i="23"/>
  <c r="CU47" i="23"/>
  <c r="CV47" i="23"/>
  <c r="CW47" i="23"/>
  <c r="CX47" i="23"/>
  <c r="CY47" i="23"/>
  <c r="CZ47" i="23"/>
  <c r="DA47" i="23"/>
  <c r="DB47" i="23"/>
  <c r="DC47" i="23"/>
  <c r="DC48" i="23" s="1"/>
  <c r="DD47" i="23"/>
  <c r="DE47" i="23"/>
  <c r="DF47" i="23"/>
  <c r="DG47" i="23"/>
  <c r="DH47" i="23"/>
  <c r="DI47" i="23"/>
  <c r="DI48" i="23" s="1"/>
  <c r="DJ47" i="23"/>
  <c r="DK47" i="23"/>
  <c r="DK48" i="23" s="1"/>
  <c r="DL47" i="23"/>
  <c r="DM47" i="23"/>
  <c r="DN47" i="23"/>
  <c r="DO47" i="23"/>
  <c r="DP47" i="23"/>
  <c r="DQ47" i="23"/>
  <c r="DQ48" i="23" s="1"/>
  <c r="DR47" i="23"/>
  <c r="DS47" i="23"/>
  <c r="DS48" i="23" s="1"/>
  <c r="DT47" i="23"/>
  <c r="DU47" i="23"/>
  <c r="DV47" i="23"/>
  <c r="DW47" i="23"/>
  <c r="DX47" i="23"/>
  <c r="DY47" i="23"/>
  <c r="EB47" i="23"/>
  <c r="EC47" i="23"/>
  <c r="EC48" i="23" s="1"/>
  <c r="ED47" i="23"/>
  <c r="EE47" i="23"/>
  <c r="EH47" i="23"/>
  <c r="EI47" i="23"/>
  <c r="EJ47" i="23"/>
  <c r="EK47" i="23"/>
  <c r="EK48" i="23" s="1"/>
  <c r="EL47" i="23"/>
  <c r="EM47" i="23"/>
  <c r="EM48" i="23" s="1"/>
  <c r="EN47" i="23"/>
  <c r="EO47" i="23"/>
  <c r="EP47" i="23"/>
  <c r="EQ47" i="23"/>
  <c r="ER47" i="23"/>
  <c r="ES47" i="23"/>
  <c r="ES48" i="23" s="1"/>
  <c r="ET47" i="23"/>
  <c r="EU47" i="23"/>
  <c r="EU48" i="23" s="1"/>
  <c r="EV47" i="23"/>
  <c r="EW47" i="23"/>
  <c r="EX47" i="23"/>
  <c r="EY47" i="23"/>
  <c r="EZ47" i="23"/>
  <c r="FA47" i="23"/>
  <c r="FA48" i="23" s="1"/>
  <c r="FB47" i="23"/>
  <c r="FC47" i="23"/>
  <c r="FC48" i="23" s="1"/>
  <c r="FD47" i="23"/>
  <c r="FE47" i="23"/>
  <c r="FF47" i="23"/>
  <c r="FG47" i="23"/>
  <c r="FH47" i="23"/>
  <c r="FI47" i="23"/>
  <c r="FI48" i="23" s="1"/>
  <c r="FJ47" i="23"/>
  <c r="FK47" i="23"/>
  <c r="FK48" i="23" s="1"/>
  <c r="FL47" i="23"/>
  <c r="FM47" i="23"/>
  <c r="FN47" i="23"/>
  <c r="FO47" i="23"/>
  <c r="FP47" i="23"/>
  <c r="FQ47" i="23"/>
  <c r="FQ48" i="23" s="1"/>
  <c r="FR47" i="23"/>
  <c r="FS47" i="23"/>
  <c r="FS48" i="23" s="1"/>
  <c r="FT47" i="23"/>
  <c r="FU47" i="23"/>
  <c r="FV47" i="23"/>
  <c r="FW47" i="23"/>
  <c r="FX47" i="23"/>
  <c r="FY47" i="23"/>
  <c r="FY48" i="23" s="1"/>
  <c r="FZ47" i="23"/>
  <c r="GA47" i="23"/>
  <c r="GB47" i="23"/>
  <c r="GC47" i="23"/>
  <c r="GD47" i="23"/>
  <c r="GE47" i="23"/>
  <c r="GF47" i="23"/>
  <c r="GG47" i="23"/>
  <c r="GG48" i="23" s="1"/>
  <c r="GH47" i="23"/>
  <c r="GI47" i="23"/>
  <c r="GI48" i="23" s="1"/>
  <c r="GJ47" i="23"/>
  <c r="GK47" i="23"/>
  <c r="GL47" i="23"/>
  <c r="GM47" i="23"/>
  <c r="GN47" i="23"/>
  <c r="GO47" i="23"/>
  <c r="GO48" i="23" s="1"/>
  <c r="GP47" i="23"/>
  <c r="GQ47" i="23"/>
  <c r="GQ48" i="23" s="1"/>
  <c r="GR47" i="23"/>
  <c r="GS47" i="23"/>
  <c r="GT47" i="23"/>
  <c r="GU47" i="23"/>
  <c r="GV47" i="23"/>
  <c r="GW47" i="23"/>
  <c r="GW48" i="23" s="1"/>
  <c r="GX47" i="23"/>
  <c r="GY47" i="23"/>
  <c r="GY48" i="23" s="1"/>
  <c r="GZ47" i="23"/>
  <c r="HA47" i="23"/>
  <c r="HB47" i="23"/>
  <c r="HC47" i="23"/>
  <c r="HD47" i="23"/>
  <c r="HE47" i="23"/>
  <c r="HE48" i="23" s="1"/>
  <c r="HF47" i="23"/>
  <c r="CH47" i="105" s="1"/>
  <c r="L47" i="43" s="1"/>
  <c r="HG47" i="23"/>
  <c r="HH47" i="23"/>
  <c r="HI47" i="23"/>
  <c r="HJ47" i="23"/>
  <c r="HK47" i="23"/>
  <c r="HL47" i="23"/>
  <c r="HM47" i="23"/>
  <c r="HM48" i="23" s="1"/>
  <c r="HN47" i="23"/>
  <c r="HO47" i="23"/>
  <c r="HO48" i="23" s="1"/>
  <c r="HP47" i="23"/>
  <c r="HQ47" i="23"/>
  <c r="HR47" i="23"/>
  <c r="HS47" i="23"/>
  <c r="HT47" i="23"/>
  <c r="HU47" i="23"/>
  <c r="HU48" i="23" s="1"/>
  <c r="HV47" i="23"/>
  <c r="HW47" i="23"/>
  <c r="HW48" i="23" s="1"/>
  <c r="HX47" i="23"/>
  <c r="HY47" i="23"/>
  <c r="M48" i="23"/>
  <c r="AS48" i="23"/>
  <c r="AX48" i="23"/>
  <c r="DR48" i="23"/>
  <c r="FJ48" i="23"/>
  <c r="HB48" i="23"/>
  <c r="E37" i="23"/>
  <c r="F37" i="23"/>
  <c r="G37" i="23"/>
  <c r="H37" i="23"/>
  <c r="I37" i="23"/>
  <c r="J37" i="23"/>
  <c r="K37" i="23"/>
  <c r="L37" i="23"/>
  <c r="M37" i="23"/>
  <c r="N37" i="23"/>
  <c r="O37" i="23"/>
  <c r="P37" i="23"/>
  <c r="Q37" i="23"/>
  <c r="R37" i="23"/>
  <c r="S37" i="23"/>
  <c r="T37" i="23"/>
  <c r="U37" i="23"/>
  <c r="V37" i="23"/>
  <c r="W37" i="23"/>
  <c r="X37" i="23"/>
  <c r="Y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DI37" i="23"/>
  <c r="DJ37" i="23"/>
  <c r="DK37" i="23"/>
  <c r="DL37" i="23"/>
  <c r="DM37" i="23"/>
  <c r="DN37" i="23"/>
  <c r="DO37" i="23"/>
  <c r="DP37" i="23"/>
  <c r="DQ37" i="23"/>
  <c r="DR37" i="23"/>
  <c r="DS37" i="23"/>
  <c r="DT37" i="23"/>
  <c r="DU37" i="23"/>
  <c r="DV37" i="23"/>
  <c r="DW37" i="23"/>
  <c r="DX37" i="23"/>
  <c r="DY37" i="23"/>
  <c r="EB37" i="23"/>
  <c r="EC37" i="23"/>
  <c r="ED37" i="23"/>
  <c r="EE37" i="23"/>
  <c r="EH37" i="23"/>
  <c r="EI37" i="23"/>
  <c r="EJ37" i="23"/>
  <c r="EK37" i="23"/>
  <c r="EL37" i="23"/>
  <c r="EM37" i="23"/>
  <c r="EN37" i="23"/>
  <c r="EO37" i="23"/>
  <c r="EP37" i="23"/>
  <c r="EQ37" i="23"/>
  <c r="ER37" i="23"/>
  <c r="ES37" i="23"/>
  <c r="ET37" i="23"/>
  <c r="EU37" i="23"/>
  <c r="EV37" i="23"/>
  <c r="EW37" i="23"/>
  <c r="EX37" i="23"/>
  <c r="EY37" i="23"/>
  <c r="EZ37" i="23"/>
  <c r="FA37" i="23"/>
  <c r="FB37" i="23"/>
  <c r="FC37" i="23"/>
  <c r="FD37" i="23"/>
  <c r="FE37" i="23"/>
  <c r="FF37" i="23"/>
  <c r="FG37" i="23"/>
  <c r="FH37" i="23"/>
  <c r="FI37" i="23"/>
  <c r="FJ37" i="23"/>
  <c r="FK37" i="23"/>
  <c r="FL37" i="23"/>
  <c r="FM37" i="23"/>
  <c r="FN37" i="23"/>
  <c r="FO37" i="23"/>
  <c r="FP37" i="23"/>
  <c r="FQ37" i="23"/>
  <c r="FR37" i="23"/>
  <c r="FS37" i="23"/>
  <c r="FT37" i="23"/>
  <c r="FU37" i="23"/>
  <c r="FV37" i="23"/>
  <c r="FW37" i="23"/>
  <c r="FX37" i="23"/>
  <c r="FY37" i="23"/>
  <c r="FZ37" i="23"/>
  <c r="GA37" i="23"/>
  <c r="GB37" i="23"/>
  <c r="GC37" i="23"/>
  <c r="GD37" i="23"/>
  <c r="GE37" i="23"/>
  <c r="GF37" i="23"/>
  <c r="GG37" i="23"/>
  <c r="GH37" i="23"/>
  <c r="GI37" i="23"/>
  <c r="GJ37" i="23"/>
  <c r="GK37" i="23"/>
  <c r="GL37" i="23"/>
  <c r="GM37" i="23"/>
  <c r="GN37" i="23"/>
  <c r="GO37" i="23"/>
  <c r="GP37" i="23"/>
  <c r="GQ37" i="23"/>
  <c r="GR37" i="23"/>
  <c r="GS37" i="23"/>
  <c r="GT37" i="23"/>
  <c r="GU37" i="23"/>
  <c r="GV37" i="23"/>
  <c r="GW37" i="23"/>
  <c r="GX37" i="23"/>
  <c r="GY37" i="23"/>
  <c r="GZ37" i="23"/>
  <c r="HA37" i="23"/>
  <c r="HB37" i="23"/>
  <c r="HC37" i="23"/>
  <c r="HD37" i="23"/>
  <c r="HE37" i="23"/>
  <c r="HF37" i="23"/>
  <c r="CH37" i="105" s="1"/>
  <c r="L37" i="43" s="1"/>
  <c r="HG37" i="23"/>
  <c r="CI37" i="105" s="1"/>
  <c r="M37" i="43" s="1"/>
  <c r="HH37" i="23"/>
  <c r="HI37" i="23"/>
  <c r="HJ37" i="23"/>
  <c r="HK37" i="23"/>
  <c r="HL37" i="23"/>
  <c r="HM37" i="23"/>
  <c r="HN37" i="23"/>
  <c r="HO37" i="23"/>
  <c r="HP37" i="23"/>
  <c r="HQ37" i="23"/>
  <c r="HR37" i="23"/>
  <c r="HS37" i="23"/>
  <c r="HT37" i="23"/>
  <c r="HU37" i="23"/>
  <c r="HV37" i="23"/>
  <c r="HW37" i="23"/>
  <c r="HX37" i="23"/>
  <c r="HY37" i="23"/>
  <c r="E38" i="23"/>
  <c r="F38" i="23"/>
  <c r="G38" i="23"/>
  <c r="H38" i="23"/>
  <c r="I38" i="23"/>
  <c r="J38" i="23"/>
  <c r="K38" i="23"/>
  <c r="L38" i="23"/>
  <c r="M38" i="23"/>
  <c r="N38" i="23"/>
  <c r="O38" i="23"/>
  <c r="P38" i="23"/>
  <c r="Q38" i="23"/>
  <c r="R38" i="23"/>
  <c r="S38" i="23"/>
  <c r="T38" i="23"/>
  <c r="U38" i="23"/>
  <c r="V38" i="23"/>
  <c r="W38" i="23"/>
  <c r="X38" i="23"/>
  <c r="Y38" i="23"/>
  <c r="Z38" i="23"/>
  <c r="AA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A38" i="23"/>
  <c r="CB38" i="23"/>
  <c r="CC38" i="23"/>
  <c r="CD38" i="23"/>
  <c r="CE38" i="23"/>
  <c r="CF38" i="23"/>
  <c r="CG38" i="23"/>
  <c r="CH38" i="23"/>
  <c r="CI38" i="23"/>
  <c r="CJ38" i="23"/>
  <c r="CK38" i="23"/>
  <c r="CL38" i="23"/>
  <c r="CM38" i="23"/>
  <c r="CN38" i="23"/>
  <c r="CO38" i="23"/>
  <c r="CP38" i="23"/>
  <c r="CQ38" i="23"/>
  <c r="CR38" i="23"/>
  <c r="CS38" i="23"/>
  <c r="CT38" i="23"/>
  <c r="CU38" i="23"/>
  <c r="CV38" i="23"/>
  <c r="CW38" i="23"/>
  <c r="CX38" i="23"/>
  <c r="CY38" i="23"/>
  <c r="CZ38" i="23"/>
  <c r="DA38" i="23"/>
  <c r="DB38" i="23"/>
  <c r="DC38" i="23"/>
  <c r="DD38" i="23"/>
  <c r="DE38" i="23"/>
  <c r="DF38" i="23"/>
  <c r="DG38" i="23"/>
  <c r="DH38" i="23"/>
  <c r="DI38" i="23"/>
  <c r="DJ38" i="23"/>
  <c r="DK38" i="23"/>
  <c r="DL38" i="23"/>
  <c r="DM38" i="23"/>
  <c r="DN38" i="23"/>
  <c r="DO38" i="23"/>
  <c r="DP38" i="23"/>
  <c r="DQ38" i="23"/>
  <c r="DR38" i="23"/>
  <c r="DS38" i="23"/>
  <c r="DT38" i="23"/>
  <c r="DU38" i="23"/>
  <c r="DV38" i="23"/>
  <c r="DW38" i="23"/>
  <c r="DX38" i="23"/>
  <c r="DY38" i="23"/>
  <c r="EB38" i="23"/>
  <c r="EC38" i="23"/>
  <c r="ED38" i="23"/>
  <c r="EE38" i="23"/>
  <c r="EH38" i="23"/>
  <c r="EI38" i="23"/>
  <c r="EJ38" i="23"/>
  <c r="EK38" i="23"/>
  <c r="EL38" i="23"/>
  <c r="EM38" i="23"/>
  <c r="EN38" i="23"/>
  <c r="EO38" i="23"/>
  <c r="EP38" i="23"/>
  <c r="EQ38" i="23"/>
  <c r="ER38" i="23"/>
  <c r="ES38" i="23"/>
  <c r="ET38" i="23"/>
  <c r="EU38" i="23"/>
  <c r="EV38" i="23"/>
  <c r="EW38" i="23"/>
  <c r="EX38" i="23"/>
  <c r="EY38" i="23"/>
  <c r="EZ38" i="23"/>
  <c r="FA38" i="23"/>
  <c r="FB38" i="23"/>
  <c r="FC38" i="23"/>
  <c r="FD38" i="23"/>
  <c r="FE38" i="23"/>
  <c r="FF38" i="23"/>
  <c r="FG38" i="23"/>
  <c r="FH38" i="23"/>
  <c r="FI38" i="23"/>
  <c r="FJ38" i="23"/>
  <c r="FK38" i="23"/>
  <c r="FL38" i="23"/>
  <c r="FM38" i="23"/>
  <c r="FN38" i="23"/>
  <c r="FO38" i="23"/>
  <c r="FP38" i="23"/>
  <c r="FQ38" i="23"/>
  <c r="FR38" i="23"/>
  <c r="FS38" i="23"/>
  <c r="FT38" i="23"/>
  <c r="FU38" i="23"/>
  <c r="FV38" i="23"/>
  <c r="FW38" i="23"/>
  <c r="FX38" i="23"/>
  <c r="FY38" i="23"/>
  <c r="FZ38" i="23"/>
  <c r="GA38" i="23"/>
  <c r="GB38" i="23"/>
  <c r="GC38" i="23"/>
  <c r="GD38" i="23"/>
  <c r="GE38" i="23"/>
  <c r="GF38" i="23"/>
  <c r="GG38" i="23"/>
  <c r="GH38" i="23"/>
  <c r="GI38" i="23"/>
  <c r="GJ38" i="23"/>
  <c r="GK38" i="23"/>
  <c r="GL38" i="23"/>
  <c r="GM38" i="23"/>
  <c r="GN38" i="23"/>
  <c r="GO38" i="23"/>
  <c r="GP38" i="23"/>
  <c r="GQ38" i="23"/>
  <c r="GR38" i="23"/>
  <c r="GS38" i="23"/>
  <c r="GT38" i="23"/>
  <c r="GU38" i="23"/>
  <c r="GV38" i="23"/>
  <c r="GW38" i="23"/>
  <c r="GX38" i="23"/>
  <c r="GY38" i="23"/>
  <c r="GZ38" i="23"/>
  <c r="HA38" i="23"/>
  <c r="HB38" i="23"/>
  <c r="HC38" i="23"/>
  <c r="HD38" i="23"/>
  <c r="HE38" i="23"/>
  <c r="HF38" i="23"/>
  <c r="CH38" i="105" s="1"/>
  <c r="L38" i="43" s="1"/>
  <c r="HG38" i="23"/>
  <c r="CI38" i="105" s="1"/>
  <c r="M38" i="43" s="1"/>
  <c r="HH38" i="23"/>
  <c r="HI38" i="23"/>
  <c r="HJ38" i="23"/>
  <c r="HK38" i="23"/>
  <c r="HL38" i="23"/>
  <c r="HM38" i="23"/>
  <c r="HN38" i="23"/>
  <c r="HO38" i="23"/>
  <c r="HP38" i="23"/>
  <c r="HQ38" i="23"/>
  <c r="HR38" i="23"/>
  <c r="HS38" i="23"/>
  <c r="HT38" i="23"/>
  <c r="HU38" i="23"/>
  <c r="HV38" i="23"/>
  <c r="HW38" i="23"/>
  <c r="HX38" i="23"/>
  <c r="HY38" i="23"/>
  <c r="D38" i="23"/>
  <c r="D37" i="23"/>
  <c r="E27" i="23"/>
  <c r="F27" i="23"/>
  <c r="G27" i="23"/>
  <c r="H27" i="23"/>
  <c r="I27" i="23"/>
  <c r="J27" i="23"/>
  <c r="K27" i="23"/>
  <c r="L27" i="23"/>
  <c r="M27" i="23"/>
  <c r="N27" i="23"/>
  <c r="O27" i="23"/>
  <c r="P27" i="23"/>
  <c r="Q27" i="23"/>
  <c r="R27" i="23"/>
  <c r="S27" i="23"/>
  <c r="T27" i="23"/>
  <c r="U27" i="23"/>
  <c r="W27" i="23"/>
  <c r="X27" i="23"/>
  <c r="Y27" i="23"/>
  <c r="Z27" i="23"/>
  <c r="AA27" i="23"/>
  <c r="AB27" i="23"/>
  <c r="AC27" i="23"/>
  <c r="AD27" i="23"/>
  <c r="AE27" i="23"/>
  <c r="AF27" i="23"/>
  <c r="AG27" i="23"/>
  <c r="AH27" i="23"/>
  <c r="AI27" i="23"/>
  <c r="AN27" i="23"/>
  <c r="AO27" i="23"/>
  <c r="AQ27" i="23"/>
  <c r="AR27" i="23"/>
  <c r="AS27" i="23"/>
  <c r="AT27" i="23"/>
  <c r="AU27" i="23"/>
  <c r="AV27" i="23"/>
  <c r="AW27" i="23"/>
  <c r="AX27" i="23"/>
  <c r="AY27" i="23"/>
  <c r="BA27" i="23"/>
  <c r="BC27" i="23"/>
  <c r="BE27" i="23"/>
  <c r="BG27" i="23"/>
  <c r="BI27" i="23"/>
  <c r="BK27" i="23"/>
  <c r="BM27" i="23"/>
  <c r="BO27" i="23"/>
  <c r="BQ27" i="23"/>
  <c r="BS27" i="23"/>
  <c r="BU27" i="23"/>
  <c r="BY27" i="23"/>
  <c r="BZ27" i="23"/>
  <c r="CA27" i="23"/>
  <c r="CB27" i="23"/>
  <c r="CC27" i="23"/>
  <c r="CD27" i="23"/>
  <c r="CE27" i="23"/>
  <c r="CF27" i="23"/>
  <c r="CG27" i="23"/>
  <c r="CH27" i="23"/>
  <c r="CI27" i="23"/>
  <c r="CJ27" i="23"/>
  <c r="CK27" i="23"/>
  <c r="CM27" i="23"/>
  <c r="CN27" i="23"/>
  <c r="CO27" i="23"/>
  <c r="CP27" i="23"/>
  <c r="CQ27" i="23"/>
  <c r="CS27" i="23"/>
  <c r="CT27" i="23"/>
  <c r="CU27" i="23"/>
  <c r="CW27" i="23"/>
  <c r="CY27" i="23"/>
  <c r="CZ27" i="23"/>
  <c r="DA27" i="23"/>
  <c r="DD27" i="23"/>
  <c r="DE27" i="23"/>
  <c r="DG27" i="23"/>
  <c r="DH27" i="23"/>
  <c r="DI27" i="23"/>
  <c r="DJ27" i="23"/>
  <c r="DK27" i="23"/>
  <c r="DL27" i="23"/>
  <c r="DM27" i="23"/>
  <c r="DN27" i="23"/>
  <c r="DO27" i="23"/>
  <c r="DP27" i="23"/>
  <c r="DQ27" i="23"/>
  <c r="DR27" i="23"/>
  <c r="DS27" i="23"/>
  <c r="DT27" i="23"/>
  <c r="DU27" i="23"/>
  <c r="DV27" i="23"/>
  <c r="DW27" i="23"/>
  <c r="DX27" i="23"/>
  <c r="DY27" i="23"/>
  <c r="EB27" i="23"/>
  <c r="EC27" i="23"/>
  <c r="ED27" i="23"/>
  <c r="EE27" i="23"/>
  <c r="EI27" i="23"/>
  <c r="EK27" i="23"/>
  <c r="EM27" i="23"/>
  <c r="EQ27" i="23"/>
  <c r="ER27" i="23"/>
  <c r="ES27" i="23"/>
  <c r="ET27" i="23"/>
  <c r="EU27" i="23"/>
  <c r="EV27" i="23"/>
  <c r="EW27" i="23"/>
  <c r="EX27" i="23"/>
  <c r="EY27" i="23"/>
  <c r="EZ27" i="23"/>
  <c r="FA27" i="23"/>
  <c r="FB27" i="23"/>
  <c r="FC27" i="23"/>
  <c r="FD27" i="23"/>
  <c r="FE27" i="23"/>
  <c r="FG27" i="23"/>
  <c r="FI27" i="23"/>
  <c r="FJ27" i="23"/>
  <c r="FK27" i="23"/>
  <c r="FL27" i="23"/>
  <c r="FM27" i="23"/>
  <c r="FN27" i="23"/>
  <c r="FO27" i="23"/>
  <c r="FQ27" i="23"/>
  <c r="FR27" i="23"/>
  <c r="FS27" i="23"/>
  <c r="FT27" i="23"/>
  <c r="FU27" i="23"/>
  <c r="FV27" i="23"/>
  <c r="FW27" i="23"/>
  <c r="FX27" i="23"/>
  <c r="FY27" i="23"/>
  <c r="FZ27" i="23"/>
  <c r="GA27" i="23"/>
  <c r="GB27" i="23"/>
  <c r="GC27" i="23"/>
  <c r="GD27" i="23"/>
  <c r="GE27" i="23"/>
  <c r="GF27" i="23"/>
  <c r="GG27" i="23"/>
  <c r="GH27" i="23"/>
  <c r="GI27" i="23"/>
  <c r="GJ27" i="23"/>
  <c r="GK27" i="23"/>
  <c r="GL27" i="23"/>
  <c r="GM27" i="23"/>
  <c r="GN27" i="23"/>
  <c r="GO27" i="23"/>
  <c r="GP27" i="23"/>
  <c r="GQ27" i="23"/>
  <c r="GR27" i="23"/>
  <c r="GS27" i="23"/>
  <c r="GT27" i="23"/>
  <c r="GU27" i="23"/>
  <c r="GV27" i="23"/>
  <c r="GW27" i="23"/>
  <c r="GY27" i="23"/>
  <c r="GZ27" i="23"/>
  <c r="HA27" i="23"/>
  <c r="HB27" i="23"/>
  <c r="HC27" i="23"/>
  <c r="HD27" i="23"/>
  <c r="HE27" i="23"/>
  <c r="HF27" i="23"/>
  <c r="CH27" i="105" s="1"/>
  <c r="L27" i="43" s="1"/>
  <c r="HG27" i="23"/>
  <c r="CI27" i="105" s="1"/>
  <c r="M27" i="43" s="1"/>
  <c r="HH27" i="23"/>
  <c r="HI27" i="23"/>
  <c r="HJ27" i="23"/>
  <c r="HK27" i="23"/>
  <c r="HL27" i="23"/>
  <c r="HM27" i="23"/>
  <c r="HN27" i="23"/>
  <c r="HO27" i="23"/>
  <c r="HP27" i="23"/>
  <c r="HQ27" i="23"/>
  <c r="HR27" i="23"/>
  <c r="HS27" i="23"/>
  <c r="HT27" i="23"/>
  <c r="HU27" i="23"/>
  <c r="HV27" i="23"/>
  <c r="HW27" i="23"/>
  <c r="HX27" i="23"/>
  <c r="HY27" i="23"/>
  <c r="F21" i="23"/>
  <c r="E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DI21" i="23"/>
  <c r="DJ21" i="23"/>
  <c r="DK21" i="23"/>
  <c r="DL21" i="23"/>
  <c r="DM21" i="23"/>
  <c r="DN21" i="23"/>
  <c r="DO21" i="23"/>
  <c r="DP21" i="23"/>
  <c r="DQ21" i="23"/>
  <c r="DR21" i="23"/>
  <c r="DS21" i="23"/>
  <c r="DT21" i="23"/>
  <c r="DU21" i="23"/>
  <c r="DV21" i="23"/>
  <c r="DW21" i="23"/>
  <c r="DX21" i="23"/>
  <c r="DY21" i="23"/>
  <c r="EB21" i="23"/>
  <c r="EC21" i="23"/>
  <c r="ED21" i="23"/>
  <c r="EE21" i="23"/>
  <c r="EH21" i="23"/>
  <c r="EI21" i="23"/>
  <c r="EJ21" i="23"/>
  <c r="EK21" i="23"/>
  <c r="EL21" i="23"/>
  <c r="EM21" i="23"/>
  <c r="EN21" i="23"/>
  <c r="EO21" i="23"/>
  <c r="EP21" i="23"/>
  <c r="EQ21" i="23"/>
  <c r="ER21" i="23"/>
  <c r="ES21" i="23"/>
  <c r="ET21" i="23"/>
  <c r="EU21" i="23"/>
  <c r="EV21" i="23"/>
  <c r="EW21" i="23"/>
  <c r="EX21" i="23"/>
  <c r="EY21" i="23"/>
  <c r="EZ21" i="23"/>
  <c r="FA21" i="23"/>
  <c r="FB21" i="23"/>
  <c r="FC21" i="23"/>
  <c r="FD21" i="23"/>
  <c r="FE21" i="23"/>
  <c r="FF21" i="23"/>
  <c r="FG21" i="23"/>
  <c r="FJ21" i="23"/>
  <c r="FK21" i="23"/>
  <c r="FL21" i="23"/>
  <c r="FM21" i="23"/>
  <c r="FN21" i="23"/>
  <c r="FO21" i="23"/>
  <c r="FP21" i="23"/>
  <c r="FQ21" i="23"/>
  <c r="FR21" i="23"/>
  <c r="FS21" i="23"/>
  <c r="FT21" i="23"/>
  <c r="FU21" i="23"/>
  <c r="FV21" i="23"/>
  <c r="FW21" i="23"/>
  <c r="FX21" i="23"/>
  <c r="FY21" i="23"/>
  <c r="FZ21" i="23"/>
  <c r="GA21" i="23"/>
  <c r="GB21" i="23"/>
  <c r="GC21" i="23"/>
  <c r="GD21" i="23"/>
  <c r="GE21" i="23"/>
  <c r="GF21" i="23"/>
  <c r="GG21" i="23"/>
  <c r="GH21" i="23"/>
  <c r="GI21" i="23"/>
  <c r="GJ21" i="23"/>
  <c r="GK21" i="23"/>
  <c r="GL21" i="23"/>
  <c r="GM21" i="23"/>
  <c r="GN21" i="23"/>
  <c r="GO21" i="23"/>
  <c r="GP21" i="23"/>
  <c r="GQ21" i="23"/>
  <c r="GR21" i="23"/>
  <c r="GS21" i="23"/>
  <c r="GT21" i="23"/>
  <c r="GU21" i="23"/>
  <c r="GV21" i="23"/>
  <c r="GW21" i="23"/>
  <c r="GX21" i="23"/>
  <c r="GY21" i="23"/>
  <c r="GZ21" i="23"/>
  <c r="HA21" i="23"/>
  <c r="HB21" i="23"/>
  <c r="HC21" i="23"/>
  <c r="HD21" i="23"/>
  <c r="HE21" i="23"/>
  <c r="HF21" i="23"/>
  <c r="CH21" i="105" s="1"/>
  <c r="L21" i="43" s="1"/>
  <c r="HG21" i="23"/>
  <c r="CI21" i="105" s="1"/>
  <c r="M21" i="43" s="1"/>
  <c r="HH21" i="23"/>
  <c r="HI21" i="23"/>
  <c r="HJ21" i="23"/>
  <c r="HK21" i="23"/>
  <c r="HL21" i="23"/>
  <c r="HM21" i="23"/>
  <c r="HN21" i="23"/>
  <c r="HO21" i="23"/>
  <c r="HP21" i="23"/>
  <c r="HQ21" i="23"/>
  <c r="HR21" i="23"/>
  <c r="HS21" i="23"/>
  <c r="HT21" i="23"/>
  <c r="HU21" i="23"/>
  <c r="HV21" i="23"/>
  <c r="HW21" i="23"/>
  <c r="HX21" i="23"/>
  <c r="HY21" i="23"/>
  <c r="D21" i="23"/>
  <c r="HY18" i="23"/>
  <c r="HY28" i="23" s="1"/>
  <c r="Z18" i="23"/>
  <c r="Z28" i="23" s="1"/>
  <c r="AA18" i="23"/>
  <c r="AA28" i="23" s="1"/>
  <c r="AB18" i="23"/>
  <c r="AC18" i="23"/>
  <c r="AC28" i="23" s="1"/>
  <c r="AD18" i="23"/>
  <c r="AD28" i="23" s="1"/>
  <c r="AE18" i="23"/>
  <c r="AE28" i="23" s="1"/>
  <c r="AF18" i="23"/>
  <c r="AG18" i="23"/>
  <c r="AH18" i="23"/>
  <c r="AH28" i="23" s="1"/>
  <c r="AI18" i="23"/>
  <c r="AI28" i="23" s="1"/>
  <c r="AJ18" i="23"/>
  <c r="AK18" i="23"/>
  <c r="AL18" i="23"/>
  <c r="AM18" i="23"/>
  <c r="AN18" i="23"/>
  <c r="AN28" i="23" s="1"/>
  <c r="AO18" i="23"/>
  <c r="AO28" i="23" s="1"/>
  <c r="AP18" i="23"/>
  <c r="AP28" i="23" s="1"/>
  <c r="AQ18" i="23"/>
  <c r="AR18" i="23"/>
  <c r="AR28" i="23" s="1"/>
  <c r="AS18" i="23"/>
  <c r="AS28" i="23" s="1"/>
  <c r="AT18" i="23"/>
  <c r="AT28" i="23" s="1"/>
  <c r="AU18" i="23"/>
  <c r="AV18" i="23"/>
  <c r="AV28" i="23" s="1"/>
  <c r="AW18" i="23"/>
  <c r="AW28" i="23" s="1"/>
  <c r="AX18" i="23"/>
  <c r="AX28" i="23" s="1"/>
  <c r="AY18" i="23"/>
  <c r="AZ18" i="23"/>
  <c r="AZ28" i="23" s="1"/>
  <c r="BA18" i="23"/>
  <c r="BA28" i="23" s="1"/>
  <c r="BB18" i="23"/>
  <c r="BB28" i="23" s="1"/>
  <c r="BC18" i="23"/>
  <c r="BD18" i="23"/>
  <c r="BD28" i="23" s="1"/>
  <c r="BE18" i="23"/>
  <c r="BE28" i="23" s="1"/>
  <c r="BF18" i="23"/>
  <c r="BF28" i="23" s="1"/>
  <c r="BG18" i="23"/>
  <c r="BH18" i="23"/>
  <c r="BI18" i="23"/>
  <c r="BI28" i="23" s="1"/>
  <c r="BJ18" i="23"/>
  <c r="BJ28" i="23" s="1"/>
  <c r="BK18" i="23"/>
  <c r="BK28" i="23" s="1"/>
  <c r="BL18" i="23"/>
  <c r="BM18" i="23"/>
  <c r="BM28" i="23" s="1"/>
  <c r="BN18" i="23"/>
  <c r="BO18" i="23"/>
  <c r="BO28" i="23" s="1"/>
  <c r="BP18" i="23"/>
  <c r="BP28" i="23" s="1"/>
  <c r="BQ18" i="23"/>
  <c r="BR18" i="23"/>
  <c r="BR28" i="23" s="1"/>
  <c r="BS18" i="23"/>
  <c r="BS28" i="23" s="1"/>
  <c r="BT18" i="23"/>
  <c r="BU18" i="23"/>
  <c r="BU28" i="23" s="1"/>
  <c r="BV18" i="23"/>
  <c r="BW18" i="23"/>
  <c r="BX18" i="23"/>
  <c r="BY18" i="23"/>
  <c r="BY28" i="23" s="1"/>
  <c r="BZ18" i="23"/>
  <c r="BZ28" i="23" s="1"/>
  <c r="BZ29" i="23" s="1"/>
  <c r="CA18" i="23"/>
  <c r="CA28" i="23" s="1"/>
  <c r="CB18" i="23"/>
  <c r="CC18" i="23"/>
  <c r="CC28" i="23" s="1"/>
  <c r="CD18" i="23"/>
  <c r="CE18" i="23"/>
  <c r="CE28" i="23" s="1"/>
  <c r="CF18" i="23"/>
  <c r="CF28" i="23" s="1"/>
  <c r="CG18" i="23"/>
  <c r="CH18" i="23"/>
  <c r="CH28" i="23" s="1"/>
  <c r="CH29" i="23" s="1"/>
  <c r="CI18" i="23"/>
  <c r="CI28" i="23" s="1"/>
  <c r="CJ18" i="23"/>
  <c r="CJ28" i="23" s="1"/>
  <c r="CK18" i="23"/>
  <c r="CL18" i="23"/>
  <c r="CM18" i="23"/>
  <c r="CM28" i="23" s="1"/>
  <c r="CN18" i="23"/>
  <c r="CN28" i="23" s="1"/>
  <c r="CO18" i="23"/>
  <c r="CO28" i="23" s="1"/>
  <c r="CP18" i="23"/>
  <c r="CQ18" i="23"/>
  <c r="CQ28" i="23" s="1"/>
  <c r="CR18" i="23"/>
  <c r="CR28" i="23" s="1"/>
  <c r="CS18" i="23"/>
  <c r="CS28" i="23" s="1"/>
  <c r="CT18" i="23"/>
  <c r="CU18" i="23"/>
  <c r="CV18" i="23"/>
  <c r="CW18" i="23"/>
  <c r="CW28" i="23" s="1"/>
  <c r="CX18" i="23"/>
  <c r="CY18" i="23"/>
  <c r="CY28" i="23" s="1"/>
  <c r="CZ18" i="23"/>
  <c r="CZ28" i="23" s="1"/>
  <c r="DA18" i="23"/>
  <c r="DB18" i="23"/>
  <c r="DB28" i="23" s="1"/>
  <c r="DC18" i="23"/>
  <c r="DC28" i="23" s="1"/>
  <c r="DD18" i="23"/>
  <c r="DD28" i="23" s="1"/>
  <c r="DE18" i="23"/>
  <c r="DF18" i="23"/>
  <c r="DG18" i="23"/>
  <c r="DG28" i="23" s="1"/>
  <c r="DH18" i="23"/>
  <c r="DH28" i="23" s="1"/>
  <c r="DI18" i="23"/>
  <c r="DI28" i="23" s="1"/>
  <c r="DI29" i="23" s="1"/>
  <c r="DJ18" i="23"/>
  <c r="DK18" i="23"/>
  <c r="DK28" i="23" s="1"/>
  <c r="DL18" i="23"/>
  <c r="DL28" i="23" s="1"/>
  <c r="DM18" i="23"/>
  <c r="DM28" i="23" s="1"/>
  <c r="DN18" i="23"/>
  <c r="DN28" i="23" s="1"/>
  <c r="DO18" i="23"/>
  <c r="DO28" i="23" s="1"/>
  <c r="DP18" i="23"/>
  <c r="DP28" i="23" s="1"/>
  <c r="DQ18" i="23"/>
  <c r="DQ28" i="23" s="1"/>
  <c r="DR18" i="23"/>
  <c r="DS18" i="23"/>
  <c r="DT18" i="23"/>
  <c r="DT28" i="23" s="1"/>
  <c r="DU18" i="23"/>
  <c r="DU28" i="23" s="1"/>
  <c r="DV18" i="23"/>
  <c r="DV28" i="23" s="1"/>
  <c r="DW18" i="23"/>
  <c r="DX18" i="23"/>
  <c r="DY28" i="23"/>
  <c r="EB18" i="23"/>
  <c r="EC18" i="23"/>
  <c r="EC28" i="23" s="1"/>
  <c r="ED18" i="23"/>
  <c r="EE18" i="23"/>
  <c r="EE28" i="23" s="1"/>
  <c r="EH18" i="23"/>
  <c r="EI18" i="23"/>
  <c r="EI28" i="23" s="1"/>
  <c r="EJ18" i="23"/>
  <c r="EJ28" i="23" s="1"/>
  <c r="EK18" i="23"/>
  <c r="EK28" i="23" s="1"/>
  <c r="EL18" i="23"/>
  <c r="EL28" i="23" s="1"/>
  <c r="EM18" i="23"/>
  <c r="EM28" i="23" s="1"/>
  <c r="EN18" i="23"/>
  <c r="EN28" i="23" s="1"/>
  <c r="EO18" i="23"/>
  <c r="EO28" i="23" s="1"/>
  <c r="EP18" i="23"/>
  <c r="EP28" i="23" s="1"/>
  <c r="EQ18" i="23"/>
  <c r="EQ28" i="23" s="1"/>
  <c r="ER18" i="23"/>
  <c r="ER28" i="23" s="1"/>
  <c r="ES18" i="23"/>
  <c r="ES28" i="23" s="1"/>
  <c r="ET18" i="23"/>
  <c r="EU18" i="23"/>
  <c r="EU28" i="23" s="1"/>
  <c r="EV18" i="23"/>
  <c r="EV28" i="23" s="1"/>
  <c r="EW18" i="23"/>
  <c r="EW28" i="23" s="1"/>
  <c r="EX18" i="23"/>
  <c r="EY18" i="23"/>
  <c r="EY28" i="23" s="1"/>
  <c r="EZ18" i="23"/>
  <c r="EZ28" i="23" s="1"/>
  <c r="FA18" i="23"/>
  <c r="FA28" i="23" s="1"/>
  <c r="FB18" i="23"/>
  <c r="FB28" i="23" s="1"/>
  <c r="FC18" i="23"/>
  <c r="FC28" i="23" s="1"/>
  <c r="FD18" i="23"/>
  <c r="FD28" i="23" s="1"/>
  <c r="FE18" i="23"/>
  <c r="FE28" i="23" s="1"/>
  <c r="FF18" i="23"/>
  <c r="FF28" i="23" s="1"/>
  <c r="FG18" i="23"/>
  <c r="FG28" i="23" s="1"/>
  <c r="FH18" i="23"/>
  <c r="FI18" i="23"/>
  <c r="FI28" i="23" s="1"/>
  <c r="FJ18" i="23"/>
  <c r="FJ28" i="23" s="1"/>
  <c r="FJ29" i="23" s="1"/>
  <c r="FK18" i="23"/>
  <c r="FK28" i="23" s="1"/>
  <c r="FL18" i="23"/>
  <c r="FM18" i="23"/>
  <c r="FN18" i="23"/>
  <c r="FN28" i="23" s="1"/>
  <c r="FN29" i="23" s="1"/>
  <c r="FO18" i="23"/>
  <c r="FO28" i="23" s="1"/>
  <c r="FP18" i="23"/>
  <c r="FP28" i="23" s="1"/>
  <c r="FQ18" i="23"/>
  <c r="FR18" i="23"/>
  <c r="FR28" i="23" s="1"/>
  <c r="FR29" i="23" s="1"/>
  <c r="FS18" i="23"/>
  <c r="FS28" i="23" s="1"/>
  <c r="FT18" i="23"/>
  <c r="FT28" i="23" s="1"/>
  <c r="FU18" i="23"/>
  <c r="FV18" i="23"/>
  <c r="FV28" i="23" s="1"/>
  <c r="FW18" i="23"/>
  <c r="FW28" i="23" s="1"/>
  <c r="FX18" i="23"/>
  <c r="FY18" i="23"/>
  <c r="FZ18" i="23"/>
  <c r="GA18" i="23"/>
  <c r="GA28" i="23" s="1"/>
  <c r="GB18" i="23"/>
  <c r="GC18" i="23"/>
  <c r="GC28" i="23" s="1"/>
  <c r="GD18" i="23"/>
  <c r="GD28" i="23" s="1"/>
  <c r="GE18" i="23"/>
  <c r="GF18" i="23"/>
  <c r="GF28" i="23" s="1"/>
  <c r="GG18" i="23"/>
  <c r="GG28" i="23" s="1"/>
  <c r="GH18" i="23"/>
  <c r="GH28" i="23" s="1"/>
  <c r="GH29" i="23" s="1"/>
  <c r="GI18" i="23"/>
  <c r="GI28" i="23" s="1"/>
  <c r="GJ18" i="23"/>
  <c r="GK18" i="23"/>
  <c r="GL18" i="23"/>
  <c r="GL28" i="23" s="1"/>
  <c r="GM18" i="23"/>
  <c r="GN18" i="23"/>
  <c r="GN28" i="23" s="1"/>
  <c r="GO18" i="23"/>
  <c r="GP18" i="23"/>
  <c r="GP28" i="23" s="1"/>
  <c r="GP29" i="23" s="1"/>
  <c r="GQ18" i="23"/>
  <c r="GR18" i="23"/>
  <c r="GR28" i="23" s="1"/>
  <c r="GS18" i="23"/>
  <c r="GT18" i="23"/>
  <c r="GU18" i="23"/>
  <c r="GU28" i="23" s="1"/>
  <c r="GV18" i="23"/>
  <c r="GV28" i="23" s="1"/>
  <c r="GW18" i="23"/>
  <c r="GW28" i="23" s="1"/>
  <c r="GX18" i="23"/>
  <c r="GX28" i="23" s="1"/>
  <c r="GY18" i="23"/>
  <c r="GZ18" i="23"/>
  <c r="GZ28" i="23" s="1"/>
  <c r="HA18" i="23"/>
  <c r="HA28" i="23" s="1"/>
  <c r="HB18" i="23"/>
  <c r="HB28" i="23" s="1"/>
  <c r="HC18" i="23"/>
  <c r="HD18" i="23"/>
  <c r="HE18" i="23"/>
  <c r="HE28" i="23" s="1"/>
  <c r="HF18" i="23"/>
  <c r="CH18" i="105" s="1"/>
  <c r="L18" i="43" s="1"/>
  <c r="HG18" i="23"/>
  <c r="HH18" i="23"/>
  <c r="HH28" i="23" s="1"/>
  <c r="HI18" i="23"/>
  <c r="HJ18" i="23"/>
  <c r="HK18" i="23"/>
  <c r="HK28" i="23" s="1"/>
  <c r="HL18" i="23"/>
  <c r="HL28" i="23" s="1"/>
  <c r="HM18" i="23"/>
  <c r="HM28" i="23" s="1"/>
  <c r="HN18" i="23"/>
  <c r="HO18" i="23"/>
  <c r="HP18" i="23"/>
  <c r="HP28" i="23" s="1"/>
  <c r="HQ18" i="23"/>
  <c r="HQ28" i="23" s="1"/>
  <c r="HR18" i="23"/>
  <c r="HS18" i="23"/>
  <c r="HS28" i="23" s="1"/>
  <c r="HT18" i="23"/>
  <c r="HU18" i="23"/>
  <c r="HV18" i="23"/>
  <c r="HW18" i="23"/>
  <c r="HW28" i="23" s="1"/>
  <c r="HX18" i="23"/>
  <c r="HX28" i="23" s="1"/>
  <c r="Y18" i="23"/>
  <c r="Y28" i="23" s="1"/>
  <c r="Y29" i="23" s="1"/>
  <c r="W18" i="23"/>
  <c r="E18" i="23"/>
  <c r="F18" i="23"/>
  <c r="G18" i="23"/>
  <c r="H18" i="23"/>
  <c r="I18" i="23"/>
  <c r="I28" i="23" s="1"/>
  <c r="J18" i="23"/>
  <c r="J28" i="23" s="1"/>
  <c r="K18" i="23"/>
  <c r="L18" i="23"/>
  <c r="M18" i="23"/>
  <c r="M28" i="23" s="1"/>
  <c r="N18" i="23"/>
  <c r="O18" i="23"/>
  <c r="O28" i="23" s="1"/>
  <c r="P18" i="23"/>
  <c r="Q18" i="23"/>
  <c r="Q28" i="23" s="1"/>
  <c r="R18" i="23"/>
  <c r="S18" i="23"/>
  <c r="T18" i="23"/>
  <c r="T28" i="23" s="1"/>
  <c r="U18" i="23"/>
  <c r="U28" i="23" s="1"/>
  <c r="V18" i="23"/>
  <c r="V28" i="23" s="1"/>
  <c r="D18" i="23"/>
  <c r="HR12" i="23"/>
  <c r="HS12" i="23"/>
  <c r="HT12" i="23"/>
  <c r="HU12" i="23"/>
  <c r="HV12" i="23"/>
  <c r="HW12" i="23"/>
  <c r="HX12" i="23"/>
  <c r="HK12" i="23"/>
  <c r="HL12" i="23"/>
  <c r="HM12" i="23"/>
  <c r="HN12" i="23"/>
  <c r="HO12" i="23"/>
  <c r="HP12" i="23"/>
  <c r="HQ12" i="23"/>
  <c r="HE12" i="23"/>
  <c r="HF12" i="23"/>
  <c r="CH12" i="105" s="1"/>
  <c r="L12" i="43" s="1"/>
  <c r="HG12" i="23"/>
  <c r="CI12" i="105" s="1"/>
  <c r="M12" i="43" s="1"/>
  <c r="HH12" i="23"/>
  <c r="HI12" i="23"/>
  <c r="HJ12" i="23"/>
  <c r="HA12" i="23"/>
  <c r="HB12" i="23"/>
  <c r="HC12" i="23"/>
  <c r="GY12" i="23"/>
  <c r="GU12" i="23"/>
  <c r="GV12" i="23"/>
  <c r="GW12" i="23"/>
  <c r="GO12" i="23"/>
  <c r="GP12" i="23"/>
  <c r="GQ12" i="23"/>
  <c r="GR12" i="23"/>
  <c r="GS12" i="23"/>
  <c r="GT12" i="23"/>
  <c r="GH12" i="23"/>
  <c r="GI12" i="23"/>
  <c r="GJ12" i="23"/>
  <c r="GK12" i="23"/>
  <c r="GL12" i="23"/>
  <c r="GM12" i="23"/>
  <c r="GN12" i="23"/>
  <c r="GG12" i="23"/>
  <c r="GG20" i="23" s="1"/>
  <c r="GF12" i="23"/>
  <c r="GC12" i="23"/>
  <c r="GD12" i="23"/>
  <c r="GE12" i="23"/>
  <c r="FU12" i="23"/>
  <c r="FV12" i="23"/>
  <c r="FW12" i="23"/>
  <c r="FX12" i="23"/>
  <c r="FY12" i="23"/>
  <c r="FZ12" i="23"/>
  <c r="GA12" i="23"/>
  <c r="GB12" i="23"/>
  <c r="FO12" i="23"/>
  <c r="FP12" i="23"/>
  <c r="FQ12" i="23"/>
  <c r="FR12" i="23"/>
  <c r="FS12" i="23"/>
  <c r="FT12" i="23"/>
  <c r="FH12" i="23"/>
  <c r="FI12" i="23"/>
  <c r="FJ12" i="23"/>
  <c r="FK12" i="23"/>
  <c r="FL12" i="23"/>
  <c r="FM12" i="23"/>
  <c r="FN12" i="23"/>
  <c r="FE12" i="23"/>
  <c r="FG12" i="23"/>
  <c r="EX12" i="23"/>
  <c r="EY12" i="23"/>
  <c r="EZ12" i="23"/>
  <c r="FA12" i="23"/>
  <c r="FB12" i="23"/>
  <c r="FC12" i="23"/>
  <c r="FD12" i="23"/>
  <c r="EI12" i="23"/>
  <c r="EJ12" i="23"/>
  <c r="EK12" i="23"/>
  <c r="EL12" i="23"/>
  <c r="EM12" i="23"/>
  <c r="EN12" i="23"/>
  <c r="EO12" i="23"/>
  <c r="EP12" i="23"/>
  <c r="EQ12" i="23"/>
  <c r="ER12" i="23"/>
  <c r="ES12" i="23"/>
  <c r="ET12" i="23"/>
  <c r="EU12" i="23"/>
  <c r="EV12" i="23"/>
  <c r="EW12" i="23"/>
  <c r="DU12" i="23"/>
  <c r="DV12" i="23"/>
  <c r="DW12" i="23"/>
  <c r="DX12" i="23"/>
  <c r="DY12" i="23"/>
  <c r="EB12" i="23"/>
  <c r="EC12" i="23"/>
  <c r="ED12" i="23"/>
  <c r="EE12" i="23"/>
  <c r="EH12" i="23"/>
  <c r="DO12" i="23"/>
  <c r="DP12" i="23"/>
  <c r="DQ12" i="23"/>
  <c r="DR12" i="23"/>
  <c r="DS12" i="23"/>
  <c r="DT12" i="23"/>
  <c r="DG12" i="23"/>
  <c r="DH12" i="23"/>
  <c r="DI12" i="23"/>
  <c r="DJ12" i="23"/>
  <c r="DK12" i="23"/>
  <c r="DL12" i="23"/>
  <c r="DM12" i="23"/>
  <c r="DM20" i="23" s="1"/>
  <c r="CY12" i="23"/>
  <c r="CZ12" i="23"/>
  <c r="DA12" i="23"/>
  <c r="DB12" i="23"/>
  <c r="DC12" i="23"/>
  <c r="DD12" i="23"/>
  <c r="DE12" i="23"/>
  <c r="CQ12" i="23"/>
  <c r="CR12" i="23"/>
  <c r="CS12" i="23"/>
  <c r="CT12" i="23"/>
  <c r="CU12" i="23"/>
  <c r="CV12" i="23"/>
  <c r="CW12" i="23"/>
  <c r="CX12" i="23"/>
  <c r="CE12" i="23"/>
  <c r="CF12" i="23"/>
  <c r="CG12" i="23"/>
  <c r="CH12" i="23"/>
  <c r="CI12" i="23"/>
  <c r="CJ12" i="23"/>
  <c r="CK12" i="23"/>
  <c r="CL12" i="23"/>
  <c r="CM12" i="23"/>
  <c r="CN12" i="23"/>
  <c r="CO12" i="23"/>
  <c r="CP12" i="23"/>
  <c r="BW12" i="23"/>
  <c r="BX12" i="23"/>
  <c r="BY12" i="23"/>
  <c r="BZ12" i="23"/>
  <c r="CA12" i="23"/>
  <c r="CB12" i="23"/>
  <c r="CC12" i="23"/>
  <c r="BQ12" i="23"/>
  <c r="BR12" i="23"/>
  <c r="BS12" i="23"/>
  <c r="BT12" i="23"/>
  <c r="BU12" i="23"/>
  <c r="BV12" i="23"/>
  <c r="BK12" i="23"/>
  <c r="BL12" i="23"/>
  <c r="BM12" i="23"/>
  <c r="BN12" i="23"/>
  <c r="BO12" i="23"/>
  <c r="BC12" i="23"/>
  <c r="BD12" i="23"/>
  <c r="BE12" i="23"/>
  <c r="BF12" i="23"/>
  <c r="BG12" i="23"/>
  <c r="BH12" i="23"/>
  <c r="BI12" i="23"/>
  <c r="AW12" i="23"/>
  <c r="AX12" i="23"/>
  <c r="AY12" i="23"/>
  <c r="AZ12" i="23"/>
  <c r="BA12" i="23"/>
  <c r="AS12" i="23"/>
  <c r="AO12" i="23"/>
  <c r="E12" i="23"/>
  <c r="F12" i="23"/>
  <c r="G12" i="23"/>
  <c r="H12" i="23"/>
  <c r="I12" i="23"/>
  <c r="J12" i="23"/>
  <c r="K12" i="23"/>
  <c r="L12" i="23"/>
  <c r="M12" i="23"/>
  <c r="N12" i="23"/>
  <c r="O12" i="23"/>
  <c r="P12" i="23"/>
  <c r="Q12" i="23"/>
  <c r="R12" i="23"/>
  <c r="S12" i="23"/>
  <c r="T12" i="23"/>
  <c r="U12" i="23"/>
  <c r="V12" i="23"/>
  <c r="W12" i="23"/>
  <c r="X12" i="23"/>
  <c r="Y12" i="23"/>
  <c r="Z12" i="23"/>
  <c r="AA12" i="23"/>
  <c r="AB12" i="23"/>
  <c r="AC12" i="23"/>
  <c r="AC20" i="23" s="1"/>
  <c r="AD12" i="23"/>
  <c r="AE12" i="23"/>
  <c r="AF12" i="23"/>
  <c r="AG12" i="23"/>
  <c r="AH12" i="23"/>
  <c r="AI12" i="23"/>
  <c r="AJ12" i="23"/>
  <c r="AK12" i="23"/>
  <c r="AL12" i="23"/>
  <c r="AM12" i="23"/>
  <c r="AN12" i="23"/>
  <c r="AP12" i="23"/>
  <c r="AQ12" i="23"/>
  <c r="AR12" i="23"/>
  <c r="AT12" i="23"/>
  <c r="AU12" i="23"/>
  <c r="D12" i="23"/>
  <c r="HY12" i="23"/>
  <c r="BB10" i="105"/>
  <c r="AH61" i="105"/>
  <c r="CD57" i="105"/>
  <c r="CI53" i="105"/>
  <c r="CH53" i="105"/>
  <c r="CH56" i="105" s="1"/>
  <c r="CD53" i="105"/>
  <c r="CB53" i="105"/>
  <c r="BZ53" i="105"/>
  <c r="BX53" i="105"/>
  <c r="BV53" i="105"/>
  <c r="BT53" i="105"/>
  <c r="BR53" i="105"/>
  <c r="BJ53" i="105"/>
  <c r="BH53" i="105"/>
  <c r="BF53" i="105"/>
  <c r="BD53" i="105"/>
  <c r="BB53" i="105"/>
  <c r="AZ53" i="105"/>
  <c r="AX53" i="105"/>
  <c r="AV53" i="105"/>
  <c r="AT53" i="105"/>
  <c r="AR53" i="105"/>
  <c r="AP53" i="105"/>
  <c r="AN53" i="105"/>
  <c r="AL53" i="105"/>
  <c r="AJ53" i="105"/>
  <c r="AH53" i="105"/>
  <c r="AF53" i="105"/>
  <c r="AD53" i="105"/>
  <c r="T53" i="105"/>
  <c r="L53" i="105"/>
  <c r="D53" i="105"/>
  <c r="CD52" i="105"/>
  <c r="CB52" i="105"/>
  <c r="BZ52" i="105"/>
  <c r="BX52" i="105"/>
  <c r="BV52" i="105"/>
  <c r="BT52" i="105"/>
  <c r="BR52" i="105"/>
  <c r="BJ52" i="105"/>
  <c r="BH52" i="105"/>
  <c r="BF52" i="105"/>
  <c r="BD52" i="105"/>
  <c r="BB52" i="105"/>
  <c r="AZ52" i="105"/>
  <c r="AX52" i="105"/>
  <c r="AV52" i="105"/>
  <c r="AT52" i="105"/>
  <c r="AR52" i="105"/>
  <c r="AP52" i="105"/>
  <c r="AN52" i="105"/>
  <c r="AL52" i="105"/>
  <c r="AJ52" i="105"/>
  <c r="AH52" i="105"/>
  <c r="AF52" i="105"/>
  <c r="AD52" i="105"/>
  <c r="T52" i="105"/>
  <c r="L52" i="105"/>
  <c r="D52" i="105"/>
  <c r="CD51" i="105"/>
  <c r="CB51" i="105"/>
  <c r="BZ51" i="105"/>
  <c r="BX51" i="105"/>
  <c r="BV51" i="105"/>
  <c r="BT51" i="105"/>
  <c r="BR51" i="105"/>
  <c r="BJ51" i="105"/>
  <c r="BH51" i="105"/>
  <c r="BF51" i="105"/>
  <c r="BD51" i="105"/>
  <c r="BB51" i="105"/>
  <c r="AZ51" i="105"/>
  <c r="AX51" i="105"/>
  <c r="AV51" i="105"/>
  <c r="AT51" i="105"/>
  <c r="AR51" i="105"/>
  <c r="AP51" i="105"/>
  <c r="AN51" i="105"/>
  <c r="AL51" i="105"/>
  <c r="AJ51" i="105"/>
  <c r="AH51" i="105"/>
  <c r="AF51" i="105"/>
  <c r="AD51" i="105"/>
  <c r="T51" i="105"/>
  <c r="L51" i="105"/>
  <c r="D51" i="105"/>
  <c r="D47" i="105"/>
  <c r="D46" i="105"/>
  <c r="D38" i="105"/>
  <c r="D37" i="105"/>
  <c r="BX32" i="105"/>
  <c r="BX37" i="105" s="1"/>
  <c r="BT32" i="105"/>
  <c r="BT46" i="105" s="1"/>
  <c r="CJ30" i="105"/>
  <c r="CJ21" i="105"/>
  <c r="D21" i="105"/>
  <c r="CK19" i="105"/>
  <c r="AX19" i="105"/>
  <c r="AX18" i="105" s="1"/>
  <c r="AX28" i="105" s="1"/>
  <c r="AF19" i="105"/>
  <c r="AF18" i="105" s="1"/>
  <c r="AD19" i="105"/>
  <c r="AD18" i="105" s="1"/>
  <c r="AD28" i="105" s="1"/>
  <c r="D18" i="105"/>
  <c r="D28" i="105" s="1"/>
  <c r="CK17" i="105"/>
  <c r="CK16" i="105"/>
  <c r="BB16" i="105"/>
  <c r="BN13" i="105"/>
  <c r="BN27" i="105" s="1"/>
  <c r="BJ13" i="105"/>
  <c r="BJ27" i="105" s="1"/>
  <c r="BH13" i="105"/>
  <c r="BH27" i="105" s="1"/>
  <c r="BH29" i="105" s="1"/>
  <c r="BF13" i="105"/>
  <c r="BF27" i="105" s="1"/>
  <c r="BD13" i="105"/>
  <c r="BD27" i="105" s="1"/>
  <c r="BB13" i="105"/>
  <c r="BB27" i="105" s="1"/>
  <c r="AX13" i="105"/>
  <c r="AX27" i="105" s="1"/>
  <c r="AT13" i="105"/>
  <c r="AT27" i="105" s="1"/>
  <c r="AT29" i="105" s="1"/>
  <c r="AN13" i="105"/>
  <c r="AN27" i="105" s="1"/>
  <c r="AL13" i="105"/>
  <c r="AL27" i="105" s="1"/>
  <c r="AL29" i="105" s="1"/>
  <c r="AJ13" i="105"/>
  <c r="D12" i="105"/>
  <c r="CK11" i="105"/>
  <c r="Z11" i="105"/>
  <c r="Z27" i="105" s="1"/>
  <c r="V11" i="105"/>
  <c r="V27" i="105" s="1"/>
  <c r="T11" i="105"/>
  <c r="T27" i="105" s="1"/>
  <c r="P11" i="105"/>
  <c r="P27" i="105" s="1"/>
  <c r="N11" i="105"/>
  <c r="N27" i="105" s="1"/>
  <c r="L11" i="105"/>
  <c r="L27" i="105" s="1"/>
  <c r="J11" i="105"/>
  <c r="J27" i="105" s="1"/>
  <c r="H11" i="105"/>
  <c r="H27" i="105" s="1"/>
  <c r="F11" i="105"/>
  <c r="F27" i="105" s="1"/>
  <c r="D11" i="105"/>
  <c r="CK10" i="105"/>
  <c r="CK18" i="105" s="1"/>
  <c r="BL10" i="105"/>
  <c r="BL27" i="105" s="1"/>
  <c r="HY48" i="23" l="1"/>
  <c r="HQ48" i="23"/>
  <c r="HA48" i="23"/>
  <c r="GS48" i="23"/>
  <c r="GK48" i="23"/>
  <c r="FU48" i="23"/>
  <c r="FM48" i="23"/>
  <c r="FE48" i="23"/>
  <c r="EO48" i="23"/>
  <c r="DU48" i="23"/>
  <c r="CO48" i="23"/>
  <c r="BQ48" i="23"/>
  <c r="BI48" i="23"/>
  <c r="AK48" i="23"/>
  <c r="HX48" i="23"/>
  <c r="HP48" i="23"/>
  <c r="HH48" i="23"/>
  <c r="GZ48" i="23"/>
  <c r="GR48" i="23"/>
  <c r="GJ48" i="23"/>
  <c r="GB48" i="23"/>
  <c r="FT48" i="23"/>
  <c r="FL48" i="23"/>
  <c r="FD48" i="23"/>
  <c r="EV48" i="23"/>
  <c r="EN48" i="23"/>
  <c r="ED48" i="23"/>
  <c r="DT48" i="23"/>
  <c r="DL48" i="23"/>
  <c r="DD48" i="23"/>
  <c r="CV48" i="23"/>
  <c r="CN48" i="23"/>
  <c r="CF48" i="23"/>
  <c r="BX48" i="23"/>
  <c r="BP48" i="23"/>
  <c r="BH48" i="23"/>
  <c r="AZ48" i="23"/>
  <c r="AR48" i="23"/>
  <c r="AJ48" i="23"/>
  <c r="HG48" i="23"/>
  <c r="CI48" i="105" s="1"/>
  <c r="M48" i="43" s="1"/>
  <c r="CI47" i="105"/>
  <c r="M47" i="43" s="1"/>
  <c r="HV48" i="23"/>
  <c r="HN48" i="23"/>
  <c r="HF48" i="23"/>
  <c r="CH48" i="105" s="1"/>
  <c r="L48" i="43" s="1"/>
  <c r="CH46" i="105"/>
  <c r="L46" i="43" s="1"/>
  <c r="GX48" i="23"/>
  <c r="GP48" i="23"/>
  <c r="GH48" i="23"/>
  <c r="FZ48" i="23"/>
  <c r="FR48" i="23"/>
  <c r="FB48" i="23"/>
  <c r="ET48" i="23"/>
  <c r="EL48" i="23"/>
  <c r="EB48" i="23"/>
  <c r="DJ48" i="23"/>
  <c r="DB48" i="23"/>
  <c r="CT48" i="23"/>
  <c r="CL48" i="23"/>
  <c r="CD48" i="23"/>
  <c r="BV48" i="23"/>
  <c r="BN48" i="23"/>
  <c r="BF48" i="23"/>
  <c r="AP48" i="23"/>
  <c r="AH48" i="23"/>
  <c r="GL29" i="23"/>
  <c r="GD29" i="23"/>
  <c r="FV29" i="23"/>
  <c r="DV29" i="23"/>
  <c r="HT48" i="23"/>
  <c r="HL48" i="23"/>
  <c r="HD48" i="23"/>
  <c r="GV48" i="23"/>
  <c r="GN48" i="23"/>
  <c r="GF48" i="23"/>
  <c r="FX48" i="23"/>
  <c r="FP48" i="23"/>
  <c r="FH48" i="23"/>
  <c r="EZ48" i="23"/>
  <c r="ER48" i="23"/>
  <c r="EJ48" i="23"/>
  <c r="DX48" i="23"/>
  <c r="DP48" i="23"/>
  <c r="DH48" i="23"/>
  <c r="CZ48" i="23"/>
  <c r="CR48" i="23"/>
  <c r="CJ48" i="23"/>
  <c r="CB48" i="23"/>
  <c r="BT48" i="23"/>
  <c r="BL48" i="23"/>
  <c r="BD48" i="23"/>
  <c r="AV48" i="23"/>
  <c r="AN48" i="23"/>
  <c r="AF48" i="23"/>
  <c r="HG28" i="23"/>
  <c r="CI28" i="105" s="1"/>
  <c r="M28" i="43" s="1"/>
  <c r="CI18" i="105"/>
  <c r="M18" i="43" s="1"/>
  <c r="HS48" i="23"/>
  <c r="HK48" i="23"/>
  <c r="HC48" i="23"/>
  <c r="GU48" i="23"/>
  <c r="GM48" i="23"/>
  <c r="GE48" i="23"/>
  <c r="FW48" i="23"/>
  <c r="FO48" i="23"/>
  <c r="FG48" i="23"/>
  <c r="EY48" i="23"/>
  <c r="EQ48" i="23"/>
  <c r="EI48" i="23"/>
  <c r="DW48" i="23"/>
  <c r="DO48" i="23"/>
  <c r="CY48" i="23"/>
  <c r="CI48" i="23"/>
  <c r="BS48" i="23"/>
  <c r="BK48" i="23"/>
  <c r="BC48" i="23"/>
  <c r="AU48" i="23"/>
  <c r="AM48" i="23"/>
  <c r="AE48" i="23"/>
  <c r="HR48" i="23"/>
  <c r="HJ48" i="23"/>
  <c r="GT48" i="23"/>
  <c r="GL48" i="23"/>
  <c r="GD48" i="23"/>
  <c r="FV48" i="23"/>
  <c r="FN48" i="23"/>
  <c r="FF48" i="23"/>
  <c r="EX48" i="23"/>
  <c r="EP48" i="23"/>
  <c r="EH48" i="23"/>
  <c r="DV48" i="23"/>
  <c r="DN48" i="23"/>
  <c r="DF48" i="23"/>
  <c r="CX48" i="23"/>
  <c r="CP48" i="23"/>
  <c r="BZ48" i="23"/>
  <c r="BR48" i="23"/>
  <c r="BJ48" i="23"/>
  <c r="BB48" i="23"/>
  <c r="AT48" i="23"/>
  <c r="AL48" i="23"/>
  <c r="AD48" i="23"/>
  <c r="Q1253" i="106"/>
  <c r="Q1254" i="106" s="1"/>
  <c r="L86" i="116" s="1"/>
  <c r="L96" i="116" s="1"/>
  <c r="BY48" i="23"/>
  <c r="CW48" i="23"/>
  <c r="EE48" i="23"/>
  <c r="DA48" i="23"/>
  <c r="CQ48" i="23"/>
  <c r="CQ29" i="23"/>
  <c r="BI29" i="23"/>
  <c r="CU48" i="23"/>
  <c r="N48" i="105"/>
  <c r="BJ29" i="105"/>
  <c r="BB28" i="105"/>
  <c r="AD29" i="105"/>
  <c r="AP48" i="105"/>
  <c r="V48" i="105"/>
  <c r="R48" i="105"/>
  <c r="J48" i="105"/>
  <c r="F48" i="105"/>
  <c r="BE29" i="105"/>
  <c r="BM20" i="23"/>
  <c r="S48" i="23"/>
  <c r="O48" i="23"/>
  <c r="G48" i="23"/>
  <c r="AL54" i="105"/>
  <c r="BU29" i="105"/>
  <c r="AO20" i="105"/>
  <c r="U48" i="23"/>
  <c r="E48" i="23"/>
  <c r="FO29" i="23"/>
  <c r="FK29" i="23"/>
  <c r="EM29" i="23"/>
  <c r="BS29" i="23"/>
  <c r="BE29" i="23"/>
  <c r="CA21" i="105"/>
  <c r="E21" i="43" s="1"/>
  <c r="CC21" i="105"/>
  <c r="G21" i="43" s="1"/>
  <c r="O29" i="23"/>
  <c r="G20" i="23"/>
  <c r="HM29" i="23"/>
  <c r="HE29" i="23"/>
  <c r="HA29" i="23"/>
  <c r="FY20" i="23"/>
  <c r="FE29" i="23"/>
  <c r="FA29" i="23"/>
  <c r="EW29" i="23"/>
  <c r="ES29" i="23"/>
  <c r="AW29" i="23"/>
  <c r="AS29" i="23"/>
  <c r="HY29" i="23"/>
  <c r="FI20" i="23"/>
  <c r="G28" i="23"/>
  <c r="G29" i="23" s="1"/>
  <c r="DM29" i="23"/>
  <c r="J29" i="23"/>
  <c r="HI48" i="23"/>
  <c r="GC48" i="23"/>
  <c r="EW48" i="23"/>
  <c r="DM48" i="23"/>
  <c r="CG48" i="23"/>
  <c r="BA48" i="23"/>
  <c r="V48" i="23"/>
  <c r="J48" i="23"/>
  <c r="CA40" i="105"/>
  <c r="AC38" i="23"/>
  <c r="FI29" i="23"/>
  <c r="CO29" i="23"/>
  <c r="DG48" i="23"/>
  <c r="GA48" i="23"/>
  <c r="HP20" i="23"/>
  <c r="DH20" i="23"/>
  <c r="CA38" i="105"/>
  <c r="GH20" i="23"/>
  <c r="HH20" i="23"/>
  <c r="U29" i="23"/>
  <c r="Q29" i="23"/>
  <c r="M29" i="23"/>
  <c r="I29" i="23"/>
  <c r="HS29" i="23"/>
  <c r="HK29" i="23"/>
  <c r="HG29" i="23"/>
  <c r="CI29" i="105" s="1"/>
  <c r="M29" i="43" s="1"/>
  <c r="GQ20" i="23"/>
  <c r="GM20" i="23"/>
  <c r="GI29" i="23"/>
  <c r="GA29" i="23"/>
  <c r="FW29" i="23"/>
  <c r="FS29" i="23"/>
  <c r="FC29" i="23"/>
  <c r="EY29" i="23"/>
  <c r="EU29" i="23"/>
  <c r="EQ29" i="23"/>
  <c r="DO29" i="23"/>
  <c r="DK29" i="23"/>
  <c r="DC29" i="23"/>
  <c r="CY29" i="23"/>
  <c r="CI29" i="23"/>
  <c r="CE29" i="23"/>
  <c r="CA29" i="23"/>
  <c r="BO29" i="23"/>
  <c r="BG20" i="23"/>
  <c r="AQ20" i="23"/>
  <c r="AI29" i="23"/>
  <c r="AE29" i="23"/>
  <c r="AA29" i="23"/>
  <c r="HA20" i="23"/>
  <c r="FA20" i="23"/>
  <c r="CS20" i="23"/>
  <c r="BA20" i="23"/>
  <c r="N48" i="23"/>
  <c r="X48" i="23"/>
  <c r="T48" i="23"/>
  <c r="P48" i="23"/>
  <c r="L48" i="23"/>
  <c r="H48" i="23"/>
  <c r="CC34" i="105"/>
  <c r="G34" i="43" s="1"/>
  <c r="K34" i="43" s="1"/>
  <c r="V21" i="43"/>
  <c r="CA10" i="105"/>
  <c r="BV20" i="105"/>
  <c r="CA47" i="105"/>
  <c r="BJ48" i="105"/>
  <c r="AX48" i="105"/>
  <c r="AH48" i="105"/>
  <c r="EV20" i="23"/>
  <c r="HB29" i="23"/>
  <c r="ET20" i="23"/>
  <c r="AX29" i="23"/>
  <c r="AT29" i="23"/>
  <c r="AH29" i="23"/>
  <c r="AD29" i="23"/>
  <c r="Z29" i="23"/>
  <c r="GN20" i="23"/>
  <c r="EK20" i="23"/>
  <c r="CN20" i="23"/>
  <c r="O20" i="23"/>
  <c r="AK27" i="23"/>
  <c r="AK29" i="23" s="1"/>
  <c r="Y48" i="23"/>
  <c r="Q48" i="23"/>
  <c r="I48" i="23"/>
  <c r="CC10" i="105"/>
  <c r="G10" i="43" s="1"/>
  <c r="CC8" i="105"/>
  <c r="G8" i="43" s="1"/>
  <c r="CA12" i="105"/>
  <c r="E12" i="43" s="1"/>
  <c r="HE20" i="23"/>
  <c r="GW29" i="23"/>
  <c r="GG29" i="23"/>
  <c r="GC29" i="23"/>
  <c r="EE29" i="23"/>
  <c r="DU29" i="23"/>
  <c r="DI20" i="23"/>
  <c r="CS29" i="23"/>
  <c r="BU29" i="23"/>
  <c r="BM29" i="23"/>
  <c r="AO29" i="23"/>
  <c r="AK20" i="23"/>
  <c r="HX20" i="23"/>
  <c r="FT20" i="23"/>
  <c r="DT20" i="23"/>
  <c r="CH20" i="23"/>
  <c r="AK28" i="23"/>
  <c r="AC48" i="23"/>
  <c r="CC9" i="105"/>
  <c r="G9" i="43" s="1"/>
  <c r="CM29" i="23"/>
  <c r="EC29" i="23"/>
  <c r="HW29" i="23"/>
  <c r="BK29" i="23"/>
  <c r="BS28" i="105"/>
  <c r="BS29" i="105" s="1"/>
  <c r="BS20" i="105"/>
  <c r="V29" i="105"/>
  <c r="CB13" i="105"/>
  <c r="F13" i="43" s="1"/>
  <c r="AU29" i="105"/>
  <c r="AI29" i="105"/>
  <c r="E28" i="105"/>
  <c r="E29" i="105" s="1"/>
  <c r="CA18" i="105"/>
  <c r="CB21" i="105"/>
  <c r="F21" i="43" s="1"/>
  <c r="CA37" i="105"/>
  <c r="CA46" i="105"/>
  <c r="CC38" i="105"/>
  <c r="G38" i="43" s="1"/>
  <c r="CC47" i="105"/>
  <c r="G47" i="43" s="1"/>
  <c r="CC27" i="105"/>
  <c r="G27" i="43" s="1"/>
  <c r="AN29" i="105"/>
  <c r="CB38" i="105"/>
  <c r="F38" i="43" s="1"/>
  <c r="CC37" i="105"/>
  <c r="G37" i="43" s="1"/>
  <c r="BN48" i="105"/>
  <c r="BF48" i="105"/>
  <c r="BB48" i="105"/>
  <c r="AT48" i="105"/>
  <c r="AL48" i="105"/>
  <c r="AD48" i="105"/>
  <c r="AO28" i="105"/>
  <c r="AO29" i="105" s="1"/>
  <c r="CC18" i="105"/>
  <c r="G18" i="43" s="1"/>
  <c r="BO20" i="105"/>
  <c r="CC12" i="105"/>
  <c r="G12" i="43" s="1"/>
  <c r="EI29" i="23"/>
  <c r="BO48" i="23"/>
  <c r="FG29" i="23"/>
  <c r="GU29" i="23"/>
  <c r="DY29" i="23"/>
  <c r="BB29" i="105"/>
  <c r="BK29" i="105"/>
  <c r="AH29" i="105"/>
  <c r="BT29" i="105"/>
  <c r="AS29" i="105"/>
  <c r="AK29" i="105"/>
  <c r="S29" i="105"/>
  <c r="AQ29" i="105"/>
  <c r="BM48" i="105"/>
  <c r="BI48" i="105"/>
  <c r="BE48" i="105"/>
  <c r="BA48" i="105"/>
  <c r="AW48" i="105"/>
  <c r="AS48" i="105"/>
  <c r="AO48" i="105"/>
  <c r="AK48" i="105"/>
  <c r="AG48" i="105"/>
  <c r="AA48" i="105"/>
  <c r="U48" i="105"/>
  <c r="Q48" i="105"/>
  <c r="M48" i="105"/>
  <c r="I48" i="105"/>
  <c r="E48" i="105"/>
  <c r="DG29" i="23"/>
  <c r="DY48" i="23"/>
  <c r="CS48" i="23"/>
  <c r="E28" i="23"/>
  <c r="E20" i="23"/>
  <c r="HO28" i="23"/>
  <c r="HO29" i="23" s="1"/>
  <c r="HO20" i="23"/>
  <c r="AU28" i="23"/>
  <c r="AU29" i="23" s="1"/>
  <c r="AU20" i="23"/>
  <c r="D27" i="105"/>
  <c r="D29" i="105" s="1"/>
  <c r="BZ11" i="105"/>
  <c r="D11" i="43" s="1"/>
  <c r="AJ27" i="105"/>
  <c r="FH20" i="23"/>
  <c r="CB20" i="23"/>
  <c r="BL28" i="23"/>
  <c r="AB28" i="23"/>
  <c r="AB29" i="23" s="1"/>
  <c r="AB20" i="23"/>
  <c r="HY20" i="23"/>
  <c r="HQ20" i="23"/>
  <c r="HK20" i="23"/>
  <c r="HB20" i="23"/>
  <c r="GV20" i="23"/>
  <c r="GP20" i="23"/>
  <c r="GI20" i="23"/>
  <c r="GC20" i="23"/>
  <c r="FV20" i="23"/>
  <c r="FJ20" i="23"/>
  <c r="FC20" i="23"/>
  <c r="EW20" i="23"/>
  <c r="ER20" i="23"/>
  <c r="EM20" i="23"/>
  <c r="EE20" i="23"/>
  <c r="DU20" i="23"/>
  <c r="DO20" i="23"/>
  <c r="DC20" i="23"/>
  <c r="CW20" i="23"/>
  <c r="CO20" i="23"/>
  <c r="CI20" i="23"/>
  <c r="CC20" i="23"/>
  <c r="BU20" i="23"/>
  <c r="BO20" i="23"/>
  <c r="BI20" i="23"/>
  <c r="AW20" i="23"/>
  <c r="AR20" i="23"/>
  <c r="AD20" i="23"/>
  <c r="Y20" i="23"/>
  <c r="Q20" i="23"/>
  <c r="I20" i="23"/>
  <c r="GQ28" i="23"/>
  <c r="GQ29" i="23" s="1"/>
  <c r="FY28" i="23"/>
  <c r="FY29" i="23" s="1"/>
  <c r="AQ28" i="23"/>
  <c r="AQ29" i="23" s="1"/>
  <c r="DN29" i="23"/>
  <c r="GY28" i="23"/>
  <c r="GY29" i="23" s="1"/>
  <c r="GY20" i="23"/>
  <c r="CU20" i="23"/>
  <c r="BW28" i="23"/>
  <c r="BW29" i="23" s="1"/>
  <c r="BW20" i="23"/>
  <c r="AY20" i="23"/>
  <c r="AY28" i="23"/>
  <c r="AY29" i="23" s="1"/>
  <c r="GU20" i="23"/>
  <c r="GA20" i="23"/>
  <c r="FO20" i="23"/>
  <c r="EQ20" i="23"/>
  <c r="EC20" i="23"/>
  <c r="CA20" i="23"/>
  <c r="BS20" i="23"/>
  <c r="AI20" i="23"/>
  <c r="GM28" i="23"/>
  <c r="GM29" i="23" s="1"/>
  <c r="BG28" i="23"/>
  <c r="BG29" i="23" s="1"/>
  <c r="FB29" i="23"/>
  <c r="GE28" i="23"/>
  <c r="GE29" i="23" s="1"/>
  <c r="GE20" i="23"/>
  <c r="DW20" i="23"/>
  <c r="DW28" i="23"/>
  <c r="DW29" i="23" s="1"/>
  <c r="DS28" i="23"/>
  <c r="DS29" i="23" s="1"/>
  <c r="DS20" i="23"/>
  <c r="AM28" i="23"/>
  <c r="AM20" i="23"/>
  <c r="BT37" i="105"/>
  <c r="BZ37" i="105" s="1"/>
  <c r="BZ32" i="105"/>
  <c r="D32" i="43" s="1"/>
  <c r="AD54" i="105"/>
  <c r="AT54" i="105"/>
  <c r="BB54" i="105"/>
  <c r="BJ54" i="105"/>
  <c r="BX54" i="105"/>
  <c r="FG20" i="23"/>
  <c r="W28" i="23"/>
  <c r="W29" i="23" s="1"/>
  <c r="W20" i="23"/>
  <c r="FZ28" i="23"/>
  <c r="FZ29" i="23" s="1"/>
  <c r="FZ20" i="23"/>
  <c r="FB20" i="23"/>
  <c r="EX20" i="23"/>
  <c r="EH28" i="23"/>
  <c r="DJ28" i="23"/>
  <c r="DJ29" i="23" s="1"/>
  <c r="DJ20" i="23"/>
  <c r="CP28" i="23"/>
  <c r="CP29" i="23" s="1"/>
  <c r="CP20" i="23"/>
  <c r="HW20" i="23"/>
  <c r="HM20" i="23"/>
  <c r="HG20" i="23"/>
  <c r="CI20" i="105" s="1"/>
  <c r="M20" i="43" s="1"/>
  <c r="GR20" i="23"/>
  <c r="GF20" i="23"/>
  <c r="FS20" i="23"/>
  <c r="FN20" i="23"/>
  <c r="FE20" i="23"/>
  <c r="EZ20" i="23"/>
  <c r="EU20" i="23"/>
  <c r="EO20" i="23"/>
  <c r="DY20" i="23"/>
  <c r="DQ20" i="23"/>
  <c r="DL20" i="23"/>
  <c r="DG20" i="23"/>
  <c r="CZ20" i="23"/>
  <c r="CM20" i="23"/>
  <c r="CF20" i="23"/>
  <c r="BZ20" i="23"/>
  <c r="BK20" i="23"/>
  <c r="BE20" i="23"/>
  <c r="AT20" i="23"/>
  <c r="AO20" i="23"/>
  <c r="AH20" i="23"/>
  <c r="AA20" i="23"/>
  <c r="U20" i="23"/>
  <c r="M20" i="23"/>
  <c r="EX28" i="23"/>
  <c r="EX29" i="23" s="1"/>
  <c r="CB28" i="23"/>
  <c r="HQ29" i="23"/>
  <c r="AC29" i="23"/>
  <c r="T29" i="23"/>
  <c r="HC28" i="23"/>
  <c r="HC29" i="23" s="1"/>
  <c r="HC20" i="23"/>
  <c r="BC28" i="23"/>
  <c r="BC29" i="23" s="1"/>
  <c r="BC20" i="23"/>
  <c r="D54" i="105"/>
  <c r="AF54" i="105"/>
  <c r="AN54" i="105"/>
  <c r="AV54" i="105"/>
  <c r="BD54" i="105"/>
  <c r="BR54" i="105"/>
  <c r="BZ54" i="105"/>
  <c r="BZ18" i="105"/>
  <c r="S28" i="23"/>
  <c r="S29" i="23" s="1"/>
  <c r="S20" i="23"/>
  <c r="K28" i="23"/>
  <c r="K20" i="23"/>
  <c r="HU28" i="23"/>
  <c r="HU20" i="23"/>
  <c r="HI28" i="23"/>
  <c r="HI29" i="23" s="1"/>
  <c r="HI20" i="23"/>
  <c r="GS20" i="23"/>
  <c r="GS28" i="23"/>
  <c r="GS29" i="23" s="1"/>
  <c r="GO20" i="23"/>
  <c r="GO28" i="23"/>
  <c r="GO29" i="23" s="1"/>
  <c r="GK20" i="23"/>
  <c r="GK28" i="23"/>
  <c r="GK29" i="23" s="1"/>
  <c r="FU28" i="23"/>
  <c r="FU29" i="23" s="1"/>
  <c r="FU20" i="23"/>
  <c r="FQ28" i="23"/>
  <c r="FQ20" i="23"/>
  <c r="FM28" i="23"/>
  <c r="FM29" i="23" s="1"/>
  <c r="FM20" i="23"/>
  <c r="DE20" i="23"/>
  <c r="DE28" i="23"/>
  <c r="DE29" i="23" s="1"/>
  <c r="DA28" i="23"/>
  <c r="DA20" i="23"/>
  <c r="CK20" i="23"/>
  <c r="CK28" i="23"/>
  <c r="CG28" i="23"/>
  <c r="CG29" i="23" s="1"/>
  <c r="CG20" i="23"/>
  <c r="BQ20" i="23"/>
  <c r="BQ28" i="23"/>
  <c r="BQ29" i="23" s="1"/>
  <c r="AG20" i="23"/>
  <c r="AG28" i="23"/>
  <c r="AG29" i="23" s="1"/>
  <c r="HS20" i="23"/>
  <c r="HL20" i="23"/>
  <c r="GW20" i="23"/>
  <c r="GL20" i="23"/>
  <c r="GD20" i="23"/>
  <c r="FW20" i="23"/>
  <c r="FR20" i="23"/>
  <c r="FK20" i="23"/>
  <c r="FD20" i="23"/>
  <c r="EY20" i="23"/>
  <c r="ES20" i="23"/>
  <c r="EI20" i="23"/>
  <c r="DV20" i="23"/>
  <c r="DP20" i="23"/>
  <c r="DK20" i="23"/>
  <c r="DD20" i="23"/>
  <c r="CY20" i="23"/>
  <c r="CQ20" i="23"/>
  <c r="CJ20" i="23"/>
  <c r="CE20" i="23"/>
  <c r="BY20" i="23"/>
  <c r="AX20" i="23"/>
  <c r="AS20" i="23"/>
  <c r="AN20" i="23"/>
  <c r="AE20" i="23"/>
  <c r="Z20" i="23"/>
  <c r="T20" i="23"/>
  <c r="J20" i="23"/>
  <c r="ET28" i="23"/>
  <c r="ET29" i="23" s="1"/>
  <c r="CU28" i="23"/>
  <c r="CU29" i="23" s="1"/>
  <c r="EK29" i="23"/>
  <c r="HX29" i="23"/>
  <c r="HP29" i="23"/>
  <c r="HL29" i="23"/>
  <c r="HH29" i="23"/>
  <c r="GZ29" i="23"/>
  <c r="EO29" i="23"/>
  <c r="DQ29" i="23"/>
  <c r="DA29" i="23"/>
  <c r="CK29" i="23"/>
  <c r="CC29" i="23"/>
  <c r="BA29" i="23"/>
  <c r="AA46" i="23"/>
  <c r="CC46" i="105" s="1"/>
  <c r="G46" i="43" s="1"/>
  <c r="FD29" i="23"/>
  <c r="EZ29" i="23"/>
  <c r="EV29" i="23"/>
  <c r="ER29" i="23"/>
  <c r="DT29" i="23"/>
  <c r="DP29" i="23"/>
  <c r="DL29" i="23"/>
  <c r="DH29" i="23"/>
  <c r="DD29" i="23"/>
  <c r="CZ29" i="23"/>
  <c r="CN29" i="23"/>
  <c r="CJ29" i="23"/>
  <c r="CF29" i="23"/>
  <c r="CB29" i="23"/>
  <c r="AV29" i="23"/>
  <c r="AR29" i="23"/>
  <c r="AN29" i="23"/>
  <c r="GV29" i="23"/>
  <c r="GR29" i="23"/>
  <c r="GN29" i="23"/>
  <c r="GF29" i="23"/>
  <c r="FT29" i="23"/>
  <c r="K48" i="23"/>
  <c r="E41" i="43"/>
  <c r="K41" i="43" s="1"/>
  <c r="CG41" i="105"/>
  <c r="BX20" i="105"/>
  <c r="BV28" i="105"/>
  <c r="BV29" i="105" s="1"/>
  <c r="BV48" i="105"/>
  <c r="BO48" i="105"/>
  <c r="BK48" i="105"/>
  <c r="BG48" i="105"/>
  <c r="BC48" i="105"/>
  <c r="AY48" i="105"/>
  <c r="AU48" i="105"/>
  <c r="AQ48" i="105"/>
  <c r="AM48" i="105"/>
  <c r="AI48" i="105"/>
  <c r="AE48" i="105"/>
  <c r="W48" i="105"/>
  <c r="S48" i="105"/>
  <c r="O48" i="105"/>
  <c r="K48" i="105"/>
  <c r="G48" i="105"/>
  <c r="E40" i="43"/>
  <c r="K40" i="43" s="1"/>
  <c r="CG40" i="105"/>
  <c r="AM27" i="23"/>
  <c r="BM20" i="105"/>
  <c r="BU48" i="105"/>
  <c r="BY48" i="105"/>
  <c r="E9" i="43"/>
  <c r="BY20" i="105"/>
  <c r="BR48" i="105"/>
  <c r="BL48" i="105"/>
  <c r="BH48" i="105"/>
  <c r="BD48" i="105"/>
  <c r="AZ48" i="105"/>
  <c r="AV48" i="105"/>
  <c r="AR48" i="105"/>
  <c r="AN48" i="105"/>
  <c r="AJ48" i="105"/>
  <c r="AF48" i="105"/>
  <c r="Z48" i="105"/>
  <c r="T48" i="105"/>
  <c r="P48" i="105"/>
  <c r="L48" i="105"/>
  <c r="H48" i="105"/>
  <c r="BW28" i="105"/>
  <c r="BW29" i="105" s="1"/>
  <c r="BX29" i="105"/>
  <c r="BW20" i="105"/>
  <c r="BY29" i="105"/>
  <c r="FQ29" i="23"/>
  <c r="BD29" i="105"/>
  <c r="AZ20" i="105"/>
  <c r="BI20" i="105"/>
  <c r="AU20" i="105"/>
  <c r="AI20" i="105"/>
  <c r="AE20" i="105"/>
  <c r="W20" i="105"/>
  <c r="S20" i="105"/>
  <c r="O20" i="105"/>
  <c r="K20" i="105"/>
  <c r="G20" i="105"/>
  <c r="P29" i="105"/>
  <c r="BA20" i="105"/>
  <c r="AW20" i="105"/>
  <c r="AK20" i="105"/>
  <c r="AG20" i="105"/>
  <c r="Z20" i="105"/>
  <c r="T20" i="105"/>
  <c r="P20" i="105"/>
  <c r="L20" i="105"/>
  <c r="H20" i="105"/>
  <c r="AW28" i="105"/>
  <c r="AW29" i="105" s="1"/>
  <c r="AG28" i="105"/>
  <c r="AG29" i="105" s="1"/>
  <c r="L28" i="105"/>
  <c r="L29" i="105" s="1"/>
  <c r="T29" i="105"/>
  <c r="AX29" i="105"/>
  <c r="BK20" i="105"/>
  <c r="BC20" i="105"/>
  <c r="AM20" i="105"/>
  <c r="BR20" i="105"/>
  <c r="BL20" i="105"/>
  <c r="AV20" i="105"/>
  <c r="AS20" i="105"/>
  <c r="Z28" i="105"/>
  <c r="Z29" i="105" s="1"/>
  <c r="H28" i="105"/>
  <c r="H29" i="105" s="1"/>
  <c r="F29" i="105"/>
  <c r="N29" i="105"/>
  <c r="AF20" i="105"/>
  <c r="AF28" i="105"/>
  <c r="AF29" i="105" s="1"/>
  <c r="J29" i="105"/>
  <c r="BT20" i="105"/>
  <c r="BN28" i="105"/>
  <c r="BN29" i="105" s="1"/>
  <c r="BF28" i="105"/>
  <c r="BF29" i="105" s="1"/>
  <c r="BO29" i="105"/>
  <c r="BG29" i="105"/>
  <c r="AM29" i="105"/>
  <c r="W29" i="105"/>
  <c r="O29" i="105"/>
  <c r="K29" i="105"/>
  <c r="G29" i="105"/>
  <c r="BN12" i="105"/>
  <c r="BN20" i="105" s="1"/>
  <c r="BJ12" i="105"/>
  <c r="BJ20" i="105" s="1"/>
  <c r="BF12" i="105"/>
  <c r="BF20" i="105" s="1"/>
  <c r="BB12" i="105"/>
  <c r="BB20" i="105" s="1"/>
  <c r="AX12" i="105"/>
  <c r="AX20" i="105" s="1"/>
  <c r="AT12" i="105"/>
  <c r="AT20" i="105" s="1"/>
  <c r="AL12" i="105"/>
  <c r="AL20" i="105" s="1"/>
  <c r="AR20" i="105"/>
  <c r="AH20" i="105"/>
  <c r="AD20" i="105"/>
  <c r="V20" i="105"/>
  <c r="R20" i="105"/>
  <c r="N20" i="105"/>
  <c r="J20" i="105"/>
  <c r="F20" i="105"/>
  <c r="BM28" i="105"/>
  <c r="BM29" i="105" s="1"/>
  <c r="BA28" i="105"/>
  <c r="BA29" i="105" s="1"/>
  <c r="AV28" i="105"/>
  <c r="AV29" i="105" s="1"/>
  <c r="AJ28" i="105"/>
  <c r="BG20" i="105"/>
  <c r="AQ20" i="105"/>
  <c r="AA20" i="105"/>
  <c r="U20" i="105"/>
  <c r="Q20" i="105"/>
  <c r="M20" i="105"/>
  <c r="I20" i="105"/>
  <c r="E20" i="105"/>
  <c r="BR28" i="105"/>
  <c r="BR29" i="105" s="1"/>
  <c r="BL28" i="105"/>
  <c r="BL29" i="105" s="1"/>
  <c r="AZ28" i="105"/>
  <c r="AZ29" i="105" s="1"/>
  <c r="BX46" i="105"/>
  <c r="BX48" i="105" s="1"/>
  <c r="C54" i="94" s="1"/>
  <c r="C78" i="94" s="1"/>
  <c r="BT48" i="105"/>
  <c r="BH12" i="105"/>
  <c r="BH20" i="105" s="1"/>
  <c r="BD12" i="105"/>
  <c r="BD20" i="105" s="1"/>
  <c r="AN12" i="105"/>
  <c r="AN20" i="105" s="1"/>
  <c r="AJ12" i="105"/>
  <c r="AJ20" i="105" s="1"/>
  <c r="BU20" i="105"/>
  <c r="AP20" i="105"/>
  <c r="AR29" i="105"/>
  <c r="BI29" i="105"/>
  <c r="BC29" i="105"/>
  <c r="AY29" i="105"/>
  <c r="AY20" i="105"/>
  <c r="AA29" i="105"/>
  <c r="U29" i="105"/>
  <c r="Q29" i="105"/>
  <c r="M29" i="105"/>
  <c r="I29" i="105"/>
  <c r="CF42" i="105"/>
  <c r="D20" i="105"/>
  <c r="CF15" i="105"/>
  <c r="CF43" i="105"/>
  <c r="CF25" i="105"/>
  <c r="CW29" i="23"/>
  <c r="CA48" i="23"/>
  <c r="BY29" i="23"/>
  <c r="W48" i="23"/>
  <c r="D48" i="105"/>
  <c r="L54" i="105"/>
  <c r="AP54" i="105"/>
  <c r="BF54" i="105"/>
  <c r="BT54" i="105"/>
  <c r="CF22" i="105"/>
  <c r="CF39" i="105"/>
  <c r="CF44" i="105"/>
  <c r="CF45" i="105"/>
  <c r="T54" i="105"/>
  <c r="AJ54" i="105"/>
  <c r="AR54" i="105"/>
  <c r="AZ54" i="105"/>
  <c r="BH54" i="105"/>
  <c r="BV54" i="105"/>
  <c r="CD54" i="105"/>
  <c r="AH54" i="105"/>
  <c r="AX54" i="105"/>
  <c r="CB54" i="105"/>
  <c r="CF26" i="105"/>
  <c r="CK20" i="105"/>
  <c r="CF31" i="105"/>
  <c r="CF35" i="105"/>
  <c r="CF36" i="105"/>
  <c r="CH51" i="105"/>
  <c r="CH54" i="105" s="1"/>
  <c r="V1253" i="106" l="1"/>
  <c r="V1254" i="106" s="1"/>
  <c r="Q86" i="116" s="1"/>
  <c r="Q96" i="116" s="1"/>
  <c r="W1254" i="106"/>
  <c r="R86" i="116" s="1"/>
  <c r="R96" i="116" s="1"/>
  <c r="W1253" i="106"/>
  <c r="R1253" i="106"/>
  <c r="R1254" i="106" s="1"/>
  <c r="M86" i="116" s="1"/>
  <c r="M96" i="116" s="1"/>
  <c r="CG34" i="105"/>
  <c r="AA48" i="23"/>
  <c r="CC48" i="105" s="1"/>
  <c r="G48" i="43" s="1"/>
  <c r="CG9" i="105"/>
  <c r="K9" i="43"/>
  <c r="AM29" i="23"/>
  <c r="CA28" i="105"/>
  <c r="CA27" i="105"/>
  <c r="E27" i="43" s="1"/>
  <c r="K27" i="43" s="1"/>
  <c r="CA48" i="105"/>
  <c r="E48" i="43" s="1"/>
  <c r="AJ29" i="105"/>
  <c r="CA20" i="105"/>
  <c r="HU29" i="23"/>
  <c r="CC28" i="105"/>
  <c r="G28" i="43" s="1"/>
  <c r="CC20" i="105"/>
  <c r="G20" i="43" s="1"/>
  <c r="K21" i="43"/>
  <c r="CF11" i="105"/>
  <c r="CF32" i="105"/>
  <c r="CG21" i="105"/>
  <c r="E38" i="43"/>
  <c r="K38" i="43" s="1"/>
  <c r="CG38" i="105"/>
  <c r="K29" i="23"/>
  <c r="CG12" i="105"/>
  <c r="E10" i="90"/>
  <c r="F32" i="91"/>
  <c r="F37" i="91" s="1"/>
  <c r="F39" i="91"/>
  <c r="E18" i="90"/>
  <c r="E10" i="43"/>
  <c r="K10" i="43" s="1"/>
  <c r="CG10" i="105"/>
  <c r="E19" i="90"/>
  <c r="F40" i="91"/>
  <c r="G33" i="43"/>
  <c r="K33" i="43" s="1"/>
  <c r="CG33" i="105"/>
  <c r="K12" i="43"/>
  <c r="E46" i="43"/>
  <c r="K46" i="43" s="1"/>
  <c r="CG46" i="105"/>
  <c r="E47" i="43"/>
  <c r="K47" i="43" s="1"/>
  <c r="CG47" i="105"/>
  <c r="E29" i="23"/>
  <c r="CG8" i="105"/>
  <c r="E8" i="43"/>
  <c r="K8" i="43" s="1"/>
  <c r="E37" i="43"/>
  <c r="K37" i="43" s="1"/>
  <c r="CG37" i="105"/>
  <c r="E18" i="43"/>
  <c r="K18" i="43" s="1"/>
  <c r="CG18" i="105"/>
  <c r="D37" i="91"/>
  <c r="D36" i="91"/>
  <c r="D18" i="91"/>
  <c r="D17" i="91"/>
  <c r="K1253" i="106" l="1"/>
  <c r="K1254" i="106" s="1"/>
  <c r="F86" i="116" s="1"/>
  <c r="F96" i="116" s="1"/>
  <c r="F105" i="116" s="1"/>
  <c r="S1253" i="106"/>
  <c r="S1254" i="106" s="1"/>
  <c r="N86" i="116" s="1"/>
  <c r="N96" i="116" s="1"/>
  <c r="N105" i="116" s="1"/>
  <c r="CC29" i="105"/>
  <c r="G29" i="43" s="1"/>
  <c r="K48" i="43"/>
  <c r="J13" i="90"/>
  <c r="J16" i="90" s="1"/>
  <c r="E35" i="90" s="1"/>
  <c r="J7" i="90"/>
  <c r="J10" i="90"/>
  <c r="E17" i="90"/>
  <c r="E39" i="90" s="1"/>
  <c r="F5" i="91"/>
  <c r="CG27" i="105"/>
  <c r="CA29" i="105"/>
  <c r="E29" i="43" s="1"/>
  <c r="CG48" i="105"/>
  <c r="F38" i="91"/>
  <c r="F59" i="91" s="1"/>
  <c r="E20" i="43"/>
  <c r="K20" i="43" s="1"/>
  <c r="CG20" i="105"/>
  <c r="E9" i="90"/>
  <c r="F31" i="91"/>
  <c r="F36" i="91" s="1"/>
  <c r="J8" i="90"/>
  <c r="F6" i="91"/>
  <c r="E16" i="90"/>
  <c r="E34" i="90" s="1"/>
  <c r="E26" i="90"/>
  <c r="E28" i="43"/>
  <c r="K28" i="43" s="1"/>
  <c r="CG28" i="105"/>
  <c r="F54" i="91"/>
  <c r="F56" i="91" s="1"/>
  <c r="F47" i="91"/>
  <c r="J6" i="90"/>
  <c r="F4" i="91"/>
  <c r="S33" i="31"/>
  <c r="S28" i="31" s="1"/>
  <c r="I33" i="31"/>
  <c r="I28" i="31" s="1"/>
  <c r="S24" i="31"/>
  <c r="I24" i="31"/>
  <c r="F6" i="98"/>
  <c r="F5" i="98"/>
  <c r="J12" i="91"/>
  <c r="I12" i="91"/>
  <c r="H12" i="91"/>
  <c r="K29" i="43" l="1"/>
  <c r="M53" i="43" s="1"/>
  <c r="J26" i="90"/>
  <c r="E24" i="31"/>
  <c r="C49" i="94"/>
  <c r="C56" i="94" s="1"/>
  <c r="CG29" i="105"/>
  <c r="E33" i="31"/>
  <c r="E28" i="31" s="1"/>
  <c r="J25" i="90"/>
  <c r="J14" i="90"/>
  <c r="E36" i="90"/>
  <c r="E14" i="90"/>
  <c r="E15" i="90"/>
  <c r="E30" i="90" s="1"/>
  <c r="E25" i="90"/>
  <c r="E27" i="90" s="1"/>
  <c r="J15" i="90"/>
  <c r="E31" i="90" s="1"/>
  <c r="F17" i="91"/>
  <c r="F51" i="91" s="1"/>
  <c r="F25" i="91"/>
  <c r="F27" i="91" s="1"/>
  <c r="F16" i="91"/>
  <c r="F50" i="91"/>
  <c r="F35" i="91"/>
  <c r="F46" i="91"/>
  <c r="F48" i="91" s="1"/>
  <c r="J27" i="90" l="1"/>
  <c r="F16" i="23"/>
  <c r="F28" i="23" s="1"/>
  <c r="F29" i="23" s="1"/>
  <c r="F52" i="91"/>
  <c r="F58" i="91" s="1"/>
  <c r="F60" i="91" s="1"/>
  <c r="E32" i="90"/>
  <c r="E38" i="90" s="1"/>
  <c r="E40" i="90" s="1"/>
  <c r="C58" i="25"/>
  <c r="I133" i="31"/>
  <c r="S133" i="31"/>
  <c r="F20" i="23" l="1"/>
  <c r="E133" i="31"/>
  <c r="C72" i="94"/>
  <c r="C71" i="94"/>
  <c r="C70" i="94"/>
  <c r="C69" i="94"/>
  <c r="C68" i="94"/>
  <c r="C67" i="94"/>
  <c r="AB40" i="23"/>
  <c r="AB41" i="23"/>
  <c r="C73" i="94" l="1"/>
  <c r="C4" i="94" s="1"/>
  <c r="D4" i="94" s="1"/>
  <c r="E4" i="94" s="1"/>
  <c r="F4" i="94" s="1"/>
  <c r="G4" i="94" s="1"/>
  <c r="H4" i="94" s="1"/>
  <c r="I4" i="94" s="1"/>
  <c r="J4" i="94" s="1"/>
  <c r="K4" i="94" s="1"/>
  <c r="L4" i="94" s="1"/>
  <c r="M4" i="94" s="1"/>
  <c r="N4" i="94" s="1"/>
  <c r="O4" i="94" s="1"/>
  <c r="P4" i="94" s="1"/>
  <c r="Q4" i="94" s="1"/>
  <c r="R4" i="94" s="1"/>
  <c r="S4" i="94" s="1"/>
  <c r="BZ41" i="105"/>
  <c r="AB47" i="23"/>
  <c r="BZ40" i="105"/>
  <c r="CF40" i="105" s="1"/>
  <c r="AB46" i="23"/>
  <c r="AB48" i="23" s="1"/>
  <c r="AB38" i="23"/>
  <c r="BZ38" i="105" s="1"/>
  <c r="CF38" i="105" s="1"/>
  <c r="S131" i="31"/>
  <c r="I131" i="31"/>
  <c r="E131" i="31" s="1"/>
  <c r="FP10" i="23"/>
  <c r="Z33" i="23"/>
  <c r="CB33" i="105" s="1"/>
  <c r="Z34" i="23"/>
  <c r="CB34" i="105" s="1"/>
  <c r="X1253" i="106" l="1"/>
  <c r="X1254" i="106" s="1"/>
  <c r="S86" i="116" s="1"/>
  <c r="S96" i="116" s="1"/>
  <c r="FP27" i="23"/>
  <c r="FP29" i="23" s="1"/>
  <c r="FP20" i="23"/>
  <c r="C65" i="94"/>
  <c r="C6" i="94" s="1"/>
  <c r="Z47" i="23"/>
  <c r="Z37" i="23"/>
  <c r="CB37" i="105" s="1"/>
  <c r="Z46" i="23"/>
  <c r="CB46" i="105" s="1"/>
  <c r="D41" i="43"/>
  <c r="CF41" i="105"/>
  <c r="H10" i="36"/>
  <c r="CB47" i="105" l="1"/>
  <c r="F47" i="43" s="1"/>
  <c r="F37" i="43"/>
  <c r="CF37" i="105"/>
  <c r="F33" i="43"/>
  <c r="CF33" i="105"/>
  <c r="Z48" i="23"/>
  <c r="F46" i="43"/>
  <c r="F34" i="43"/>
  <c r="CF34" i="105"/>
  <c r="O29" i="24"/>
  <c r="U1253" i="106" l="1"/>
  <c r="U1254" i="106" s="1"/>
  <c r="P86" i="116" s="1"/>
  <c r="P96" i="116" s="1"/>
  <c r="T1253" i="106"/>
  <c r="T1254" i="106" s="1"/>
  <c r="O86" i="116" s="1"/>
  <c r="O96" i="116" s="1"/>
  <c r="CB48" i="105"/>
  <c r="F48" i="43" s="1"/>
  <c r="F11" i="73"/>
  <c r="P100" i="116" l="1"/>
  <c r="P101" i="116" s="1"/>
  <c r="F28" i="73"/>
  <c r="C60" i="94"/>
  <c r="C5" i="94" s="1"/>
  <c r="C10" i="94" s="1"/>
  <c r="C79" i="94"/>
  <c r="C80" i="94"/>
  <c r="C82" i="94"/>
  <c r="C83" i="94"/>
  <c r="C85" i="94"/>
  <c r="C86" i="94"/>
  <c r="C87" i="94"/>
  <c r="C91" i="94"/>
  <c r="HV17" i="23"/>
  <c r="HV20" i="23" l="1"/>
  <c r="HV28" i="23"/>
  <c r="HV29" i="23" s="1"/>
  <c r="C63" i="94"/>
  <c r="FX16" i="23"/>
  <c r="BV10" i="23" l="1"/>
  <c r="BV27" i="23" s="1"/>
  <c r="C59" i="25" l="1"/>
  <c r="C56" i="25" s="1"/>
  <c r="GX13" i="23" l="1"/>
  <c r="E26" i="31" l="1"/>
  <c r="BZ13" i="105"/>
  <c r="GX12" i="23"/>
  <c r="GX27" i="23"/>
  <c r="GX29" i="23" s="1"/>
  <c r="GX20" i="23" l="1"/>
  <c r="D13" i="43"/>
  <c r="CF13" i="105"/>
  <c r="BD10" i="23"/>
  <c r="G26" i="26"/>
  <c r="BD27" i="23" l="1"/>
  <c r="BD29" i="23" s="1"/>
  <c r="BD20" i="23"/>
  <c r="H16" i="23"/>
  <c r="H28" i="23" l="1"/>
  <c r="H29" i="23" s="1"/>
  <c r="H20" i="23"/>
  <c r="U62" i="31"/>
  <c r="C49" i="25" l="1"/>
  <c r="C77" i="101"/>
  <c r="E76" i="101"/>
  <c r="E75" i="101"/>
  <c r="E73" i="101"/>
  <c r="E72" i="101" s="1"/>
  <c r="E67" i="101"/>
  <c r="E66" i="101"/>
  <c r="E63" i="101"/>
  <c r="E62" i="101" s="1"/>
  <c r="E61" i="101"/>
  <c r="E60" i="101"/>
  <c r="E58" i="101"/>
  <c r="E56" i="101"/>
  <c r="C56" i="101" s="1"/>
  <c r="E54" i="101"/>
  <c r="E51" i="101"/>
  <c r="E49" i="101" s="1"/>
  <c r="E48" i="101"/>
  <c r="E47" i="101"/>
  <c r="E44" i="101" s="1"/>
  <c r="E46" i="101"/>
  <c r="E43" i="101"/>
  <c r="E42" i="101"/>
  <c r="E39" i="101"/>
  <c r="E38" i="101"/>
  <c r="E37" i="101"/>
  <c r="D32" i="101"/>
  <c r="E32" i="101" s="1"/>
  <c r="D31" i="101"/>
  <c r="E31" i="101" s="1"/>
  <c r="E28" i="101"/>
  <c r="E27" i="101"/>
  <c r="E23" i="101"/>
  <c r="C23" i="101" s="1"/>
  <c r="E21" i="101"/>
  <c r="E19" i="101"/>
  <c r="E17" i="101"/>
  <c r="E15" i="101"/>
  <c r="E13" i="101"/>
  <c r="C13" i="101" s="1"/>
  <c r="E10" i="101"/>
  <c r="H11" i="74"/>
  <c r="H28" i="74" s="1"/>
  <c r="F11" i="74"/>
  <c r="D41" i="74"/>
  <c r="AN11" i="40"/>
  <c r="AH11" i="40"/>
  <c r="AF11" i="40"/>
  <c r="AD11" i="40"/>
  <c r="AD28" i="40" s="1"/>
  <c r="AB11" i="40"/>
  <c r="X11" i="40"/>
  <c r="X28" i="40" s="1"/>
  <c r="V11" i="40"/>
  <c r="V28" i="40" s="1"/>
  <c r="T11" i="40"/>
  <c r="T28" i="40" s="1"/>
  <c r="R11" i="40"/>
  <c r="P11" i="40"/>
  <c r="P28" i="40" s="1"/>
  <c r="N11" i="40"/>
  <c r="N28" i="40" s="1"/>
  <c r="H11" i="40"/>
  <c r="H28" i="40" s="1"/>
  <c r="F11" i="40"/>
  <c r="F9" i="40"/>
  <c r="D41" i="40"/>
  <c r="Z11" i="40"/>
  <c r="Z28" i="40" s="1"/>
  <c r="AF28" i="40" l="1"/>
  <c r="AF30" i="40" s="1"/>
  <c r="AF21" i="40"/>
  <c r="AH21" i="40"/>
  <c r="AH28" i="40"/>
  <c r="AH30" i="40" s="1"/>
  <c r="F11" i="41"/>
  <c r="R28" i="40"/>
  <c r="F28" i="41" s="1"/>
  <c r="AB21" i="40"/>
  <c r="AB28" i="40"/>
  <c r="AB30" i="40" s="1"/>
  <c r="AN28" i="40"/>
  <c r="AN30" i="40" s="1"/>
  <c r="AN21" i="40"/>
  <c r="E9" i="101"/>
  <c r="E64" i="101"/>
  <c r="E71" i="101"/>
  <c r="E26" i="101"/>
  <c r="E25" i="101" s="1"/>
  <c r="E36" i="101"/>
  <c r="E34" i="101" s="1"/>
  <c r="E33" i="101" s="1"/>
  <c r="E12" i="101"/>
  <c r="E8" i="101" s="1"/>
  <c r="E30" i="101"/>
  <c r="E29" i="101" s="1"/>
  <c r="E55" i="101"/>
  <c r="H11" i="73"/>
  <c r="T11" i="73" s="1"/>
  <c r="J142" i="115" s="1"/>
  <c r="J143" i="115" s="1"/>
  <c r="D41" i="73"/>
  <c r="T41" i="73" s="1"/>
  <c r="S177" i="31"/>
  <c r="S144" i="31" s="1"/>
  <c r="S183" i="31" s="1"/>
  <c r="M177" i="31"/>
  <c r="E24" i="101" l="1"/>
  <c r="M144" i="31"/>
  <c r="M183" i="31" s="1"/>
  <c r="E177" i="31"/>
  <c r="E144" i="31" s="1"/>
  <c r="E183" i="31" s="1"/>
  <c r="E53" i="101"/>
  <c r="G71" i="101" s="1"/>
  <c r="H11" i="38"/>
  <c r="H28" i="38" s="1"/>
  <c r="F11" i="38"/>
  <c r="D41" i="38"/>
  <c r="J11" i="35"/>
  <c r="D41" i="35"/>
  <c r="E78" i="101" l="1"/>
  <c r="E82" i="101" s="1"/>
  <c r="F11" i="35"/>
  <c r="P11" i="39"/>
  <c r="F11" i="39"/>
  <c r="F28" i="39" s="1"/>
  <c r="D41" i="39"/>
  <c r="J11" i="36"/>
  <c r="J28" i="36" s="1"/>
  <c r="H11" i="36"/>
  <c r="F11" i="36"/>
  <c r="D41" i="36"/>
  <c r="F11" i="37"/>
  <c r="D41" i="37"/>
  <c r="D41" i="41" s="1"/>
  <c r="D40" i="43" s="1"/>
  <c r="H28" i="36" l="1"/>
  <c r="H30" i="36" s="1"/>
  <c r="H21" i="36"/>
  <c r="P28" i="39"/>
  <c r="P30" i="39" s="1"/>
  <c r="P21" i="39"/>
  <c r="F28" i="35"/>
  <c r="F30" i="35" s="1"/>
  <c r="F21" i="35"/>
  <c r="S14" i="31"/>
  <c r="S10" i="31" s="1"/>
  <c r="I14" i="31"/>
  <c r="I10" i="31" s="1"/>
  <c r="E14" i="31" l="1"/>
  <c r="E10" i="31" s="1"/>
  <c r="P11" i="34"/>
  <c r="P28" i="34" s="1"/>
  <c r="J11" i="34"/>
  <c r="J28" i="34" s="1"/>
  <c r="H11" i="34"/>
  <c r="F11" i="34"/>
  <c r="Z11" i="34"/>
  <c r="F9" i="34"/>
  <c r="AB11" i="34" l="1"/>
  <c r="J197" i="107" s="1"/>
  <c r="J198" i="107" s="1"/>
  <c r="D11" i="41"/>
  <c r="AB9" i="34"/>
  <c r="H197" i="107" s="1"/>
  <c r="H198" i="107" s="1"/>
  <c r="Z28" i="34"/>
  <c r="Z30" i="34" s="1"/>
  <c r="Z21" i="34"/>
  <c r="H11" i="41"/>
  <c r="H10" i="43" s="1"/>
  <c r="H28" i="34"/>
  <c r="H28" i="41" s="1"/>
  <c r="H27" i="43" s="1"/>
  <c r="S111" i="31"/>
  <c r="M111" i="31"/>
  <c r="E111" i="31" l="1"/>
  <c r="M75" i="31"/>
  <c r="S74" i="31"/>
  <c r="S60" i="31" s="1"/>
  <c r="I74" i="31"/>
  <c r="GB17" i="23"/>
  <c r="M21" i="24"/>
  <c r="G21" i="24"/>
  <c r="HD17" i="23"/>
  <c r="FX17" i="23"/>
  <c r="E74" i="31" l="1"/>
  <c r="E60" i="31" s="1"/>
  <c r="I60" i="31"/>
  <c r="E21" i="24"/>
  <c r="HD28" i="23"/>
  <c r="HD29" i="23" s="1"/>
  <c r="GB20" i="23"/>
  <c r="GB28" i="23"/>
  <c r="GB29" i="23" s="1"/>
  <c r="FX28" i="23"/>
  <c r="FX29" i="23" s="1"/>
  <c r="FX20" i="23"/>
  <c r="O31" i="24"/>
  <c r="O34" i="24"/>
  <c r="N16" i="23" l="1"/>
  <c r="S79" i="31"/>
  <c r="S75" i="31" s="1"/>
  <c r="I79" i="31"/>
  <c r="M35" i="24"/>
  <c r="M9" i="24" s="1"/>
  <c r="G35" i="24"/>
  <c r="G9" i="24" s="1"/>
  <c r="U44" i="31"/>
  <c r="M38" i="24" l="1"/>
  <c r="E35" i="24"/>
  <c r="E9" i="24" s="1"/>
  <c r="G38" i="24"/>
  <c r="E79" i="31"/>
  <c r="E75" i="31" s="1"/>
  <c r="I75" i="31"/>
  <c r="N28" i="23"/>
  <c r="N29" i="23" s="1"/>
  <c r="N20" i="23"/>
  <c r="EB16" i="23"/>
  <c r="EB28" i="23" l="1"/>
  <c r="EB29" i="23" s="1"/>
  <c r="EB20" i="23"/>
  <c r="U53" i="31"/>
  <c r="AL10" i="23"/>
  <c r="DB10" i="23"/>
  <c r="DB8" i="23"/>
  <c r="BN10" i="23"/>
  <c r="BN27" i="23" s="1"/>
  <c r="CX10" i="23"/>
  <c r="CX27" i="23" s="1"/>
  <c r="DB27" i="23" l="1"/>
  <c r="DB29" i="23" s="1"/>
  <c r="DB20" i="23"/>
  <c r="HD12" i="23"/>
  <c r="HD20" i="23" s="1"/>
  <c r="BR10" i="23"/>
  <c r="EN10" i="23"/>
  <c r="AP10" i="23"/>
  <c r="BX10" i="23"/>
  <c r="BX27" i="23" s="1"/>
  <c r="DF10" i="23"/>
  <c r="DF27" i="23" s="1"/>
  <c r="EP10" i="23"/>
  <c r="AJ10" i="23"/>
  <c r="CR10" i="23"/>
  <c r="V10" i="23"/>
  <c r="CL10" i="23"/>
  <c r="CL27" i="23" s="1"/>
  <c r="CV10" i="23"/>
  <c r="CV27" i="23" s="1"/>
  <c r="BJ10" i="23"/>
  <c r="BJ27" i="23" s="1"/>
  <c r="BJ29" i="23" s="1"/>
  <c r="BB10" i="23"/>
  <c r="BB27" i="23" s="1"/>
  <c r="BB29" i="23" s="1"/>
  <c r="CR27" i="23" l="1"/>
  <c r="CR29" i="23" s="1"/>
  <c r="CR20" i="23"/>
  <c r="AP27" i="23"/>
  <c r="AP29" i="23" s="1"/>
  <c r="AP20" i="23"/>
  <c r="V27" i="23"/>
  <c r="V29" i="23" s="1"/>
  <c r="V20" i="23"/>
  <c r="BR27" i="23"/>
  <c r="BR29" i="23" s="1"/>
  <c r="BR20" i="23"/>
  <c r="EP27" i="23"/>
  <c r="EP29" i="23" s="1"/>
  <c r="EP20" i="23"/>
  <c r="EN27" i="23"/>
  <c r="EN29" i="23" s="1"/>
  <c r="EN20" i="23"/>
  <c r="AJ8" i="23"/>
  <c r="EH10" i="23"/>
  <c r="EH27" i="23" l="1"/>
  <c r="EH29" i="23" s="1"/>
  <c r="EH20" i="23"/>
  <c r="D42" i="93"/>
  <c r="C42" i="93"/>
  <c r="C43" i="93" s="1"/>
  <c r="B42" i="93"/>
  <c r="F10" i="34"/>
  <c r="AL9" i="23"/>
  <c r="AB10" i="34" l="1"/>
  <c r="I197" i="107" s="1"/>
  <c r="I198" i="107" s="1"/>
  <c r="F28" i="34"/>
  <c r="AL8" i="23"/>
  <c r="AJ9" i="23"/>
  <c r="BZ9" i="105" l="1"/>
  <c r="AJ27" i="23"/>
  <c r="AL27" i="23"/>
  <c r="BZ8" i="105"/>
  <c r="J10" i="35"/>
  <c r="J28" i="35" s="1"/>
  <c r="F10" i="40" l="1"/>
  <c r="F28" i="40" s="1"/>
  <c r="F10" i="36" l="1"/>
  <c r="F9" i="36"/>
  <c r="F28" i="36" l="1"/>
  <c r="D9" i="41"/>
  <c r="F10" i="37"/>
  <c r="F28" i="37" s="1"/>
  <c r="F10" i="38"/>
  <c r="F28" i="38" s="1"/>
  <c r="H10" i="73"/>
  <c r="T10" i="73" s="1"/>
  <c r="I142" i="115" s="1"/>
  <c r="I143" i="115" s="1"/>
  <c r="F10" i="74"/>
  <c r="F28" i="74" s="1"/>
  <c r="J9" i="41" l="1"/>
  <c r="D8" i="43"/>
  <c r="D10" i="41"/>
  <c r="D9" i="43" s="1"/>
  <c r="H28" i="73"/>
  <c r="H49" i="100"/>
  <c r="G49" i="100"/>
  <c r="F49" i="100"/>
  <c r="E49" i="100"/>
  <c r="C49" i="100"/>
  <c r="H45" i="100"/>
  <c r="G45" i="100"/>
  <c r="F45" i="100"/>
  <c r="E45" i="100"/>
  <c r="C45" i="100"/>
  <c r="H43" i="100"/>
  <c r="G43" i="100"/>
  <c r="F43" i="100"/>
  <c r="E43" i="100"/>
  <c r="C43" i="100"/>
  <c r="H32" i="100"/>
  <c r="G32" i="100"/>
  <c r="F32" i="100"/>
  <c r="E32" i="100"/>
  <c r="C32" i="100"/>
  <c r="H29" i="100"/>
  <c r="G29" i="100"/>
  <c r="F29" i="100"/>
  <c r="E29" i="100"/>
  <c r="C29" i="100"/>
  <c r="H26" i="100"/>
  <c r="G26" i="100"/>
  <c r="F26" i="100"/>
  <c r="E26" i="100"/>
  <c r="C26" i="100"/>
  <c r="H23" i="100"/>
  <c r="G23" i="100"/>
  <c r="F23" i="100"/>
  <c r="E23" i="100"/>
  <c r="C23" i="100"/>
  <c r="H19" i="100"/>
  <c r="G19" i="100"/>
  <c r="F19" i="100"/>
  <c r="E19" i="100"/>
  <c r="C19" i="100"/>
  <c r="H14" i="100"/>
  <c r="G14" i="100"/>
  <c r="F14" i="100"/>
  <c r="E14" i="100"/>
  <c r="C14" i="100"/>
  <c r="H3" i="100"/>
  <c r="F3" i="100"/>
  <c r="E3" i="100"/>
  <c r="C3" i="100"/>
  <c r="F51" i="100" l="1"/>
  <c r="G51" i="100"/>
  <c r="HF28" i="23"/>
  <c r="HF20" i="23"/>
  <c r="CH20" i="105" s="1"/>
  <c r="L20" i="43" s="1"/>
  <c r="H51" i="100"/>
  <c r="C51" i="100"/>
  <c r="E51" i="100"/>
  <c r="HF29" i="23" l="1"/>
  <c r="CH29" i="105" s="1"/>
  <c r="L29" i="43" s="1"/>
  <c r="CH28" i="105"/>
  <c r="L28" i="43" s="1"/>
  <c r="BT50" i="23"/>
  <c r="HT16" i="23" l="1"/>
  <c r="HT20" i="23" l="1"/>
  <c r="HT28" i="23"/>
  <c r="HT29" i="23" s="1"/>
  <c r="HJ17" i="23"/>
  <c r="O35" i="24"/>
  <c r="HJ28" i="23" l="1"/>
  <c r="HJ29" i="23" s="1"/>
  <c r="HJ20" i="23"/>
  <c r="BX50" i="23"/>
  <c r="CD50" i="23" l="1"/>
  <c r="P50" i="23"/>
  <c r="F50" i="23" l="1"/>
  <c r="AZ10" i="23" l="1"/>
  <c r="AZ27" i="23" l="1"/>
  <c r="AZ29" i="23" s="1"/>
  <c r="AZ20" i="23"/>
  <c r="BL10" i="23"/>
  <c r="BF10" i="23"/>
  <c r="BF27" i="23" l="1"/>
  <c r="BF29" i="23" s="1"/>
  <c r="BF20" i="23"/>
  <c r="BL27" i="23"/>
  <c r="BL29" i="23" s="1"/>
  <c r="BL20" i="23"/>
  <c r="EL9" i="23"/>
  <c r="CB9" i="105" s="1"/>
  <c r="EL8" i="23"/>
  <c r="CB8" i="105" s="1"/>
  <c r="EL27" i="23" l="1"/>
  <c r="EL29" i="23" s="1"/>
  <c r="EL20" i="23"/>
  <c r="C43" i="25"/>
  <c r="C45" i="25"/>
  <c r="C44" i="25"/>
  <c r="C37" i="25"/>
  <c r="C36" i="25"/>
  <c r="C31" i="25"/>
  <c r="F9" i="43" l="1"/>
  <c r="CF9" i="105"/>
  <c r="F8" i="43"/>
  <c r="J8" i="43" s="1"/>
  <c r="CF8" i="105"/>
  <c r="HR16" i="23"/>
  <c r="BH10" i="23"/>
  <c r="I1253" i="106" l="1"/>
  <c r="I1254" i="106" s="1"/>
  <c r="D86" i="116" s="1"/>
  <c r="D96" i="116" s="1"/>
  <c r="H1253" i="106"/>
  <c r="H1254" i="106" s="1"/>
  <c r="C86" i="116" s="1"/>
  <c r="C96" i="116" s="1"/>
  <c r="BH27" i="23"/>
  <c r="HR28" i="23"/>
  <c r="HR29" i="23" s="1"/>
  <c r="HR20" i="23"/>
  <c r="C27" i="25"/>
  <c r="I20" i="27"/>
  <c r="I19" i="27" s="1"/>
  <c r="U65" i="31" l="1"/>
  <c r="P16" i="23" l="1"/>
  <c r="U61" i="31"/>
  <c r="EJ10" i="23"/>
  <c r="EJ27" i="23" l="1"/>
  <c r="EJ29" i="23" s="1"/>
  <c r="EJ20" i="23"/>
  <c r="P28" i="23"/>
  <c r="P29" i="23" s="1"/>
  <c r="P20" i="23"/>
  <c r="HN16" i="23" l="1"/>
  <c r="HN28" i="23" l="1"/>
  <c r="HN29" i="23" s="1"/>
  <c r="HN20" i="23"/>
  <c r="V143" i="31"/>
  <c r="V184" i="31" s="1"/>
  <c r="BT10" i="23"/>
  <c r="BT27" i="23" l="1"/>
  <c r="BZ10" i="105"/>
  <c r="D10" i="43" l="1"/>
  <c r="F20" i="34" l="1"/>
  <c r="X19" i="23"/>
  <c r="CB19" i="105" s="1"/>
  <c r="X18" i="23" l="1"/>
  <c r="CB18" i="105" s="1"/>
  <c r="D20" i="41"/>
  <c r="D19" i="43" s="1"/>
  <c r="F19" i="34"/>
  <c r="AB20" i="34"/>
  <c r="U99" i="31"/>
  <c r="X28" i="23" l="1"/>
  <c r="X20" i="23"/>
  <c r="F19" i="43"/>
  <c r="CF19" i="105"/>
  <c r="O21" i="24"/>
  <c r="AF17" i="23"/>
  <c r="C10" i="25"/>
  <c r="C6" i="25" s="1"/>
  <c r="CD12" i="23"/>
  <c r="AF20" i="23" l="1"/>
  <c r="AF28" i="23"/>
  <c r="AF29" i="23" s="1"/>
  <c r="X29" i="23"/>
  <c r="F18" i="43"/>
  <c r="CF18" i="105"/>
  <c r="O1253" i="106" s="1"/>
  <c r="O1254" i="106" l="1"/>
  <c r="J86" i="116" s="1"/>
  <c r="J96" i="116" s="1"/>
  <c r="J105" i="116" s="1"/>
  <c r="CD16" i="23"/>
  <c r="U60" i="31"/>
  <c r="L16" i="23"/>
  <c r="U31" i="31"/>
  <c r="CD28" i="23" l="1"/>
  <c r="CD29" i="23" s="1"/>
  <c r="CD20" i="23"/>
  <c r="L28" i="23"/>
  <c r="L29" i="23" s="1"/>
  <c r="L20" i="23"/>
  <c r="GT16" i="23" l="1"/>
  <c r="U23" i="31"/>
  <c r="GT28" i="23" l="1"/>
  <c r="GT29" i="23" s="1"/>
  <c r="GT20" i="23"/>
  <c r="BN16" i="23"/>
  <c r="BN28" i="23" l="1"/>
  <c r="BN29" i="23" s="1"/>
  <c r="BN20" i="23"/>
  <c r="BP10" i="23"/>
  <c r="CB10" i="105" s="1"/>
  <c r="BP27" i="23" l="1"/>
  <c r="CB27" i="105" s="1"/>
  <c r="BP29" i="23" l="1"/>
  <c r="F27" i="43"/>
  <c r="F10" i="43"/>
  <c r="CF10" i="105"/>
  <c r="J1253" i="106" s="1"/>
  <c r="Z17" i="40"/>
  <c r="H17" i="37"/>
  <c r="F17" i="74"/>
  <c r="H17" i="38"/>
  <c r="J17" i="38"/>
  <c r="U170" i="31"/>
  <c r="U172" i="31"/>
  <c r="U173" i="31"/>
  <c r="BX16" i="23"/>
  <c r="CT16" i="23"/>
  <c r="DF16" i="23"/>
  <c r="U35" i="31"/>
  <c r="U28" i="31" s="1"/>
  <c r="U15" i="31"/>
  <c r="U10" i="31" s="1"/>
  <c r="J1254" i="106" l="1"/>
  <c r="E86" i="116" s="1"/>
  <c r="E96" i="116" s="1"/>
  <c r="CB16" i="105"/>
  <c r="BX20" i="23"/>
  <c r="BX28" i="23"/>
  <c r="BX29" i="23" s="1"/>
  <c r="J29" i="38"/>
  <c r="J30" i="38" s="1"/>
  <c r="J21" i="38"/>
  <c r="F21" i="74"/>
  <c r="F29" i="74"/>
  <c r="F30" i="74" s="1"/>
  <c r="H29" i="38"/>
  <c r="H30" i="38" s="1"/>
  <c r="H21" i="38"/>
  <c r="Z29" i="40"/>
  <c r="Z30" i="40" s="1"/>
  <c r="Z21" i="40"/>
  <c r="DF28" i="23"/>
  <c r="H21" i="37"/>
  <c r="H29" i="37"/>
  <c r="H30" i="37" s="1"/>
  <c r="D16" i="23"/>
  <c r="P17" i="35"/>
  <c r="CV16" i="23"/>
  <c r="BV16" i="23"/>
  <c r="BT16" i="23"/>
  <c r="BH16" i="23"/>
  <c r="AJ16" i="23"/>
  <c r="AL16" i="23"/>
  <c r="CL16" i="23"/>
  <c r="DR16" i="23"/>
  <c r="CX16" i="23"/>
  <c r="GJ16" i="23"/>
  <c r="R16" i="23"/>
  <c r="FL16" i="23"/>
  <c r="U177" i="31"/>
  <c r="H17" i="73"/>
  <c r="U168" i="31"/>
  <c r="X17" i="40"/>
  <c r="U160" i="31"/>
  <c r="H17" i="40"/>
  <c r="J17" i="39"/>
  <c r="U180" i="31"/>
  <c r="F17" i="73"/>
  <c r="F17" i="40"/>
  <c r="J17" i="36"/>
  <c r="F17" i="34"/>
  <c r="F17" i="39"/>
  <c r="U179" i="31"/>
  <c r="AD17" i="40"/>
  <c r="U166" i="31"/>
  <c r="T17" i="40"/>
  <c r="U162" i="31"/>
  <c r="L17" i="40"/>
  <c r="U146" i="31"/>
  <c r="H17" i="34"/>
  <c r="F17" i="38"/>
  <c r="U158" i="31"/>
  <c r="P17" i="40"/>
  <c r="U148" i="31"/>
  <c r="P17" i="34"/>
  <c r="U167" i="31"/>
  <c r="V17" i="40"/>
  <c r="N17" i="40"/>
  <c r="H17" i="74"/>
  <c r="J17" i="34"/>
  <c r="F17" i="37"/>
  <c r="N17" i="39"/>
  <c r="U182" i="31"/>
  <c r="U178" i="31"/>
  <c r="J17" i="73"/>
  <c r="J17" i="35"/>
  <c r="U165" i="31"/>
  <c r="R17" i="40"/>
  <c r="U161" i="31"/>
  <c r="J17" i="40"/>
  <c r="F17" i="36"/>
  <c r="U149" i="31"/>
  <c r="T17" i="73" l="1"/>
  <c r="M142" i="115" s="1"/>
  <c r="M143" i="115" s="1"/>
  <c r="U75" i="31"/>
  <c r="N29" i="39"/>
  <c r="N30" i="39" s="1"/>
  <c r="N21" i="39"/>
  <c r="H21" i="74"/>
  <c r="H29" i="74"/>
  <c r="H30" i="74" s="1"/>
  <c r="V29" i="40"/>
  <c r="V30" i="40" s="1"/>
  <c r="V21" i="40"/>
  <c r="P29" i="40"/>
  <c r="P30" i="40" s="1"/>
  <c r="P21" i="40"/>
  <c r="F21" i="38"/>
  <c r="F29" i="38"/>
  <c r="F30" i="38" s="1"/>
  <c r="L21" i="40"/>
  <c r="L29" i="40"/>
  <c r="L30" i="40" s="1"/>
  <c r="AD29" i="40"/>
  <c r="AD30" i="40" s="1"/>
  <c r="AD21" i="40"/>
  <c r="D17" i="41"/>
  <c r="AB17" i="34"/>
  <c r="M197" i="107" s="1"/>
  <c r="M198" i="107" s="1"/>
  <c r="F29" i="34"/>
  <c r="F21" i="34"/>
  <c r="F29" i="40"/>
  <c r="F30" i="40" s="1"/>
  <c r="F21" i="40"/>
  <c r="X29" i="40"/>
  <c r="X30" i="40" s="1"/>
  <c r="X21" i="40"/>
  <c r="R28" i="23"/>
  <c r="R29" i="23" s="1"/>
  <c r="R20" i="23"/>
  <c r="AJ20" i="23"/>
  <c r="AJ28" i="23"/>
  <c r="AJ29" i="23" s="1"/>
  <c r="R29" i="40"/>
  <c r="R30" i="40" s="1"/>
  <c r="R21" i="40"/>
  <c r="J29" i="73"/>
  <c r="J30" i="73" s="1"/>
  <c r="J21" i="73"/>
  <c r="F29" i="37"/>
  <c r="F30" i="37" s="1"/>
  <c r="F21" i="37"/>
  <c r="H17" i="41"/>
  <c r="H16" i="43" s="1"/>
  <c r="H21" i="34"/>
  <c r="H29" i="34"/>
  <c r="J29" i="39"/>
  <c r="J30" i="39" s="1"/>
  <c r="J21" i="39"/>
  <c r="CL28" i="23"/>
  <c r="CL29" i="23" s="1"/>
  <c r="CL20" i="23"/>
  <c r="AL28" i="23"/>
  <c r="AL29" i="23" s="1"/>
  <c r="AL20" i="23"/>
  <c r="BT20" i="23"/>
  <c r="BT28" i="23"/>
  <c r="BT29" i="23" s="1"/>
  <c r="P21" i="35"/>
  <c r="P29" i="35"/>
  <c r="P30" i="35" s="1"/>
  <c r="DF29" i="23"/>
  <c r="F29" i="36"/>
  <c r="F30" i="36" s="1"/>
  <c r="F21" i="36"/>
  <c r="J29" i="34"/>
  <c r="J30" i="34" s="1"/>
  <c r="J21" i="34"/>
  <c r="N29" i="40"/>
  <c r="N30" i="40" s="1"/>
  <c r="N21" i="40"/>
  <c r="P21" i="34"/>
  <c r="P29" i="34"/>
  <c r="P30" i="34" s="1"/>
  <c r="T21" i="40"/>
  <c r="T29" i="40"/>
  <c r="T30" i="40" s="1"/>
  <c r="F29" i="73"/>
  <c r="F21" i="73"/>
  <c r="H21" i="40"/>
  <c r="H29" i="40"/>
  <c r="H30" i="40" s="1"/>
  <c r="H29" i="73"/>
  <c r="H30" i="73" s="1"/>
  <c r="H21" i="73"/>
  <c r="FL28" i="23"/>
  <c r="FL29" i="23" s="1"/>
  <c r="FL20" i="23"/>
  <c r="GJ28" i="23"/>
  <c r="GJ29" i="23" s="1"/>
  <c r="GJ20" i="23"/>
  <c r="BH20" i="23"/>
  <c r="BH28" i="23"/>
  <c r="BH29" i="23" s="1"/>
  <c r="F17" i="41"/>
  <c r="F16" i="43" s="1"/>
  <c r="J29" i="40"/>
  <c r="J21" i="40"/>
  <c r="J29" i="35"/>
  <c r="J30" i="35" s="1"/>
  <c r="J21" i="35"/>
  <c r="F29" i="39"/>
  <c r="F30" i="39" s="1"/>
  <c r="F21" i="39"/>
  <c r="J29" i="36"/>
  <c r="J30" i="36" s="1"/>
  <c r="J21" i="36"/>
  <c r="CX28" i="23"/>
  <c r="CX29" i="23" s="1"/>
  <c r="CX20" i="23"/>
  <c r="DR28" i="23"/>
  <c r="DR29" i="23" s="1"/>
  <c r="DR20" i="23"/>
  <c r="BV28" i="23"/>
  <c r="BV29" i="23" s="1"/>
  <c r="BV20" i="23"/>
  <c r="CV20" i="23"/>
  <c r="CV28" i="23"/>
  <c r="CV29" i="23" s="1"/>
  <c r="BZ16" i="105"/>
  <c r="D20" i="23"/>
  <c r="F30" i="73" l="1"/>
  <c r="CB29" i="105"/>
  <c r="CB28" i="105"/>
  <c r="F21" i="41"/>
  <c r="H29" i="41"/>
  <c r="H28" i="43" s="1"/>
  <c r="H30" i="34"/>
  <c r="H30" i="41" s="1"/>
  <c r="H29" i="43" s="1"/>
  <c r="H21" i="41"/>
  <c r="H20" i="43" s="1"/>
  <c r="D16" i="43"/>
  <c r="CF16" i="105"/>
  <c r="M1253" i="106" s="1"/>
  <c r="F29" i="41"/>
  <c r="J30" i="40"/>
  <c r="F30" i="41" s="1"/>
  <c r="F30" i="34"/>
  <c r="C21" i="25"/>
  <c r="C12" i="25"/>
  <c r="M1254" i="106" l="1"/>
  <c r="H86" i="116" s="1"/>
  <c r="H96" i="116" s="1"/>
  <c r="H105" i="116" s="1"/>
  <c r="F28" i="43"/>
  <c r="F29" i="43"/>
  <c r="K16" i="29"/>
  <c r="E9" i="31"/>
  <c r="U9" i="31" l="1"/>
  <c r="U7" i="31" s="1"/>
  <c r="E7" i="31"/>
  <c r="E143" i="31" s="1"/>
  <c r="D19" i="91"/>
  <c r="J18" i="94"/>
  <c r="T20" i="94"/>
  <c r="V20" i="94"/>
  <c r="P27" i="96"/>
  <c r="P22" i="96"/>
  <c r="P21" i="96"/>
  <c r="P18" i="96"/>
  <c r="P15" i="96"/>
  <c r="P13" i="96"/>
  <c r="P10" i="96"/>
  <c r="P8" i="96"/>
  <c r="P9" i="96"/>
  <c r="P11" i="96"/>
  <c r="P12" i="96"/>
  <c r="J8" i="92"/>
  <c r="R41" i="74"/>
  <c r="E16" i="97"/>
  <c r="E17" i="97"/>
  <c r="E19" i="97" s="1"/>
  <c r="E18" i="97"/>
  <c r="E15" i="97"/>
  <c r="E7" i="97"/>
  <c r="E8" i="97"/>
  <c r="E9" i="97"/>
  <c r="E10" i="97"/>
  <c r="E11" i="97"/>
  <c r="E6" i="97"/>
  <c r="T5" i="94"/>
  <c r="U17" i="94"/>
  <c r="U16" i="94"/>
  <c r="U15" i="94"/>
  <c r="E7" i="92"/>
  <c r="F7" i="92"/>
  <c r="G7" i="92"/>
  <c r="H7" i="92"/>
  <c r="D7" i="92"/>
  <c r="J14" i="91"/>
  <c r="J13" i="91"/>
  <c r="I13" i="91"/>
  <c r="H13" i="91"/>
  <c r="I14" i="91"/>
  <c r="H14" i="91"/>
  <c r="D43" i="93"/>
  <c r="B43" i="93"/>
  <c r="E41" i="93"/>
  <c r="E40" i="93"/>
  <c r="E39" i="93"/>
  <c r="E38" i="93"/>
  <c r="E37" i="93"/>
  <c r="E36" i="93"/>
  <c r="E35" i="93"/>
  <c r="E34" i="93"/>
  <c r="E33" i="93"/>
  <c r="E32" i="93"/>
  <c r="E31" i="93"/>
  <c r="E30" i="93"/>
  <c r="E29" i="93"/>
  <c r="E28" i="93"/>
  <c r="E27" i="93"/>
  <c r="E26" i="93"/>
  <c r="E25" i="93"/>
  <c r="E24" i="93"/>
  <c r="E23" i="93"/>
  <c r="E22" i="93"/>
  <c r="E21" i="93"/>
  <c r="D20" i="93"/>
  <c r="C20" i="93"/>
  <c r="E19" i="93"/>
  <c r="E18" i="93"/>
  <c r="E17" i="93"/>
  <c r="E16" i="93"/>
  <c r="B7" i="93"/>
  <c r="R10" i="74"/>
  <c r="I134" i="114" s="1"/>
  <c r="I135" i="114" s="1"/>
  <c r="T10" i="35"/>
  <c r="I111" i="109" s="1"/>
  <c r="I112" i="109" s="1"/>
  <c r="P10" i="38"/>
  <c r="I132" i="111" s="1"/>
  <c r="I133" i="111" s="1"/>
  <c r="T10" i="37"/>
  <c r="I137" i="110" s="1"/>
  <c r="I138" i="110" s="1"/>
  <c r="AP11" i="40"/>
  <c r="J299" i="108" s="1"/>
  <c r="J300" i="108" s="1"/>
  <c r="R11" i="74"/>
  <c r="J134" i="114" s="1"/>
  <c r="J135" i="114" s="1"/>
  <c r="T11" i="37"/>
  <c r="J137" i="110" s="1"/>
  <c r="J138" i="110" s="1"/>
  <c r="K25" i="25"/>
  <c r="R12" i="74"/>
  <c r="K134" i="114" s="1"/>
  <c r="K135" i="114" s="1"/>
  <c r="R14" i="74"/>
  <c r="R15" i="74"/>
  <c r="R16" i="74"/>
  <c r="R18" i="74"/>
  <c r="N134" i="114" s="1"/>
  <c r="N135" i="114" s="1"/>
  <c r="R19" i="74"/>
  <c r="O134" i="114" s="1"/>
  <c r="O135" i="114" s="1"/>
  <c r="R20" i="74"/>
  <c r="R23" i="74"/>
  <c r="R24" i="74"/>
  <c r="R25" i="74"/>
  <c r="R26" i="74"/>
  <c r="R27" i="74"/>
  <c r="R31" i="74"/>
  <c r="Q134" i="114" s="1"/>
  <c r="Q135" i="114" s="1"/>
  <c r="R32" i="74"/>
  <c r="R134" i="114" s="1"/>
  <c r="R135" i="114" s="1"/>
  <c r="R33" i="74"/>
  <c r="S134" i="114" s="1"/>
  <c r="S135" i="114" s="1"/>
  <c r="R34" i="74"/>
  <c r="T134" i="114" s="1"/>
  <c r="T135" i="114" s="1"/>
  <c r="R35" i="74"/>
  <c r="U134" i="114" s="1"/>
  <c r="U135" i="114" s="1"/>
  <c r="R36" i="74"/>
  <c r="V134" i="114" s="1"/>
  <c r="V135" i="114" s="1"/>
  <c r="R37" i="74"/>
  <c r="W134" i="114" s="1"/>
  <c r="W135" i="114" s="1"/>
  <c r="R40" i="74"/>
  <c r="R42" i="74"/>
  <c r="R45" i="74"/>
  <c r="R46" i="74"/>
  <c r="R50" i="74"/>
  <c r="R51" i="74"/>
  <c r="R9" i="74"/>
  <c r="H134" i="114" s="1"/>
  <c r="H135" i="114" s="1"/>
  <c r="T12" i="37"/>
  <c r="K137" i="110" s="1"/>
  <c r="K138" i="110" s="1"/>
  <c r="T14" i="37"/>
  <c r="T15" i="37"/>
  <c r="T16" i="37"/>
  <c r="T18" i="37"/>
  <c r="N137" i="110" s="1"/>
  <c r="N138" i="110" s="1"/>
  <c r="T19" i="37"/>
  <c r="O137" i="110" s="1"/>
  <c r="O138" i="110" s="1"/>
  <c r="T20" i="37"/>
  <c r="T23" i="37"/>
  <c r="T24" i="37"/>
  <c r="T25" i="37"/>
  <c r="T26" i="37"/>
  <c r="T27" i="37"/>
  <c r="T31" i="37"/>
  <c r="Q137" i="110" s="1"/>
  <c r="Q138" i="110" s="1"/>
  <c r="T32" i="37"/>
  <c r="R137" i="110" s="1"/>
  <c r="R138" i="110" s="1"/>
  <c r="T33" i="37"/>
  <c r="S137" i="110" s="1"/>
  <c r="S138" i="110" s="1"/>
  <c r="T34" i="37"/>
  <c r="T137" i="110" s="1"/>
  <c r="T138" i="110" s="1"/>
  <c r="T35" i="37"/>
  <c r="U137" i="110" s="1"/>
  <c r="U138" i="110" s="1"/>
  <c r="T36" i="37"/>
  <c r="V137" i="110" s="1"/>
  <c r="V138" i="110" s="1"/>
  <c r="T37" i="37"/>
  <c r="W137" i="110" s="1"/>
  <c r="W138" i="110" s="1"/>
  <c r="T40" i="37"/>
  <c r="T41" i="37"/>
  <c r="T42" i="37"/>
  <c r="T45" i="37"/>
  <c r="T46" i="37"/>
  <c r="T50" i="37"/>
  <c r="T51" i="37"/>
  <c r="T9" i="37"/>
  <c r="H137" i="110" s="1"/>
  <c r="H138" i="110" s="1"/>
  <c r="U143" i="31"/>
  <c r="F4" i="98"/>
  <c r="H19" i="97"/>
  <c r="H20" i="97" s="1"/>
  <c r="B12" i="97"/>
  <c r="C12" i="97"/>
  <c r="P25" i="96"/>
  <c r="L26" i="96"/>
  <c r="L28" i="96" s="1"/>
  <c r="P24" i="96"/>
  <c r="J26" i="96"/>
  <c r="J28" i="96" s="1"/>
  <c r="P23" i="96"/>
  <c r="P20" i="96"/>
  <c r="E26" i="96"/>
  <c r="E28" i="96" s="1"/>
  <c r="M26" i="96"/>
  <c r="M28" i="96" s="1"/>
  <c r="K26" i="96"/>
  <c r="K28" i="96" s="1"/>
  <c r="F26" i="96"/>
  <c r="F28" i="96" s="1"/>
  <c r="J14" i="96"/>
  <c r="J16" i="96" s="1"/>
  <c r="F14" i="96"/>
  <c r="F16" i="96" s="1"/>
  <c r="K14" i="96"/>
  <c r="K16" i="96" s="1"/>
  <c r="G14" i="96"/>
  <c r="G16" i="96" s="1"/>
  <c r="L14" i="96"/>
  <c r="L16" i="96" s="1"/>
  <c r="M14" i="96"/>
  <c r="M16" i="96" s="1"/>
  <c r="M29" i="96" s="1"/>
  <c r="I14" i="96"/>
  <c r="I16" i="96" s="1"/>
  <c r="R6" i="96"/>
  <c r="T45" i="94"/>
  <c r="T44" i="94"/>
  <c r="T43" i="94"/>
  <c r="T42" i="94"/>
  <c r="T41" i="94"/>
  <c r="T40" i="94"/>
  <c r="T39" i="94"/>
  <c r="S35" i="94"/>
  <c r="R35" i="94"/>
  <c r="Q35" i="94"/>
  <c r="P35" i="94"/>
  <c r="O35" i="94"/>
  <c r="N35" i="94"/>
  <c r="M35" i="94"/>
  <c r="L35" i="94"/>
  <c r="K35" i="94"/>
  <c r="J35" i="94"/>
  <c r="I35" i="94"/>
  <c r="H35" i="94"/>
  <c r="G35" i="94"/>
  <c r="F35" i="94"/>
  <c r="E35" i="94"/>
  <c r="D35" i="94"/>
  <c r="C35" i="94"/>
  <c r="S31" i="94"/>
  <c r="R31" i="94"/>
  <c r="Q31" i="94"/>
  <c r="P31" i="94"/>
  <c r="O31" i="94"/>
  <c r="N31" i="94"/>
  <c r="M31" i="94"/>
  <c r="L31" i="94"/>
  <c r="K31" i="94"/>
  <c r="J31" i="94"/>
  <c r="I31" i="94"/>
  <c r="H31" i="94"/>
  <c r="G31" i="94"/>
  <c r="F31" i="94"/>
  <c r="E31" i="94"/>
  <c r="D31" i="94"/>
  <c r="C31" i="94"/>
  <c r="T28" i="94"/>
  <c r="T27" i="94"/>
  <c r="T26" i="94"/>
  <c r="T25" i="94"/>
  <c r="T24" i="94"/>
  <c r="T23" i="94"/>
  <c r="T22" i="94"/>
  <c r="V21" i="94"/>
  <c r="T21" i="94"/>
  <c r="V19" i="94"/>
  <c r="T19" i="94"/>
  <c r="S18" i="94"/>
  <c r="R18" i="94"/>
  <c r="Q18" i="94"/>
  <c r="P18" i="94"/>
  <c r="O18" i="94"/>
  <c r="N18" i="94"/>
  <c r="M18" i="94"/>
  <c r="L18" i="94"/>
  <c r="K18" i="94"/>
  <c r="I18" i="94"/>
  <c r="H18" i="94"/>
  <c r="G18" i="94"/>
  <c r="F18" i="94"/>
  <c r="E18" i="94"/>
  <c r="D18" i="94"/>
  <c r="C18" i="94"/>
  <c r="V17" i="94"/>
  <c r="T17" i="94"/>
  <c r="V16" i="94"/>
  <c r="T16" i="94"/>
  <c r="V15" i="94"/>
  <c r="T15" i="94"/>
  <c r="S14" i="94"/>
  <c r="R14" i="94"/>
  <c r="Q14" i="94"/>
  <c r="P14" i="94"/>
  <c r="O14" i="94"/>
  <c r="N14" i="94"/>
  <c r="M14" i="94"/>
  <c r="L14" i="94"/>
  <c r="K14" i="94"/>
  <c r="J14" i="94"/>
  <c r="I14" i="94"/>
  <c r="H14" i="94"/>
  <c r="G14" i="94"/>
  <c r="G13" i="94" s="1"/>
  <c r="G12" i="94" s="1"/>
  <c r="F14" i="94"/>
  <c r="F13" i="94" s="1"/>
  <c r="F12" i="94" s="1"/>
  <c r="E14" i="94"/>
  <c r="D14" i="94"/>
  <c r="C14" i="94"/>
  <c r="T9" i="94"/>
  <c r="T8" i="94"/>
  <c r="T7" i="94"/>
  <c r="T4" i="94"/>
  <c r="C17" i="92"/>
  <c r="E17" i="92"/>
  <c r="I9" i="92"/>
  <c r="I8" i="92"/>
  <c r="D38" i="91"/>
  <c r="D47" i="91"/>
  <c r="D46" i="91"/>
  <c r="D35" i="91"/>
  <c r="I10" i="91"/>
  <c r="J10" i="91" s="1"/>
  <c r="D25" i="91"/>
  <c r="I7" i="91"/>
  <c r="J7" i="91" s="1"/>
  <c r="D24" i="90"/>
  <c r="D23" i="90"/>
  <c r="D22" i="90"/>
  <c r="R51" i="23"/>
  <c r="F51" i="23"/>
  <c r="D51" i="23"/>
  <c r="P51" i="23"/>
  <c r="O27" i="24"/>
  <c r="D38" i="34"/>
  <c r="AB38" i="34" s="1"/>
  <c r="D22" i="34"/>
  <c r="AB22" i="34" s="1"/>
  <c r="P197" i="107" s="1"/>
  <c r="P198" i="107" s="1"/>
  <c r="X7" i="31"/>
  <c r="X143" i="31" s="1"/>
  <c r="X184" i="31" s="1"/>
  <c r="Y7" i="31"/>
  <c r="Y143" i="31" s="1"/>
  <c r="Y184" i="31" s="1"/>
  <c r="E21" i="25"/>
  <c r="E12" i="25"/>
  <c r="E6" i="25"/>
  <c r="E74" i="25" s="1"/>
  <c r="K130" i="27"/>
  <c r="P51" i="38"/>
  <c r="P12" i="38"/>
  <c r="K132" i="111" s="1"/>
  <c r="K133" i="111" s="1"/>
  <c r="P14" i="38"/>
  <c r="P15" i="38"/>
  <c r="P16" i="38"/>
  <c r="P18" i="38"/>
  <c r="N132" i="111" s="1"/>
  <c r="N133" i="111" s="1"/>
  <c r="P19" i="38"/>
  <c r="O132" i="111" s="1"/>
  <c r="O133" i="111" s="1"/>
  <c r="P20" i="38"/>
  <c r="P23" i="38"/>
  <c r="P24" i="38"/>
  <c r="P25" i="38"/>
  <c r="P26" i="38"/>
  <c r="P27" i="38"/>
  <c r="P31" i="38"/>
  <c r="Q132" i="111" s="1"/>
  <c r="Q133" i="111" s="1"/>
  <c r="P32" i="38"/>
  <c r="R132" i="111" s="1"/>
  <c r="R133" i="111" s="1"/>
  <c r="P33" i="38"/>
  <c r="S132" i="111" s="1"/>
  <c r="S133" i="111" s="1"/>
  <c r="P34" i="38"/>
  <c r="T132" i="111" s="1"/>
  <c r="T133" i="111" s="1"/>
  <c r="P35" i="38"/>
  <c r="U132" i="111" s="1"/>
  <c r="U133" i="111" s="1"/>
  <c r="P36" i="38"/>
  <c r="V132" i="111" s="1"/>
  <c r="V133" i="111" s="1"/>
  <c r="P37" i="38"/>
  <c r="W132" i="111" s="1"/>
  <c r="W133" i="111" s="1"/>
  <c r="P40" i="38"/>
  <c r="P42" i="38"/>
  <c r="P45" i="38"/>
  <c r="P46" i="38"/>
  <c r="P9" i="38"/>
  <c r="H132" i="111" s="1"/>
  <c r="H133" i="111" s="1"/>
  <c r="H51" i="41"/>
  <c r="H50" i="43" s="1"/>
  <c r="F53" i="23"/>
  <c r="P53" i="23"/>
  <c r="R53" i="23"/>
  <c r="T53" i="23"/>
  <c r="F52" i="23"/>
  <c r="P52" i="23"/>
  <c r="R52" i="23"/>
  <c r="T52" i="23"/>
  <c r="AV12" i="23"/>
  <c r="BB12" i="23"/>
  <c r="BJ12" i="23"/>
  <c r="BJ20" i="23" s="1"/>
  <c r="BP12" i="23"/>
  <c r="BP20" i="23" s="1"/>
  <c r="DF12" i="23"/>
  <c r="DF20" i="23" s="1"/>
  <c r="DN12" i="23"/>
  <c r="DN20" i="23" s="1"/>
  <c r="GZ12" i="23"/>
  <c r="GZ20" i="23" s="1"/>
  <c r="R10" i="39"/>
  <c r="I94" i="113" s="1"/>
  <c r="R11" i="39"/>
  <c r="J94" i="113" s="1"/>
  <c r="R12" i="39"/>
  <c r="K94" i="113" s="1"/>
  <c r="R14" i="39"/>
  <c r="R15" i="39"/>
  <c r="R16" i="39"/>
  <c r="R18" i="39"/>
  <c r="N94" i="113" s="1"/>
  <c r="R19" i="39"/>
  <c r="O94" i="113" s="1"/>
  <c r="R20" i="39"/>
  <c r="R23" i="39"/>
  <c r="R24" i="39"/>
  <c r="R25" i="39"/>
  <c r="R26" i="39"/>
  <c r="R27" i="39"/>
  <c r="R31" i="39"/>
  <c r="Q94" i="113" s="1"/>
  <c r="R32" i="39"/>
  <c r="R94" i="113" s="1"/>
  <c r="R33" i="39"/>
  <c r="S94" i="113" s="1"/>
  <c r="R34" i="39"/>
  <c r="T94" i="113" s="1"/>
  <c r="R35" i="39"/>
  <c r="U94" i="113" s="1"/>
  <c r="R36" i="39"/>
  <c r="V94" i="113" s="1"/>
  <c r="R37" i="39"/>
  <c r="W94" i="113" s="1"/>
  <c r="R40" i="39"/>
  <c r="R41" i="39"/>
  <c r="R42" i="39"/>
  <c r="R45" i="39"/>
  <c r="R46" i="39"/>
  <c r="R51" i="39"/>
  <c r="R9" i="39"/>
  <c r="H94" i="113" s="1"/>
  <c r="AP9" i="40"/>
  <c r="H299" i="108" s="1"/>
  <c r="H300" i="108" s="1"/>
  <c r="U181" i="31"/>
  <c r="U144" i="31" s="1"/>
  <c r="U183" i="31" s="1"/>
  <c r="G130" i="27"/>
  <c r="AP12" i="40"/>
  <c r="K299" i="108" s="1"/>
  <c r="K300" i="108" s="1"/>
  <c r="AP14" i="40"/>
  <c r="AP15" i="40"/>
  <c r="AP16" i="40"/>
  <c r="AP18" i="40"/>
  <c r="N299" i="108" s="1"/>
  <c r="N300" i="108" s="1"/>
  <c r="AP19" i="40"/>
  <c r="O299" i="108" s="1"/>
  <c r="O300" i="108" s="1"/>
  <c r="AP20" i="40"/>
  <c r="AP23" i="40"/>
  <c r="AP24" i="40"/>
  <c r="AP25" i="40"/>
  <c r="AP26" i="40"/>
  <c r="AP27" i="40"/>
  <c r="AP31" i="40"/>
  <c r="Q299" i="108" s="1"/>
  <c r="Q300" i="108" s="1"/>
  <c r="AP32" i="40"/>
  <c r="R299" i="108" s="1"/>
  <c r="R300" i="108" s="1"/>
  <c r="AP33" i="40"/>
  <c r="S299" i="108" s="1"/>
  <c r="S300" i="108" s="1"/>
  <c r="AP34" i="40"/>
  <c r="T299" i="108" s="1"/>
  <c r="T300" i="108" s="1"/>
  <c r="AP35" i="40"/>
  <c r="U299" i="108" s="1"/>
  <c r="U300" i="108" s="1"/>
  <c r="AP36" i="40"/>
  <c r="V299" i="108" s="1"/>
  <c r="V300" i="108" s="1"/>
  <c r="AP37" i="40"/>
  <c r="W299" i="108" s="1"/>
  <c r="W300" i="108" s="1"/>
  <c r="AP40" i="40"/>
  <c r="AP41" i="40"/>
  <c r="AP42" i="40"/>
  <c r="AP45" i="40"/>
  <c r="AP46" i="40"/>
  <c r="D13" i="40"/>
  <c r="AA152" i="31"/>
  <c r="AA154" i="31"/>
  <c r="AB156" i="31"/>
  <c r="AC156" i="31" s="1"/>
  <c r="AB166" i="31"/>
  <c r="AC166" i="31" s="1"/>
  <c r="AB172" i="31"/>
  <c r="AC172" i="31" s="1"/>
  <c r="AA173" i="31"/>
  <c r="AA182" i="31"/>
  <c r="AB78" i="31"/>
  <c r="AC78" i="31" s="1"/>
  <c r="AB98" i="31"/>
  <c r="AC98" i="31" s="1"/>
  <c r="G27" i="89"/>
  <c r="I130" i="27"/>
  <c r="T12" i="35"/>
  <c r="K111" i="109" s="1"/>
  <c r="K112" i="109" s="1"/>
  <c r="T14" i="35"/>
  <c r="T15" i="35"/>
  <c r="T16" i="35"/>
  <c r="T18" i="35"/>
  <c r="N111" i="109" s="1"/>
  <c r="N112" i="109" s="1"/>
  <c r="T19" i="35"/>
  <c r="O111" i="109" s="1"/>
  <c r="O112" i="109" s="1"/>
  <c r="T20" i="35"/>
  <c r="T23" i="35"/>
  <c r="T24" i="35"/>
  <c r="T25" i="35"/>
  <c r="T26" i="35"/>
  <c r="T27" i="35"/>
  <c r="T31" i="35"/>
  <c r="Q111" i="109" s="1"/>
  <c r="Q112" i="109" s="1"/>
  <c r="T32" i="35"/>
  <c r="R111" i="109" s="1"/>
  <c r="R112" i="109" s="1"/>
  <c r="T33" i="35"/>
  <c r="S111" i="109" s="1"/>
  <c r="S112" i="109" s="1"/>
  <c r="T34" i="35"/>
  <c r="T111" i="109" s="1"/>
  <c r="T112" i="109" s="1"/>
  <c r="T35" i="35"/>
  <c r="U111" i="109" s="1"/>
  <c r="U112" i="109" s="1"/>
  <c r="T36" i="35"/>
  <c r="V111" i="109" s="1"/>
  <c r="V112" i="109" s="1"/>
  <c r="T37" i="35"/>
  <c r="W111" i="109" s="1"/>
  <c r="W112" i="109" s="1"/>
  <c r="T40" i="35"/>
  <c r="T41" i="35"/>
  <c r="T42" i="35"/>
  <c r="T45" i="35"/>
  <c r="T46" i="35"/>
  <c r="T9" i="35"/>
  <c r="H111" i="109" s="1"/>
  <c r="H112" i="109" s="1"/>
  <c r="N12" i="36"/>
  <c r="K147" i="112" s="1"/>
  <c r="K148" i="112" s="1"/>
  <c r="N14" i="36"/>
  <c r="N15" i="36"/>
  <c r="N16" i="36"/>
  <c r="N18" i="36"/>
  <c r="N147" i="112" s="1"/>
  <c r="N148" i="112" s="1"/>
  <c r="N19" i="36"/>
  <c r="O147" i="112" s="1"/>
  <c r="O148" i="112" s="1"/>
  <c r="N20" i="36"/>
  <c r="N23" i="36"/>
  <c r="N24" i="36"/>
  <c r="N25" i="36"/>
  <c r="N26" i="36"/>
  <c r="N27" i="36"/>
  <c r="N31" i="36"/>
  <c r="Q147" i="112" s="1"/>
  <c r="Q148" i="112" s="1"/>
  <c r="N32" i="36"/>
  <c r="R147" i="112" s="1"/>
  <c r="R148" i="112" s="1"/>
  <c r="N33" i="36"/>
  <c r="S147" i="112" s="1"/>
  <c r="S148" i="112" s="1"/>
  <c r="N34" i="36"/>
  <c r="T147" i="112" s="1"/>
  <c r="T148" i="112" s="1"/>
  <c r="N35" i="36"/>
  <c r="U147" i="112" s="1"/>
  <c r="U148" i="112" s="1"/>
  <c r="N36" i="36"/>
  <c r="V147" i="112" s="1"/>
  <c r="V148" i="112" s="1"/>
  <c r="N37" i="36"/>
  <c r="W147" i="112" s="1"/>
  <c r="W148" i="112" s="1"/>
  <c r="N40" i="36"/>
  <c r="N41" i="36"/>
  <c r="N42" i="36"/>
  <c r="N45" i="36"/>
  <c r="N46" i="36"/>
  <c r="D46" i="23"/>
  <c r="D27" i="23"/>
  <c r="L16" i="29"/>
  <c r="C47" i="25"/>
  <c r="IK19" i="23"/>
  <c r="P19" i="43"/>
  <c r="J27" i="89"/>
  <c r="I27" i="89"/>
  <c r="E27" i="89"/>
  <c r="J21" i="89"/>
  <c r="I21" i="89"/>
  <c r="G21" i="89"/>
  <c r="E21" i="89"/>
  <c r="J8" i="89"/>
  <c r="I8" i="89"/>
  <c r="G8" i="89"/>
  <c r="E8" i="89"/>
  <c r="F21" i="29"/>
  <c r="E130" i="27"/>
  <c r="D19" i="34"/>
  <c r="C71" i="25"/>
  <c r="P50" i="38"/>
  <c r="R50" i="39"/>
  <c r="T50" i="35"/>
  <c r="C51" i="25"/>
  <c r="D13" i="74"/>
  <c r="D28" i="74" s="1"/>
  <c r="D22" i="74"/>
  <c r="D29" i="74"/>
  <c r="D38" i="74"/>
  <c r="D13" i="73"/>
  <c r="T13" i="73" s="1"/>
  <c r="L142" i="115" s="1"/>
  <c r="L143" i="115" s="1"/>
  <c r="D22" i="73"/>
  <c r="T22" i="73" s="1"/>
  <c r="P142" i="115" s="1"/>
  <c r="P143" i="115" s="1"/>
  <c r="D29" i="73"/>
  <c r="T29" i="73" s="1"/>
  <c r="D38" i="73"/>
  <c r="D13" i="35"/>
  <c r="D28" i="35" s="1"/>
  <c r="D13" i="39"/>
  <c r="D28" i="39" s="1"/>
  <c r="D13" i="36"/>
  <c r="D21" i="36" s="1"/>
  <c r="D13" i="38"/>
  <c r="D21" i="38" s="1"/>
  <c r="D13" i="37"/>
  <c r="D28" i="37" s="1"/>
  <c r="D13" i="34"/>
  <c r="AB13" i="34" s="1"/>
  <c r="L197" i="107" s="1"/>
  <c r="L198" i="107" s="1"/>
  <c r="T51" i="23"/>
  <c r="AA60" i="31"/>
  <c r="D29" i="35"/>
  <c r="D29" i="40"/>
  <c r="D29" i="39"/>
  <c r="D29" i="36"/>
  <c r="D29" i="38"/>
  <c r="D29" i="37"/>
  <c r="D38" i="40"/>
  <c r="D22" i="40"/>
  <c r="D38" i="39"/>
  <c r="D22" i="39"/>
  <c r="D38" i="38"/>
  <c r="D22" i="38"/>
  <c r="D22" i="37"/>
  <c r="D38" i="36"/>
  <c r="D22" i="36"/>
  <c r="D38" i="35"/>
  <c r="D22" i="35"/>
  <c r="D47" i="23"/>
  <c r="BZ47" i="105" s="1"/>
  <c r="CF47" i="105" s="1"/>
  <c r="D52" i="23"/>
  <c r="E19" i="27"/>
  <c r="E17" i="27"/>
  <c r="HY53" i="23"/>
  <c r="E22" i="28"/>
  <c r="AB149" i="31"/>
  <c r="AC149" i="31" s="1"/>
  <c r="IK17" i="23"/>
  <c r="N11" i="36"/>
  <c r="J147" i="112" s="1"/>
  <c r="J148" i="112" s="1"/>
  <c r="N10" i="36"/>
  <c r="I147" i="112" s="1"/>
  <c r="I148" i="112" s="1"/>
  <c r="T11" i="35"/>
  <c r="J111" i="109" s="1"/>
  <c r="J112" i="109" s="1"/>
  <c r="IK11" i="23"/>
  <c r="IK16" i="23"/>
  <c r="IK10" i="23"/>
  <c r="IK18" i="23" s="1"/>
  <c r="IJ21" i="23"/>
  <c r="IJ30" i="23"/>
  <c r="AB148" i="31"/>
  <c r="AC148" i="31" s="1"/>
  <c r="AP50" i="40"/>
  <c r="N50" i="36"/>
  <c r="D16" i="91"/>
  <c r="D14" i="96"/>
  <c r="D16" i="96" s="1"/>
  <c r="G26" i="96"/>
  <c r="G28" i="96" s="1"/>
  <c r="H14" i="96"/>
  <c r="H16" i="96" s="1"/>
  <c r="E14" i="96"/>
  <c r="E16" i="96" s="1"/>
  <c r="P30" i="94"/>
  <c r="P29" i="94" s="1"/>
  <c r="I26" i="96"/>
  <c r="I28" i="96" s="1"/>
  <c r="I10" i="92"/>
  <c r="B19" i="97"/>
  <c r="P11" i="38"/>
  <c r="J132" i="111" s="1"/>
  <c r="J133" i="111" s="1"/>
  <c r="N9" i="36"/>
  <c r="H147" i="112" s="1"/>
  <c r="H148" i="112" s="1"/>
  <c r="AP10" i="40"/>
  <c r="I299" i="108" s="1"/>
  <c r="I300" i="108" s="1"/>
  <c r="D30" i="94"/>
  <c r="D29" i="94" s="1"/>
  <c r="D26" i="91"/>
  <c r="H30" i="94"/>
  <c r="H29" i="94" s="1"/>
  <c r="N26" i="96"/>
  <c r="N28" i="96" s="1"/>
  <c r="H26" i="96"/>
  <c r="H28" i="96" s="1"/>
  <c r="P19" i="96"/>
  <c r="D26" i="96"/>
  <c r="D28" i="96" s="1"/>
  <c r="G8" i="97"/>
  <c r="I12" i="92"/>
  <c r="AB167" i="31"/>
  <c r="AC167" i="31" s="1"/>
  <c r="AB182" i="31"/>
  <c r="AC182" i="31" s="1"/>
  <c r="AB165" i="31"/>
  <c r="AC165" i="31" s="1"/>
  <c r="AB160" i="31"/>
  <c r="AC160" i="31" s="1"/>
  <c r="AB163" i="31"/>
  <c r="AC163" i="31" s="1"/>
  <c r="AA164" i="31"/>
  <c r="AB177" i="31"/>
  <c r="AC177" i="31" s="1"/>
  <c r="P41" i="38"/>
  <c r="AA145" i="31"/>
  <c r="AB145" i="31"/>
  <c r="AC145" i="31" s="1"/>
  <c r="F29" i="96"/>
  <c r="P7" i="96"/>
  <c r="I29" i="96" l="1"/>
  <c r="T95" i="113"/>
  <c r="W95" i="113"/>
  <c r="I95" i="113"/>
  <c r="H95" i="113"/>
  <c r="V95" i="113"/>
  <c r="R95" i="113"/>
  <c r="O95" i="113"/>
  <c r="J95" i="113"/>
  <c r="U95" i="113"/>
  <c r="Q95" i="113"/>
  <c r="N95" i="113"/>
  <c r="K95" i="113"/>
  <c r="J7" i="92"/>
  <c r="D38" i="41"/>
  <c r="D37" i="43" s="1"/>
  <c r="T38" i="73"/>
  <c r="CB12" i="105"/>
  <c r="F12" i="43" s="1"/>
  <c r="E132" i="27"/>
  <c r="U184" i="31"/>
  <c r="F186" i="31" s="1"/>
  <c r="C90" i="94"/>
  <c r="BB20" i="23"/>
  <c r="D22" i="41"/>
  <c r="D29" i="34"/>
  <c r="AB29" i="34" s="1"/>
  <c r="D44" i="34" s="1"/>
  <c r="AB19" i="34"/>
  <c r="O197" i="107" s="1"/>
  <c r="O198" i="107" s="1"/>
  <c r="D19" i="41"/>
  <c r="D18" i="43" s="1"/>
  <c r="D53" i="23"/>
  <c r="D54" i="23" s="1"/>
  <c r="BZ46" i="105"/>
  <c r="CF46" i="105" s="1"/>
  <c r="AV20" i="23"/>
  <c r="CB20" i="105" s="1"/>
  <c r="E26" i="26"/>
  <c r="Y26" i="26" s="1"/>
  <c r="C89" i="94"/>
  <c r="D28" i="73"/>
  <c r="T28" i="73" s="1"/>
  <c r="D13" i="41"/>
  <c r="J16" i="41"/>
  <c r="J29" i="96"/>
  <c r="E20" i="93"/>
  <c r="D48" i="91"/>
  <c r="D21" i="73"/>
  <c r="T21" i="73" s="1"/>
  <c r="D17" i="92"/>
  <c r="D13" i="94"/>
  <c r="D12" i="94" s="1"/>
  <c r="D46" i="94" s="1"/>
  <c r="E38" i="24"/>
  <c r="R30" i="94"/>
  <c r="R29" i="94" s="1"/>
  <c r="E13" i="94"/>
  <c r="E12" i="94" s="1"/>
  <c r="M30" i="94"/>
  <c r="M29" i="94" s="1"/>
  <c r="D21" i="74"/>
  <c r="D21" i="37"/>
  <c r="D30" i="39"/>
  <c r="M13" i="94"/>
  <c r="M12" i="94" s="1"/>
  <c r="E42" i="93"/>
  <c r="E29" i="96"/>
  <c r="E43" i="93"/>
  <c r="O7" i="24"/>
  <c r="U7" i="24" s="1"/>
  <c r="V7" i="24" s="1"/>
  <c r="P13" i="94"/>
  <c r="P12" i="94" s="1"/>
  <c r="P46" i="94" s="1"/>
  <c r="I11" i="92"/>
  <c r="T14" i="94"/>
  <c r="V18" i="94"/>
  <c r="T18" i="94"/>
  <c r="T31" i="94"/>
  <c r="I30" i="94"/>
  <c r="I29" i="94" s="1"/>
  <c r="Q30" i="94"/>
  <c r="Q29" i="94" s="1"/>
  <c r="T35" i="94"/>
  <c r="L29" i="96"/>
  <c r="P22" i="38"/>
  <c r="P132" i="111" s="1"/>
  <c r="P133" i="111" s="1"/>
  <c r="J13" i="94"/>
  <c r="J12" i="94" s="1"/>
  <c r="P38" i="38"/>
  <c r="C74" i="25"/>
  <c r="C75" i="25" s="1"/>
  <c r="O26" i="96"/>
  <c r="O28" i="96" s="1"/>
  <c r="G29" i="96"/>
  <c r="G17" i="92"/>
  <c r="S13" i="94"/>
  <c r="S12" i="94" s="1"/>
  <c r="G30" i="94"/>
  <c r="G29" i="94" s="1"/>
  <c r="G46" i="94" s="1"/>
  <c r="I7" i="92"/>
  <c r="D27" i="91"/>
  <c r="D29" i="96"/>
  <c r="L30" i="94"/>
  <c r="L29" i="94" s="1"/>
  <c r="N30" i="94"/>
  <c r="N29" i="94" s="1"/>
  <c r="DX17" i="23"/>
  <c r="D28" i="34"/>
  <c r="R13" i="39"/>
  <c r="L94" i="113" s="1"/>
  <c r="D21" i="34"/>
  <c r="D30" i="35"/>
  <c r="D30" i="74"/>
  <c r="O9" i="24"/>
  <c r="ED17" i="23"/>
  <c r="J18" i="91"/>
  <c r="J23" i="41"/>
  <c r="F30" i="94"/>
  <c r="F29" i="94" s="1"/>
  <c r="F46" i="94" s="1"/>
  <c r="E12" i="97"/>
  <c r="H18" i="91"/>
  <c r="D21" i="39"/>
  <c r="T13" i="37"/>
  <c r="L137" i="110" s="1"/>
  <c r="L138" i="110" s="1"/>
  <c r="IK20" i="23"/>
  <c r="J36" i="41"/>
  <c r="I18" i="91"/>
  <c r="J11" i="41"/>
  <c r="J14" i="41"/>
  <c r="J40" i="41"/>
  <c r="J27" i="41"/>
  <c r="J35" i="41"/>
  <c r="J25" i="41"/>
  <c r="J46" i="41"/>
  <c r="J26" i="41"/>
  <c r="J32" i="41"/>
  <c r="F54" i="23"/>
  <c r="T13" i="35"/>
  <c r="L111" i="109" s="1"/>
  <c r="L112" i="109" s="1"/>
  <c r="D21" i="35"/>
  <c r="G132" i="27"/>
  <c r="E30" i="94"/>
  <c r="E29" i="94" s="1"/>
  <c r="O14" i="96"/>
  <c r="O16" i="96" s="1"/>
  <c r="T38" i="37"/>
  <c r="J34" i="43"/>
  <c r="D30" i="37"/>
  <c r="J18" i="41"/>
  <c r="O13" i="94"/>
  <c r="O12" i="94" s="1"/>
  <c r="J30" i="94"/>
  <c r="J29" i="94" s="1"/>
  <c r="C30" i="94"/>
  <c r="C29" i="94" s="1"/>
  <c r="P14" i="96"/>
  <c r="P16" i="96" s="1"/>
  <c r="D28" i="38"/>
  <c r="D30" i="38" s="1"/>
  <c r="D28" i="36"/>
  <c r="D30" i="36" s="1"/>
  <c r="H29" i="96"/>
  <c r="J42" i="41"/>
  <c r="H17" i="92"/>
  <c r="D48" i="23"/>
  <c r="BZ48" i="105" s="1"/>
  <c r="CF48" i="105" s="1"/>
  <c r="CT17" i="23"/>
  <c r="D30" i="73"/>
  <c r="T30" i="73" s="1"/>
  <c r="I132" i="27"/>
  <c r="I134" i="27" s="1"/>
  <c r="J37" i="41"/>
  <c r="R38" i="74"/>
  <c r="AP38" i="40"/>
  <c r="J31" i="41"/>
  <c r="J12" i="41"/>
  <c r="R28" i="39"/>
  <c r="J50" i="41"/>
  <c r="DW11" i="41"/>
  <c r="J34" i="41"/>
  <c r="J10" i="41"/>
  <c r="T54" i="23"/>
  <c r="P54" i="23"/>
  <c r="AB168" i="31"/>
  <c r="AC168" i="31" s="1"/>
  <c r="AA172" i="31"/>
  <c r="AB150" i="31"/>
  <c r="AC150" i="31" s="1"/>
  <c r="AB164" i="31"/>
  <c r="AC164" i="31" s="1"/>
  <c r="AB60" i="31"/>
  <c r="AC60" i="31" s="1"/>
  <c r="AD60" i="31" s="1"/>
  <c r="AB152" i="31"/>
  <c r="AB173" i="31"/>
  <c r="AC173" i="31" s="1"/>
  <c r="AB171" i="31"/>
  <c r="AC171" i="31" s="1"/>
  <c r="AA169" i="31"/>
  <c r="AA146" i="31"/>
  <c r="AA155" i="31"/>
  <c r="AB155" i="31"/>
  <c r="AC155" i="31" s="1"/>
  <c r="AA170" i="31"/>
  <c r="AB170" i="31"/>
  <c r="AC170" i="31" s="1"/>
  <c r="AB153" i="31"/>
  <c r="AC153" i="31" s="1"/>
  <c r="AB146" i="31"/>
  <c r="AC146" i="31" s="1"/>
  <c r="AB159" i="31"/>
  <c r="AC159" i="31" s="1"/>
  <c r="AA149" i="31"/>
  <c r="AA156" i="31"/>
  <c r="AA150" i="31"/>
  <c r="AB154" i="31"/>
  <c r="AC154" i="31" s="1"/>
  <c r="K132" i="27"/>
  <c r="D28" i="23"/>
  <c r="D29" i="23" s="1"/>
  <c r="R17" i="39"/>
  <c r="M94" i="113" s="1"/>
  <c r="D28" i="40"/>
  <c r="D30" i="40" s="1"/>
  <c r="D21" i="40"/>
  <c r="J45" i="41"/>
  <c r="R17" i="74"/>
  <c r="M134" i="114" s="1"/>
  <c r="M135" i="114" s="1"/>
  <c r="T28" i="37"/>
  <c r="D43" i="37" s="1"/>
  <c r="AA168" i="31"/>
  <c r="P26" i="96"/>
  <c r="P28" i="96" s="1"/>
  <c r="AB169" i="31"/>
  <c r="AC169" i="31" s="1"/>
  <c r="AP13" i="40"/>
  <c r="L299" i="108" s="1"/>
  <c r="L300" i="108" s="1"/>
  <c r="T17" i="37"/>
  <c r="M137" i="110" s="1"/>
  <c r="M138" i="110" s="1"/>
  <c r="AA176" i="31"/>
  <c r="AB176" i="31"/>
  <c r="AC176" i="31" s="1"/>
  <c r="J20" i="41"/>
  <c r="J41" i="41"/>
  <c r="R22" i="39"/>
  <c r="P94" i="113" s="1"/>
  <c r="N22" i="36"/>
  <c r="P147" i="112" s="1"/>
  <c r="P148" i="112" s="1"/>
  <c r="N38" i="36"/>
  <c r="T38" i="35"/>
  <c r="R38" i="39"/>
  <c r="R22" i="74"/>
  <c r="P134" i="114" s="1"/>
  <c r="P135" i="114" s="1"/>
  <c r="T22" i="37"/>
  <c r="P137" i="110" s="1"/>
  <c r="P138" i="110" s="1"/>
  <c r="AB28" i="31"/>
  <c r="K30" i="94"/>
  <c r="R54" i="23"/>
  <c r="F17" i="92"/>
  <c r="H13" i="94"/>
  <c r="H12" i="94" s="1"/>
  <c r="H46" i="94" s="1"/>
  <c r="Q13" i="94"/>
  <c r="Q12" i="94" s="1"/>
  <c r="I13" i="94"/>
  <c r="I12" i="94" s="1"/>
  <c r="N13" i="94"/>
  <c r="N12" i="94" s="1"/>
  <c r="R13" i="94"/>
  <c r="R12" i="94" s="1"/>
  <c r="K13" i="94"/>
  <c r="K12" i="94" s="1"/>
  <c r="O30" i="94"/>
  <c r="O29" i="94" s="1"/>
  <c r="S30" i="94"/>
  <c r="S29" i="94" s="1"/>
  <c r="K29" i="96"/>
  <c r="C13" i="94"/>
  <c r="L13" i="94"/>
  <c r="L12" i="94" s="1"/>
  <c r="N17" i="36"/>
  <c r="M147" i="112" s="1"/>
  <c r="M148" i="112" s="1"/>
  <c r="AB151" i="31"/>
  <c r="AC151" i="31" s="1"/>
  <c r="N13" i="36"/>
  <c r="L147" i="112" s="1"/>
  <c r="L148" i="112" s="1"/>
  <c r="R13" i="74"/>
  <c r="L134" i="114" s="1"/>
  <c r="L135" i="114" s="1"/>
  <c r="P13" i="38"/>
  <c r="L132" i="111" s="1"/>
  <c r="L133" i="111" s="1"/>
  <c r="AB161" i="31"/>
  <c r="AC161" i="31" s="1"/>
  <c r="AB178" i="31"/>
  <c r="AC178" i="31" s="1"/>
  <c r="J15" i="41"/>
  <c r="AP22" i="40"/>
  <c r="P299" i="108" s="1"/>
  <c r="P300" i="108" s="1"/>
  <c r="J33" i="41"/>
  <c r="T22" i="35"/>
  <c r="P111" i="109" s="1"/>
  <c r="P112" i="109" s="1"/>
  <c r="J24" i="41"/>
  <c r="N14" i="96"/>
  <c r="N16" i="96" s="1"/>
  <c r="N29" i="96" s="1"/>
  <c r="AB21" i="34" l="1"/>
  <c r="D21" i="41"/>
  <c r="C92" i="94"/>
  <c r="L95" i="113"/>
  <c r="M95" i="113"/>
  <c r="S95" i="113"/>
  <c r="P95" i="113"/>
  <c r="W188" i="31"/>
  <c r="R46" i="94"/>
  <c r="O38" i="24"/>
  <c r="U38" i="24" s="1"/>
  <c r="F20" i="43"/>
  <c r="N46" i="94"/>
  <c r="D30" i="34"/>
  <c r="AB30" i="34" s="1"/>
  <c r="AB28" i="34"/>
  <c r="D43" i="34" s="1"/>
  <c r="D39" i="34" s="1"/>
  <c r="D30" i="41"/>
  <c r="D29" i="41"/>
  <c r="U8" i="24"/>
  <c r="V8" i="24" s="1"/>
  <c r="FF14" i="23"/>
  <c r="D28" i="41"/>
  <c r="BZ17" i="105"/>
  <c r="CT28" i="23"/>
  <c r="CT29" i="23" s="1"/>
  <c r="CT20" i="23"/>
  <c r="ED20" i="23"/>
  <c r="ED28" i="23"/>
  <c r="ED29" i="23" s="1"/>
  <c r="DX20" i="23"/>
  <c r="DX28" i="23"/>
  <c r="DX29" i="23" s="1"/>
  <c r="M46" i="94"/>
  <c r="I46" i="94"/>
  <c r="S46" i="94"/>
  <c r="L46" i="94"/>
  <c r="J46" i="94"/>
  <c r="E46" i="94"/>
  <c r="Q46" i="94"/>
  <c r="T28" i="35"/>
  <c r="D43" i="35" s="1"/>
  <c r="D13" i="29" s="1"/>
  <c r="M13" i="29" s="1"/>
  <c r="N34" i="43"/>
  <c r="O46" i="94"/>
  <c r="R21" i="39"/>
  <c r="R21" i="74"/>
  <c r="O29" i="96"/>
  <c r="FF50" i="23"/>
  <c r="BZ50" i="105" s="1"/>
  <c r="N28" i="36"/>
  <c r="J22" i="41"/>
  <c r="J26" i="43"/>
  <c r="I22" i="90" s="1"/>
  <c r="J36" i="43"/>
  <c r="J15" i="43"/>
  <c r="E11" i="91" s="1"/>
  <c r="G11" i="91" s="1"/>
  <c r="J22" i="43"/>
  <c r="I18" i="90" s="1"/>
  <c r="J49" i="43"/>
  <c r="J41" i="43"/>
  <c r="E40" i="91" s="1"/>
  <c r="G40" i="91" s="1"/>
  <c r="P53" i="43"/>
  <c r="J25" i="43"/>
  <c r="E23" i="91" s="1"/>
  <c r="G23" i="91" s="1"/>
  <c r="J45" i="43"/>
  <c r="E44" i="91" s="1"/>
  <c r="E32" i="91"/>
  <c r="G32" i="91" s="1"/>
  <c r="J39" i="43"/>
  <c r="E45" i="91" s="1"/>
  <c r="J19" i="43"/>
  <c r="E15" i="91" s="1"/>
  <c r="G15" i="91" s="1"/>
  <c r="J33" i="43"/>
  <c r="AP28" i="40"/>
  <c r="D43" i="40" s="1"/>
  <c r="AP43" i="40" s="1"/>
  <c r="D43" i="39"/>
  <c r="D47" i="39" s="1"/>
  <c r="R47" i="39" s="1"/>
  <c r="AC28" i="31"/>
  <c r="D44" i="73"/>
  <c r="J19" i="41"/>
  <c r="L28" i="41"/>
  <c r="D10" i="90"/>
  <c r="J35" i="43"/>
  <c r="T6" i="94"/>
  <c r="AA171" i="31"/>
  <c r="R29" i="74"/>
  <c r="D44" i="74" s="1"/>
  <c r="AA157" i="31"/>
  <c r="AB157" i="31"/>
  <c r="AC157" i="31" s="1"/>
  <c r="AB179" i="31"/>
  <c r="AC179" i="31" s="1"/>
  <c r="AA179" i="31"/>
  <c r="AA162" i="31"/>
  <c r="AB162" i="31"/>
  <c r="AC162" i="31" s="1"/>
  <c r="T21" i="37"/>
  <c r="AA159" i="31"/>
  <c r="P17" i="38"/>
  <c r="M132" i="111" s="1"/>
  <c r="M133" i="111" s="1"/>
  <c r="P29" i="38"/>
  <c r="D44" i="38" s="1"/>
  <c r="J9" i="43"/>
  <c r="J44" i="43"/>
  <c r="E43" i="91" s="1"/>
  <c r="H43" i="91" s="1"/>
  <c r="I43" i="91" s="1"/>
  <c r="J43" i="91" s="1"/>
  <c r="R29" i="39"/>
  <c r="D44" i="39" s="1"/>
  <c r="R30" i="39"/>
  <c r="K29" i="94"/>
  <c r="T30" i="94"/>
  <c r="C12" i="94"/>
  <c r="T13" i="94"/>
  <c r="J31" i="43"/>
  <c r="J40" i="43"/>
  <c r="D47" i="37"/>
  <c r="T47" i="37" s="1"/>
  <c r="D10" i="29"/>
  <c r="M10" i="29" s="1"/>
  <c r="T43" i="37"/>
  <c r="AB10" i="31"/>
  <c r="AC10" i="31" s="1"/>
  <c r="J10" i="43"/>
  <c r="P21" i="38"/>
  <c r="J13" i="41"/>
  <c r="J30" i="43"/>
  <c r="T29" i="37"/>
  <c r="D44" i="37" s="1"/>
  <c r="J32" i="43"/>
  <c r="J38" i="41"/>
  <c r="AB147" i="31"/>
  <c r="AC147" i="31" s="1"/>
  <c r="AP17" i="40"/>
  <c r="M299" i="108" s="1"/>
  <c r="M300" i="108" s="1"/>
  <c r="C11" i="94"/>
  <c r="D3" i="94"/>
  <c r="T21" i="35"/>
  <c r="T17" i="35"/>
  <c r="M111" i="109" s="1"/>
  <c r="M112" i="109" s="1"/>
  <c r="J11" i="43"/>
  <c r="AA174" i="31"/>
  <c r="AB174" i="31"/>
  <c r="AC174" i="31" s="1"/>
  <c r="D43" i="73"/>
  <c r="T43" i="73" s="1"/>
  <c r="R30" i="74"/>
  <c r="R28" i="74"/>
  <c r="D43" i="74" s="1"/>
  <c r="P28" i="38"/>
  <c r="D43" i="38" s="1"/>
  <c r="L99" i="113" l="1"/>
  <c r="L100" i="113" s="1"/>
  <c r="D48" i="73"/>
  <c r="T48" i="73" s="1"/>
  <c r="T44" i="73"/>
  <c r="F14" i="29" s="1"/>
  <c r="FF12" i="23"/>
  <c r="BZ14" i="105"/>
  <c r="FF27" i="23"/>
  <c r="FF29" i="23" s="1"/>
  <c r="D50" i="43"/>
  <c r="J50" i="43" s="1"/>
  <c r="CF50" i="105"/>
  <c r="D17" i="43"/>
  <c r="CF17" i="105"/>
  <c r="D39" i="37"/>
  <c r="T39" i="37" s="1"/>
  <c r="X137" i="110" s="1"/>
  <c r="X138" i="110" s="1"/>
  <c r="D47" i="35"/>
  <c r="T47" i="35" s="1"/>
  <c r="J67" i="43"/>
  <c r="T43" i="35"/>
  <c r="J58" i="43"/>
  <c r="L58" i="43"/>
  <c r="E31" i="91"/>
  <c r="H31" i="91" s="1"/>
  <c r="D43" i="36"/>
  <c r="D43" i="41" s="1"/>
  <c r="D42" i="43" s="1"/>
  <c r="E34" i="91"/>
  <c r="G34" i="91" s="1"/>
  <c r="D12" i="90"/>
  <c r="E24" i="91"/>
  <c r="U9" i="24"/>
  <c r="V9" i="24" s="1"/>
  <c r="N36" i="43"/>
  <c r="N15" i="43"/>
  <c r="H11" i="91"/>
  <c r="N22" i="43"/>
  <c r="E20" i="91"/>
  <c r="H20" i="91" s="1"/>
  <c r="I20" i="91" s="1"/>
  <c r="H40" i="91"/>
  <c r="I40" i="91" s="1"/>
  <c r="J40" i="91" s="1"/>
  <c r="D19" i="90"/>
  <c r="N49" i="43"/>
  <c r="N41" i="43"/>
  <c r="N39" i="43"/>
  <c r="D9" i="90"/>
  <c r="N31" i="43"/>
  <c r="N25" i="43"/>
  <c r="I75" i="25"/>
  <c r="I21" i="90"/>
  <c r="E14" i="91"/>
  <c r="G14" i="91" s="1"/>
  <c r="N19" i="43"/>
  <c r="N33" i="43"/>
  <c r="N32" i="43"/>
  <c r="D47" i="40"/>
  <c r="AP47" i="40" s="1"/>
  <c r="D39" i="39"/>
  <c r="R39" i="39" s="1"/>
  <c r="X94" i="113" s="1"/>
  <c r="D15" i="29"/>
  <c r="M15" i="29" s="1"/>
  <c r="R43" i="39"/>
  <c r="P30" i="38"/>
  <c r="N8" i="43"/>
  <c r="N9" i="43"/>
  <c r="E33" i="91"/>
  <c r="D11" i="90"/>
  <c r="N35" i="43"/>
  <c r="AA56" i="31"/>
  <c r="AB56" i="31"/>
  <c r="AC56" i="31" s="1"/>
  <c r="AD56" i="31" s="1"/>
  <c r="N21" i="36"/>
  <c r="R44" i="74"/>
  <c r="F11" i="29" s="1"/>
  <c r="N11" i="29" s="1"/>
  <c r="D48" i="74"/>
  <c r="R48" i="74" s="1"/>
  <c r="AB75" i="31"/>
  <c r="AC75" i="31" s="1"/>
  <c r="AD75" i="31" s="1"/>
  <c r="AA75" i="31"/>
  <c r="P44" i="38"/>
  <c r="F9" i="29"/>
  <c r="N9" i="29" s="1"/>
  <c r="D48" i="38"/>
  <c r="P48" i="38" s="1"/>
  <c r="N40" i="43"/>
  <c r="T29" i="94"/>
  <c r="K46" i="94"/>
  <c r="F15" i="29"/>
  <c r="R44" i="39"/>
  <c r="D48" i="39"/>
  <c r="I7" i="90"/>
  <c r="E5" i="91"/>
  <c r="G5" i="91" s="1"/>
  <c r="D18" i="90"/>
  <c r="E39" i="91"/>
  <c r="G39" i="91" s="1"/>
  <c r="J62" i="43"/>
  <c r="D7" i="90"/>
  <c r="E29" i="91"/>
  <c r="O61" i="43"/>
  <c r="O32" i="43"/>
  <c r="J18" i="43"/>
  <c r="C46" i="94"/>
  <c r="C47" i="94" s="1"/>
  <c r="T12" i="94"/>
  <c r="N44" i="43"/>
  <c r="T30" i="35"/>
  <c r="T29" i="35"/>
  <c r="D44" i="35" s="1"/>
  <c r="D39" i="35" s="1"/>
  <c r="D47" i="38"/>
  <c r="P43" i="38"/>
  <c r="D39" i="38"/>
  <c r="P39" i="38" s="1"/>
  <c r="X132" i="111" s="1"/>
  <c r="X133" i="111" s="1"/>
  <c r="D9" i="29"/>
  <c r="R43" i="74"/>
  <c r="D11" i="29" s="1"/>
  <c r="D47" i="74"/>
  <c r="D39" i="74"/>
  <c r="R39" i="74" s="1"/>
  <c r="X134" i="114" s="1"/>
  <c r="X135" i="114" s="1"/>
  <c r="N11" i="43"/>
  <c r="E4" i="91"/>
  <c r="I6" i="90"/>
  <c r="E30" i="91"/>
  <c r="G30" i="91" s="1"/>
  <c r="D8" i="90"/>
  <c r="D6" i="90"/>
  <c r="E28" i="91"/>
  <c r="O60" i="43"/>
  <c r="N10" i="43"/>
  <c r="L21" i="41"/>
  <c r="AB43" i="34"/>
  <c r="AP29" i="40"/>
  <c r="D44" i="40" s="1"/>
  <c r="T44" i="37"/>
  <c r="F10" i="29"/>
  <c r="D48" i="37"/>
  <c r="N30" i="43"/>
  <c r="D12" i="29"/>
  <c r="N29" i="36"/>
  <c r="D44" i="36" s="1"/>
  <c r="D44" i="41" s="1"/>
  <c r="D43" i="43" s="1"/>
  <c r="N30" i="36"/>
  <c r="E3" i="94"/>
  <c r="D10" i="94"/>
  <c r="D11" i="94" s="1"/>
  <c r="D47" i="94" s="1"/>
  <c r="AB144" i="31"/>
  <c r="AA144" i="31"/>
  <c r="J37" i="43"/>
  <c r="J28" i="41"/>
  <c r="D14" i="29"/>
  <c r="D47" i="73"/>
  <c r="T47" i="73" s="1"/>
  <c r="D39" i="73"/>
  <c r="E42" i="24"/>
  <c r="V38" i="24"/>
  <c r="P11" i="43"/>
  <c r="E7" i="91"/>
  <c r="G7" i="91" s="1"/>
  <c r="I9" i="90"/>
  <c r="AP21" i="40"/>
  <c r="T30" i="37"/>
  <c r="I8" i="90"/>
  <c r="E6" i="91"/>
  <c r="P10" i="43"/>
  <c r="J17" i="41"/>
  <c r="J13" i="43"/>
  <c r="N1253" i="106" l="1"/>
  <c r="N1254" i="106" s="1"/>
  <c r="I86" i="116" s="1"/>
  <c r="I96" i="116" s="1"/>
  <c r="T39" i="73"/>
  <c r="X142" i="115" s="1"/>
  <c r="X143" i="115" s="1"/>
  <c r="D47" i="36"/>
  <c r="N47" i="36" s="1"/>
  <c r="D14" i="43"/>
  <c r="CF14" i="105"/>
  <c r="FF20" i="23"/>
  <c r="BZ20" i="105" s="1"/>
  <c r="CF20" i="105" s="1"/>
  <c r="BZ12" i="105"/>
  <c r="G4" i="91"/>
  <c r="H4" i="91"/>
  <c r="I4" i="91" s="1"/>
  <c r="N14" i="29"/>
  <c r="D14" i="90"/>
  <c r="D15" i="90"/>
  <c r="D30" i="90" s="1"/>
  <c r="E37" i="91"/>
  <c r="J17" i="43"/>
  <c r="N17" i="43" s="1"/>
  <c r="G31" i="91"/>
  <c r="E36" i="91"/>
  <c r="H34" i="91"/>
  <c r="I34" i="91" s="1"/>
  <c r="I37" i="91" s="1"/>
  <c r="D39" i="36"/>
  <c r="N39" i="36" s="1"/>
  <c r="X147" i="112" s="1"/>
  <c r="X148" i="112" s="1"/>
  <c r="N43" i="36"/>
  <c r="D8" i="29"/>
  <c r="M8" i="29" s="1"/>
  <c r="D16" i="90"/>
  <c r="D34" i="90" s="1"/>
  <c r="D42" i="90"/>
  <c r="N18" i="43"/>
  <c r="N50" i="43"/>
  <c r="N13" i="43"/>
  <c r="R48" i="39"/>
  <c r="D49" i="39"/>
  <c r="R49" i="39" s="1"/>
  <c r="T50" i="39" s="1"/>
  <c r="I13" i="90"/>
  <c r="H39" i="91"/>
  <c r="I39" i="91" s="1"/>
  <c r="J39" i="91" s="1"/>
  <c r="H5" i="91"/>
  <c r="I5" i="91" s="1"/>
  <c r="J5" i="91" s="1"/>
  <c r="I31" i="91"/>
  <c r="H36" i="91"/>
  <c r="I15" i="29"/>
  <c r="N15" i="29"/>
  <c r="O15" i="29" s="1"/>
  <c r="T46" i="94"/>
  <c r="AP44" i="40"/>
  <c r="D48" i="40"/>
  <c r="D39" i="40"/>
  <c r="AP39" i="40" s="1"/>
  <c r="X299" i="108" s="1"/>
  <c r="X300" i="108" s="1"/>
  <c r="D49" i="73"/>
  <c r="T49" i="73" s="1"/>
  <c r="AA183" i="31"/>
  <c r="AB183" i="31"/>
  <c r="G28" i="91"/>
  <c r="R47" i="74"/>
  <c r="D49" i="74"/>
  <c r="R49" i="74" s="1"/>
  <c r="M9" i="29"/>
  <c r="O9" i="29" s="1"/>
  <c r="I9" i="29"/>
  <c r="F13" i="29"/>
  <c r="T44" i="35"/>
  <c r="D48" i="35"/>
  <c r="T39" i="35"/>
  <c r="X111" i="109" s="1"/>
  <c r="X112" i="109" s="1"/>
  <c r="J16" i="43"/>
  <c r="E189" i="31" s="1"/>
  <c r="G6" i="91"/>
  <c r="H6" i="91"/>
  <c r="I6" i="91" s="1"/>
  <c r="J6" i="91" s="1"/>
  <c r="J29" i="41"/>
  <c r="M12" i="29"/>
  <c r="T48" i="37"/>
  <c r="D49" i="37"/>
  <c r="T49" i="37" s="1"/>
  <c r="D49" i="38"/>
  <c r="P49" i="38" s="1"/>
  <c r="R50" i="38" s="1"/>
  <c r="P47" i="38"/>
  <c r="N37" i="43"/>
  <c r="N10" i="29"/>
  <c r="O10" i="29" s="1"/>
  <c r="I10" i="29"/>
  <c r="AP30" i="40"/>
  <c r="M11" i="29"/>
  <c r="O11" i="29" s="1"/>
  <c r="I11" i="29"/>
  <c r="J21" i="41"/>
  <c r="J20" i="91"/>
  <c r="M14" i="29"/>
  <c r="I14" i="29"/>
  <c r="E9" i="91"/>
  <c r="I137" i="27"/>
  <c r="F3" i="94"/>
  <c r="E10" i="94"/>
  <c r="D48" i="36"/>
  <c r="N44" i="36"/>
  <c r="F8" i="29"/>
  <c r="D47" i="34"/>
  <c r="AB47" i="34" s="1"/>
  <c r="D7" i="29"/>
  <c r="X95" i="113" l="1"/>
  <c r="U99" i="113"/>
  <c r="U100" i="113" s="1"/>
  <c r="D39" i="41"/>
  <c r="D38" i="43" s="1"/>
  <c r="D16" i="29"/>
  <c r="D20" i="43"/>
  <c r="O14" i="29"/>
  <c r="CF12" i="105"/>
  <c r="D12" i="43"/>
  <c r="D47" i="41"/>
  <c r="D46" i="43" s="1"/>
  <c r="I35" i="91"/>
  <c r="I12" i="90"/>
  <c r="AB39" i="34"/>
  <c r="X197" i="107" s="1"/>
  <c r="X198" i="107" s="1"/>
  <c r="AB44" i="34"/>
  <c r="E13" i="91"/>
  <c r="G13" i="91" s="1"/>
  <c r="E40" i="24"/>
  <c r="P17" i="43"/>
  <c r="J34" i="91"/>
  <c r="J37" i="91" s="1"/>
  <c r="L57" i="43"/>
  <c r="H35" i="91"/>
  <c r="H37" i="91"/>
  <c r="J14" i="43"/>
  <c r="E10" i="91" s="1"/>
  <c r="G10" i="91" s="1"/>
  <c r="J31" i="91"/>
  <c r="J36" i="91" s="1"/>
  <c r="I36" i="91"/>
  <c r="E54" i="91"/>
  <c r="G37" i="91"/>
  <c r="J30" i="41"/>
  <c r="N48" i="36"/>
  <c r="D49" i="36"/>
  <c r="N49" i="36" s="1"/>
  <c r="P49" i="36" s="1"/>
  <c r="N5" i="43"/>
  <c r="P16" i="43"/>
  <c r="I11" i="90"/>
  <c r="E12" i="91"/>
  <c r="O9" i="43"/>
  <c r="D48" i="34"/>
  <c r="F7" i="29"/>
  <c r="AP48" i="40"/>
  <c r="D49" i="40"/>
  <c r="AP49" i="40" s="1"/>
  <c r="AR50" i="40" s="1"/>
  <c r="J43" i="41"/>
  <c r="N16" i="43"/>
  <c r="N13" i="29"/>
  <c r="O13" i="29" s="1"/>
  <c r="I13" i="29"/>
  <c r="F12" i="29"/>
  <c r="M7" i="29"/>
  <c r="N8" i="29"/>
  <c r="O8" i="29" s="1"/>
  <c r="I8" i="29"/>
  <c r="E11" i="94"/>
  <c r="H9" i="91"/>
  <c r="G9" i="91"/>
  <c r="F10" i="94"/>
  <c r="F11" i="94" s="1"/>
  <c r="F47" i="94" s="1"/>
  <c r="G3" i="94"/>
  <c r="T48" i="35"/>
  <c r="D49" i="35"/>
  <c r="T49" i="35" s="1"/>
  <c r="V50" i="35" s="1"/>
  <c r="G36" i="91"/>
  <c r="E50" i="91"/>
  <c r="E35" i="91"/>
  <c r="G35" i="91" s="1"/>
  <c r="FH23" i="23" l="1"/>
  <c r="L1253" i="106"/>
  <c r="L1254" i="106" s="1"/>
  <c r="G86" i="116" s="1"/>
  <c r="G96" i="116" s="1"/>
  <c r="G105" i="116" s="1"/>
  <c r="I7" i="29"/>
  <c r="F16" i="29"/>
  <c r="F19" i="29" s="1"/>
  <c r="E8" i="91"/>
  <c r="P18" i="43"/>
  <c r="P20" i="43" s="1"/>
  <c r="AB48" i="34"/>
  <c r="D48" i="41"/>
  <c r="D47" i="43" s="1"/>
  <c r="BZ23" i="105"/>
  <c r="FH27" i="23"/>
  <c r="E18" i="91"/>
  <c r="J35" i="91"/>
  <c r="N14" i="43"/>
  <c r="J20" i="43"/>
  <c r="J60" i="43" s="1"/>
  <c r="J12" i="43"/>
  <c r="H8" i="91"/>
  <c r="I9" i="91"/>
  <c r="G12" i="91"/>
  <c r="J44" i="41"/>
  <c r="D49" i="34"/>
  <c r="G10" i="94"/>
  <c r="G11" i="94" s="1"/>
  <c r="G47" i="94" s="1"/>
  <c r="H3" i="94"/>
  <c r="J4" i="91"/>
  <c r="N12" i="29"/>
  <c r="O12" i="29" s="1"/>
  <c r="P12" i="29" s="1"/>
  <c r="I12" i="29"/>
  <c r="N7" i="29"/>
  <c r="O7" i="29" s="1"/>
  <c r="I16" i="90"/>
  <c r="D35" i="90" s="1"/>
  <c r="D36" i="90" s="1"/>
  <c r="E47" i="94"/>
  <c r="M16" i="29"/>
  <c r="J47" i="41"/>
  <c r="J42" i="43"/>
  <c r="FH24" i="23" l="1"/>
  <c r="FH21" i="23" s="1"/>
  <c r="BZ21" i="105" s="1"/>
  <c r="CF23" i="105"/>
  <c r="D23" i="43"/>
  <c r="AB49" i="34"/>
  <c r="D49" i="41"/>
  <c r="D48" i="43" s="1"/>
  <c r="BZ27" i="105"/>
  <c r="BZ24" i="105"/>
  <c r="J57" i="43"/>
  <c r="G8" i="91"/>
  <c r="E17" i="91"/>
  <c r="G17" i="91" s="1"/>
  <c r="J39" i="41"/>
  <c r="E16" i="91"/>
  <c r="G16" i="91" s="1"/>
  <c r="N42" i="43"/>
  <c r="N12" i="43"/>
  <c r="I16" i="29"/>
  <c r="K14" i="90"/>
  <c r="L62" i="43"/>
  <c r="O21" i="43"/>
  <c r="L43" i="41"/>
  <c r="F22" i="29"/>
  <c r="I10" i="90"/>
  <c r="N4" i="43"/>
  <c r="O8" i="43"/>
  <c r="N20" i="43"/>
  <c r="J48" i="41"/>
  <c r="I8" i="91"/>
  <c r="J9" i="91"/>
  <c r="J8" i="91" s="1"/>
  <c r="J16" i="91" s="1"/>
  <c r="J38" i="43"/>
  <c r="D20" i="90"/>
  <c r="E41" i="91"/>
  <c r="O16" i="29"/>
  <c r="N16" i="29"/>
  <c r="I3" i="94"/>
  <c r="H10" i="94"/>
  <c r="E55" i="91"/>
  <c r="E56" i="91" s="1"/>
  <c r="G18" i="91"/>
  <c r="J46" i="43"/>
  <c r="J43" i="43"/>
  <c r="J66" i="43" s="1"/>
  <c r="H16" i="91"/>
  <c r="H17" i="91"/>
  <c r="FH28" i="23" l="1"/>
  <c r="BZ28" i="105" s="1"/>
  <c r="CF28" i="105" s="1"/>
  <c r="CF27" i="105"/>
  <c r="D27" i="43"/>
  <c r="CF24" i="105"/>
  <c r="D24" i="43"/>
  <c r="CF21" i="105"/>
  <c r="P1253" i="106" s="1"/>
  <c r="D21" i="43"/>
  <c r="E51" i="91"/>
  <c r="E52" i="91" s="1"/>
  <c r="E58" i="91" s="1"/>
  <c r="N43" i="43"/>
  <c r="N38" i="43"/>
  <c r="I14" i="90"/>
  <c r="I15" i="90"/>
  <c r="D25" i="90"/>
  <c r="J17" i="91"/>
  <c r="I16" i="91"/>
  <c r="I17" i="91"/>
  <c r="J49" i="41"/>
  <c r="J55" i="41" s="1"/>
  <c r="N46" i="43"/>
  <c r="H11" i="94"/>
  <c r="J47" i="43"/>
  <c r="G41" i="91"/>
  <c r="H41" i="91"/>
  <c r="E46" i="91"/>
  <c r="G46" i="91" s="1"/>
  <c r="AD50" i="34"/>
  <c r="D21" i="90"/>
  <c r="D26" i="90" s="1"/>
  <c r="E42" i="91"/>
  <c r="E38" i="91" s="1"/>
  <c r="J3" i="94"/>
  <c r="I10" i="94"/>
  <c r="I11" i="94" s="1"/>
  <c r="I47" i="94" s="1"/>
  <c r="M58" i="43"/>
  <c r="N58" i="43" s="1"/>
  <c r="P1254" i="106" l="1"/>
  <c r="K86" i="116" s="1"/>
  <c r="K96" i="116" s="1"/>
  <c r="G100" i="116" s="1"/>
  <c r="FH29" i="23"/>
  <c r="BZ29" i="105" s="1"/>
  <c r="D29" i="43" s="1"/>
  <c r="D28" i="43"/>
  <c r="J28" i="43" s="1"/>
  <c r="D31" i="90"/>
  <c r="D32" i="90" s="1"/>
  <c r="D38" i="90" s="1"/>
  <c r="D27" i="90"/>
  <c r="N47" i="43"/>
  <c r="G38" i="91"/>
  <c r="H47" i="94"/>
  <c r="J48" i="43"/>
  <c r="H42" i="91"/>
  <c r="H38" i="91" s="1"/>
  <c r="G42" i="91"/>
  <c r="E47" i="91"/>
  <c r="G47" i="91" s="1"/>
  <c r="L49" i="41"/>
  <c r="J10" i="94"/>
  <c r="J11" i="94" s="1"/>
  <c r="J47" i="94" s="1"/>
  <c r="K3" i="94"/>
  <c r="H46" i="91"/>
  <c r="I41" i="91"/>
  <c r="J21" i="43"/>
  <c r="J23" i="43"/>
  <c r="D17" i="90"/>
  <c r="J24" i="43"/>
  <c r="G101" i="116" l="1"/>
  <c r="H107" i="116"/>
  <c r="CF29" i="105"/>
  <c r="E48" i="91"/>
  <c r="G48" i="91" s="1"/>
  <c r="N48" i="43"/>
  <c r="N23" i="43"/>
  <c r="N28" i="43"/>
  <c r="N24" i="43"/>
  <c r="K17" i="90"/>
  <c r="M57" i="43"/>
  <c r="N57" i="43" s="1"/>
  <c r="J29" i="43"/>
  <c r="L53" i="43" s="1"/>
  <c r="N21" i="43"/>
  <c r="J27" i="43"/>
  <c r="L3" i="94"/>
  <c r="K10" i="94"/>
  <c r="K11" i="94" s="1"/>
  <c r="K47" i="94" s="1"/>
  <c r="I42" i="91"/>
  <c r="I38" i="91" s="1"/>
  <c r="H47" i="91"/>
  <c r="H48" i="91" s="1"/>
  <c r="E21" i="91"/>
  <c r="I19" i="90"/>
  <c r="E22" i="91"/>
  <c r="I20" i="90"/>
  <c r="I26" i="90" s="1"/>
  <c r="J41" i="91"/>
  <c r="I46" i="91"/>
  <c r="J64" i="43" l="1"/>
  <c r="N53" i="43"/>
  <c r="N29" i="43"/>
  <c r="N27" i="43"/>
  <c r="J46" i="91"/>
  <c r="I17" i="90"/>
  <c r="D39" i="90" s="1"/>
  <c r="D40" i="90" s="1"/>
  <c r="I25" i="90"/>
  <c r="I27" i="90" s="1"/>
  <c r="G21" i="91"/>
  <c r="H21" i="91"/>
  <c r="E19" i="91"/>
  <c r="E25" i="91"/>
  <c r="G25" i="91" s="1"/>
  <c r="L10" i="94"/>
  <c r="L11" i="94" s="1"/>
  <c r="L47" i="94" s="1"/>
  <c r="M3" i="94"/>
  <c r="G22" i="91"/>
  <c r="H22" i="91"/>
  <c r="E26" i="91"/>
  <c r="G26" i="91" s="1"/>
  <c r="J42" i="91"/>
  <c r="J47" i="91" s="1"/>
  <c r="I47" i="91"/>
  <c r="I48" i="91" s="1"/>
  <c r="O30" i="43"/>
  <c r="K27" i="90"/>
  <c r="L55" i="43" l="1"/>
  <c r="M10" i="94"/>
  <c r="M11" i="94" s="1"/>
  <c r="M47" i="94" s="1"/>
  <c r="N3" i="94"/>
  <c r="I21" i="91"/>
  <c r="H19" i="91"/>
  <c r="H25" i="91"/>
  <c r="J38" i="91"/>
  <c r="H26" i="91"/>
  <c r="I22" i="91"/>
  <c r="J48" i="91"/>
  <c r="E27" i="91"/>
  <c r="G27" i="91" s="1"/>
  <c r="G19" i="91"/>
  <c r="E59" i="91"/>
  <c r="E60" i="91" s="1"/>
  <c r="J21" i="91" l="1"/>
  <c r="I19" i="91"/>
  <c r="I25" i="91"/>
  <c r="N10" i="94"/>
  <c r="N11" i="94" s="1"/>
  <c r="N47" i="94" s="1"/>
  <c r="O3" i="94"/>
  <c r="H27" i="91"/>
  <c r="H50" i="91" s="1"/>
  <c r="J22" i="91"/>
  <c r="J26" i="91" s="1"/>
  <c r="I26" i="91"/>
  <c r="I27" i="91" l="1"/>
  <c r="I50" i="91" s="1"/>
  <c r="L37" i="91"/>
  <c r="P38" i="91"/>
  <c r="M47" i="91"/>
  <c r="M42" i="91"/>
  <c r="L56" i="91"/>
  <c r="O10" i="94"/>
  <c r="O11" i="94" s="1"/>
  <c r="O47" i="94" s="1"/>
  <c r="P3" i="94"/>
  <c r="J19" i="91"/>
  <c r="J25" i="91"/>
  <c r="J27" i="91" s="1"/>
  <c r="J50" i="91" s="1"/>
  <c r="L43" i="91" l="1"/>
  <c r="L53" i="91"/>
  <c r="P10" i="94"/>
  <c r="P11" i="94" s="1"/>
  <c r="P47" i="94" s="1"/>
  <c r="Q3" i="94"/>
  <c r="L48" i="91"/>
  <c r="Q10" i="94" l="1"/>
  <c r="Q11" i="94" s="1"/>
  <c r="Q47" i="94" s="1"/>
  <c r="R3" i="94"/>
  <c r="S3" i="94" l="1"/>
  <c r="R10" i="94"/>
  <c r="R11" i="94" s="1"/>
  <c r="R47" i="94" s="1"/>
  <c r="S10" i="94" l="1"/>
  <c r="T3" i="94"/>
  <c r="S11" i="94" l="1"/>
  <c r="T10" i="94"/>
  <c r="S47" i="94" l="1"/>
  <c r="T47" i="94" s="1"/>
  <c r="T11" i="94"/>
  <c r="K7" i="31"/>
  <c r="K143" i="31" s="1"/>
  <c r="K184" i="31" s="1"/>
  <c r="M7" i="31"/>
  <c r="M143" i="31" s="1"/>
  <c r="M184" i="31" s="1"/>
  <c r="Q7" i="31"/>
  <c r="Q143" i="31" s="1"/>
  <c r="Q184" i="31" s="1"/>
  <c r="O7" i="31"/>
  <c r="O143" i="31" s="1"/>
  <c r="O184" i="31" s="1"/>
  <c r="S7" i="31"/>
  <c r="S143" i="31" s="1"/>
  <c r="S184" i="31" s="1"/>
  <c r="I7" i="31"/>
  <c r="I143" i="31" s="1"/>
  <c r="I184" i="31" s="1"/>
  <c r="E187" i="31" l="1"/>
  <c r="AB143" i="31"/>
  <c r="AA143" i="31"/>
  <c r="E184" i="31"/>
  <c r="E190" i="31" s="1"/>
  <c r="AC143" i="31" l="1"/>
  <c r="AA184" i="31"/>
  <c r="AB184" i="31"/>
  <c r="AC152" i="31"/>
  <c r="AC144" i="31"/>
  <c r="AD143" i="31" l="1"/>
  <c r="AC183" i="31" l="1"/>
  <c r="AC184" i="31" l="1"/>
  <c r="L100" i="110"/>
  <c r="L65" i="113"/>
</calcChain>
</file>

<file path=xl/sharedStrings.xml><?xml version="1.0" encoding="utf-8"?>
<sst xmlns="http://schemas.openxmlformats.org/spreadsheetml/2006/main" count="21013" uniqueCount="3559">
  <si>
    <t>Működési bevételek</t>
  </si>
  <si>
    <t>Kormányzati funkció</t>
  </si>
  <si>
    <t>Megnevezés</t>
  </si>
  <si>
    <t>ebből: immateriális javak</t>
  </si>
  <si>
    <t>ebből: ingatlan</t>
  </si>
  <si>
    <t>ebből informatikai eszközök</t>
  </si>
  <si>
    <t>ebből: egyéb tárgyi eszközök</t>
  </si>
  <si>
    <t>ebből: áfa</t>
  </si>
  <si>
    <t>saját forrásai</t>
  </si>
  <si>
    <t>EU-s pályázat</t>
  </si>
  <si>
    <t>hitelfelvétel</t>
  </si>
  <si>
    <t>Ellátott feladat típusa</t>
  </si>
  <si>
    <t>K-61</t>
  </si>
  <si>
    <t>K-62</t>
  </si>
  <si>
    <t>K-63</t>
  </si>
  <si>
    <t>K-64</t>
  </si>
  <si>
    <t>K-67</t>
  </si>
  <si>
    <t>A/II. Önkormányzat: Út-, járdaépítés</t>
  </si>
  <si>
    <t>A/III. Önkormányzat: Szennyvíz, csapadékvíz, ivóvíz beruházások</t>
  </si>
  <si>
    <t>A/IV. Önkormányzat: Városgazdálkodási feladatok</t>
  </si>
  <si>
    <t>A/V. Önkormányzat: Ingatlan fejlesztések</t>
  </si>
  <si>
    <t>A/VI. Önkormányzat: Egyéb beruházások</t>
  </si>
  <si>
    <t>B. Intézményi kör kiadásai</t>
  </si>
  <si>
    <t>Dunaharaszti Városi Bölcsőde</t>
  </si>
  <si>
    <t>Dunaharaszti Hétszínvirág Óvoda</t>
  </si>
  <si>
    <t>Dunaharaszti Területi Gondozási Központ</t>
  </si>
  <si>
    <t>B. INTÉZMÉNYI KÖR BERUHÁZÁSAI ÖSSZESEN</t>
  </si>
  <si>
    <t>A. ÖNKORMÁNYZAT BERUHÁZÁSAI ÖSSZESEN</t>
  </si>
  <si>
    <t xml:space="preserve">A/I. Önkormányzat: Európai Uniós kiadások </t>
  </si>
  <si>
    <t>DUNAHARASZTI ÖNKORMÁNYZAT VÁROSI SZINTEN ÖSSZESEN</t>
  </si>
  <si>
    <t>Beruházási kiadások</t>
  </si>
  <si>
    <t>K1-K9</t>
  </si>
  <si>
    <t>TÁRGYÉVI MŰKÖDÉSI KIADÁSOK (K1+K2+K3+K4+K5+K9)</t>
  </si>
  <si>
    <t>TÁRGYÉVI FELHALMOZÁSI KIADÁSOK (K6+K7+K8+K9)</t>
  </si>
  <si>
    <t>Általános- és céltartalékok</t>
  </si>
  <si>
    <t>Rendelkezési jogosultság</t>
  </si>
  <si>
    <t>I. Útépítések, víz, csapadékvíz elvezetések céltartalék</t>
  </si>
  <si>
    <t>Sor-szám</t>
  </si>
  <si>
    <t>Polgármester</t>
  </si>
  <si>
    <t>Civil szervezetek, egyházak támogatása (Művészeti, oktatási, kulturális év közben belépő feladatok)</t>
  </si>
  <si>
    <t>Képviselő-testület</t>
  </si>
  <si>
    <t>Oktatási, Művelődési és Sport Bizottság</t>
  </si>
  <si>
    <t>Városgazdálkodás: üzemeltetés, karbantartás biztonsági tartalék</t>
  </si>
  <si>
    <t>Intézményvezetők jutalmazási kerete</t>
  </si>
  <si>
    <t>Nyári napközis tábor kiadásai</t>
  </si>
  <si>
    <t xml:space="preserve">Oktatási-nevelési intézmények kulturális programjának támogatása </t>
  </si>
  <si>
    <t>Köztisztviselők felmentése, végkielégítése</t>
  </si>
  <si>
    <t>Törvény által kötelezően kifizetendő jubileumi jutalom</t>
  </si>
  <si>
    <t xml:space="preserve">Intézményi ingatlanok különféle karbantartási kerete </t>
  </si>
  <si>
    <t>Képviselő-testület rendelkezése</t>
  </si>
  <si>
    <t>Polgármester rendelkezése</t>
  </si>
  <si>
    <t>TARTALÉKOK MINDÖSSZESEN</t>
  </si>
  <si>
    <t xml:space="preserve">Működési célú támogatások államháztartáson belülről </t>
  </si>
  <si>
    <t>Sorszám</t>
  </si>
  <si>
    <t>Részgazda</t>
  </si>
  <si>
    <t>Rovat</t>
  </si>
  <si>
    <t>Lakossági járdaépítés költsége</t>
  </si>
  <si>
    <t>Felhalmozási célú pénzeszköz átadás lakosságnak: Első lakáshoz jutók támogatása</t>
  </si>
  <si>
    <t>A, Önkormányzat</t>
  </si>
  <si>
    <t>011130 Önkormányzatok és önkormányzati hivatalok igazgatási tevékenysége</t>
  </si>
  <si>
    <t>B, Intézmények</t>
  </si>
  <si>
    <t>Működési célú támogatások</t>
  </si>
  <si>
    <t>081030</t>
  </si>
  <si>
    <t>I. Sportlétesítmények, edzőtáborok működtetése és fejlesztése</t>
  </si>
  <si>
    <t>Egyéb működési célú támogatások államháztartáson kívülre</t>
  </si>
  <si>
    <t>012</t>
  </si>
  <si>
    <t>013</t>
  </si>
  <si>
    <t>Felhalmozási célú pénzeszköz átadások, kölcsönök, lakástámogatás</t>
  </si>
  <si>
    <t>Egyéb működési célú támogatások államháztartáson belülre</t>
  </si>
  <si>
    <t>084031</t>
  </si>
  <si>
    <t>Dunaharaszti Vöröskereszt szervezetének támogatása</t>
  </si>
  <si>
    <t>022010</t>
  </si>
  <si>
    <t>Polgárőr Egyesület működési költség támogatása</t>
  </si>
  <si>
    <t>011130</t>
  </si>
  <si>
    <t>045140</t>
  </si>
  <si>
    <t>BURSA-HUNGARICA ösztöndíj pályázat</t>
  </si>
  <si>
    <t>081041</t>
  </si>
  <si>
    <t>K-506</t>
  </si>
  <si>
    <t>Dunaharaszti Nemzetiségi Önkormányzatok részére nyújtott támogatás államháztartáson belül</t>
  </si>
  <si>
    <t>DMTK támogatásai mindösszesen:</t>
  </si>
  <si>
    <t>Bolgár Nemzetiségi Önkormányzat</t>
  </si>
  <si>
    <t>Német Nemzetiségi Önkormányzat</t>
  </si>
  <si>
    <t>Rovatrend száma</t>
  </si>
  <si>
    <t>DUNAHARASZTI VÁROS ÖNKORMÁNYZATA ÁLTAL NYÚJTOTT MŰKÖDÉSI CÉLÚ TÁMOGATÁSOK MINDÖSSZESEN</t>
  </si>
  <si>
    <t xml:space="preserve">Működési </t>
  </si>
  <si>
    <t>Felhalmozási</t>
  </si>
  <si>
    <t>Dunaharaszti Polgármesteri Hivatal</t>
  </si>
  <si>
    <t>Dunaharaszti Mese Óvoda</t>
  </si>
  <si>
    <t>Dunaharaszti Gyermekjóléti- és Családsegítő Szolgálat</t>
  </si>
  <si>
    <t>Intézményfinanszírozási kiadások mindösszesen:</t>
  </si>
  <si>
    <t>002</t>
  </si>
  <si>
    <t>Mutató</t>
  </si>
  <si>
    <t>Fajlagos összeg</t>
  </si>
  <si>
    <t>I.</t>
  </si>
  <si>
    <t>II.</t>
  </si>
  <si>
    <t>A TELEPÜLÉSI ÖNKORMÁNYZATOK EGYES KÖZNEVELÉSI FELADATAINAK TÁMOGATÁSA</t>
  </si>
  <si>
    <t>Óvodaműködtetési támogatás</t>
  </si>
  <si>
    <t>III.</t>
  </si>
  <si>
    <t>Szociális étkeztetés</t>
  </si>
  <si>
    <t>Házi segítségnyújtás</t>
  </si>
  <si>
    <t>Időskorúak nappali intézményi ellátása</t>
  </si>
  <si>
    <t xml:space="preserve">A TELEPÜLÉSI ÖNKORMÁNYZATOK KULTURÁLIS FELADATAINAK TÁMOGATÁSA </t>
  </si>
  <si>
    <t>Települési önkormányzatok nyilvános könyvtári és közművelődési feladatainak támogatása</t>
  </si>
  <si>
    <t>2. számú melléklet összesen</t>
  </si>
  <si>
    <t>A/II. Önkormányzati kiadások</t>
  </si>
  <si>
    <t xml:space="preserve">A/I. Európai Uniós pályázatokhoz kapcsolódó felújítások </t>
  </si>
  <si>
    <t>K-71</t>
  </si>
  <si>
    <t>K-72</t>
  </si>
  <si>
    <t>K-73</t>
  </si>
  <si>
    <t>K-74</t>
  </si>
  <si>
    <t>ebből: informatikai eszközök</t>
  </si>
  <si>
    <t>ebből: ingatlanok</t>
  </si>
  <si>
    <t>TÁRGYÉVI MŰKÖDÉSI BEVÉTELEK (B1+B3+B4+B6+B8)</t>
  </si>
  <si>
    <t>TÁRGYÉVI FELHALMOZÁSI BEVÉTELEK (B2+B5+B7+B8)</t>
  </si>
  <si>
    <t>A beruházásokhoz kapcsolódó EU támogatások és hitelek kockázati fedezete</t>
  </si>
  <si>
    <t xml:space="preserve"> Ebből: működési tartalékok</t>
  </si>
  <si>
    <t>Kormányzati funkció száma</t>
  </si>
  <si>
    <t>Szociális ellátások, támogatások</t>
  </si>
  <si>
    <t>Összesen</t>
  </si>
  <si>
    <t>Krízishelyzet és egyéb szociális célú támogatás</t>
  </si>
  <si>
    <t>Köztemetés</t>
  </si>
  <si>
    <t>Gyógyászati segédeszköz támogatás</t>
  </si>
  <si>
    <t>Hátrányos helyzetű gyermekek üdültetése és rendezvényeik támogatása</t>
  </si>
  <si>
    <t>I. Önkormányzati segélyek</t>
  </si>
  <si>
    <t xml:space="preserve"> Ebből: felhalmozási célú pénzeszköz átadások, támogatások</t>
  </si>
  <si>
    <t xml:space="preserve"> Ebből: működési célú pénzeszköz átadások, támogatások</t>
  </si>
  <si>
    <t xml:space="preserve">   Ebből: hitelfelvétellel kapcsolatos kiadások</t>
  </si>
  <si>
    <t>001</t>
  </si>
  <si>
    <t>069</t>
  </si>
  <si>
    <t>052080</t>
  </si>
  <si>
    <t>066020</t>
  </si>
  <si>
    <t>003</t>
  </si>
  <si>
    <t>006</t>
  </si>
  <si>
    <t>007</t>
  </si>
  <si>
    <t>008</t>
  </si>
  <si>
    <t>049</t>
  </si>
  <si>
    <t>Intézmény</t>
  </si>
  <si>
    <t>016030 Állampolgársági ügyek</t>
  </si>
  <si>
    <t>Intézmény összesen</t>
  </si>
  <si>
    <t>072450 Fizikotherápiás szolgáltatás</t>
  </si>
  <si>
    <t>074031              Család-és nővédelem egészségügyi gondozás</t>
  </si>
  <si>
    <t>074032                       Ifjúság-egészségügyi gondozás</t>
  </si>
  <si>
    <t>010 Fizikotherápiás szolgáltatás</t>
  </si>
  <si>
    <t>011                  Család-és nővédelem egészségügyi gondozás</t>
  </si>
  <si>
    <t>012                Ifjúság-egészségügyi gondozás</t>
  </si>
  <si>
    <t>016        Vendéglátás étkeztetés</t>
  </si>
  <si>
    <t>107053 Jelzőrendszeres házi segítségnyújtás</t>
  </si>
  <si>
    <t>072111        Háziorvosi alapellátás</t>
  </si>
  <si>
    <t>072420 Egészségügyi laboratóriumi szolgáltatás</t>
  </si>
  <si>
    <t>DUNAHARASZTI INTÉZMÉNYEK ÖSSZESEN</t>
  </si>
  <si>
    <t>004</t>
  </si>
  <si>
    <t>005</t>
  </si>
  <si>
    <t>011</t>
  </si>
  <si>
    <t>014</t>
  </si>
  <si>
    <t>015</t>
  </si>
  <si>
    <t>75.</t>
  </si>
  <si>
    <t>Pest Megyei Katasztrófavédelmi Igazgatóság eszközfejlesztési támogatása</t>
  </si>
  <si>
    <t>DUNAHARASZTI ÖNKORMÁNYZAT ÖSSZESEN</t>
  </si>
  <si>
    <t>VÁROSI SZINTŰ DUNAHARASZTI ÖNKORMÁNYZAT MINDÖSSZESEN</t>
  </si>
  <si>
    <t>Dunaharaszti Polgármesteri Hivatal (igazgatás)</t>
  </si>
  <si>
    <t>Dunaharaszti Polgármesteri Hivatal (adó)</t>
  </si>
  <si>
    <t>011220</t>
  </si>
  <si>
    <t>091110</t>
  </si>
  <si>
    <t>Dunaharaszti Hétszínvirág Óvoda (Hétszínvirág)</t>
  </si>
  <si>
    <t>104042</t>
  </si>
  <si>
    <t>016</t>
  </si>
  <si>
    <t>107053</t>
  </si>
  <si>
    <t>072111</t>
  </si>
  <si>
    <t>074031</t>
  </si>
  <si>
    <t>074032</t>
  </si>
  <si>
    <t>Dunaharaszti Területi Gondozási Központ (Család és nővédelem)</t>
  </si>
  <si>
    <t>Dunaharaszti Területi Gondozási Központ (Házi jelzőrendszer)</t>
  </si>
  <si>
    <t>Dunaharaszti Területi Gondozási Központ (Óvodai intézményi étkezés)</t>
  </si>
  <si>
    <t>Dunaharaszti Területi Gondozási Központ (Gimnáziumi intézményi étkeztetés)</t>
  </si>
  <si>
    <t>Dunaharaszti Területi Gondozási Központ (Vendéglátás étkeztetés)</t>
  </si>
  <si>
    <t>082044</t>
  </si>
  <si>
    <t>111 Továbbszámlázás bevétele és kiadása</t>
  </si>
  <si>
    <t>Felújítási kiadások</t>
  </si>
  <si>
    <t>Intézményfinanszírozási kiadások</t>
  </si>
  <si>
    <t>096015 Gyermekétkeztetés köznevelési intézményben</t>
  </si>
  <si>
    <t>104035 Gyermekétkeztetés bölcsődében, fogyatékosok nappali intézményében</t>
  </si>
  <si>
    <t>Hóeltakarítás opció</t>
  </si>
  <si>
    <t xml:space="preserve">    Ebből: államháztartáson belüli megelőlegezések visszafizetése</t>
  </si>
  <si>
    <t>Pályázati forrás</t>
  </si>
  <si>
    <t>Vegyes</t>
  </si>
  <si>
    <t>Felhalmozási jellegű tartalékok</t>
  </si>
  <si>
    <t>Működési jellegű tartalékok</t>
  </si>
  <si>
    <t>I. Városgazdálkodás céltartalékai</t>
  </si>
  <si>
    <t>II. Finanszírozott kör céltartaléka</t>
  </si>
  <si>
    <t>III. Egyéb feladatok</t>
  </si>
  <si>
    <t>IV. Támogatások</t>
  </si>
  <si>
    <t>V. Önkormányzatok feladatok</t>
  </si>
  <si>
    <t>Sor-
szám</t>
  </si>
  <si>
    <t>Rovat megnevezése</t>
  </si>
  <si>
    <t>1.</t>
  </si>
  <si>
    <t>2.</t>
  </si>
  <si>
    <t>3.</t>
  </si>
  <si>
    <t>4.</t>
  </si>
  <si>
    <t>5.</t>
  </si>
  <si>
    <t>6.</t>
  </si>
  <si>
    <t>7.</t>
  </si>
  <si>
    <t>8.</t>
  </si>
  <si>
    <t>9.</t>
  </si>
  <si>
    <t>10.</t>
  </si>
  <si>
    <t>11.</t>
  </si>
  <si>
    <t>K1</t>
  </si>
  <si>
    <t xml:space="preserve">Munkaadókat terhelő járulékok és szociális hozzájárulási adó                                                                            </t>
  </si>
  <si>
    <t>K2</t>
  </si>
  <si>
    <t>K3</t>
  </si>
  <si>
    <t>K4</t>
  </si>
  <si>
    <t>K5</t>
  </si>
  <si>
    <t>K6</t>
  </si>
  <si>
    <t>K7</t>
  </si>
  <si>
    <t>K8</t>
  </si>
  <si>
    <t>K1-K8</t>
  </si>
  <si>
    <t>B1</t>
  </si>
  <si>
    <t>B2</t>
  </si>
  <si>
    <t>B3</t>
  </si>
  <si>
    <t>B4</t>
  </si>
  <si>
    <t>B5</t>
  </si>
  <si>
    <t>B6</t>
  </si>
  <si>
    <t>B7</t>
  </si>
  <si>
    <t>B1-B7</t>
  </si>
  <si>
    <t>K9</t>
  </si>
  <si>
    <t>B8</t>
  </si>
  <si>
    <t xml:space="preserve">Közhatalmi bevételek </t>
  </si>
  <si>
    <t xml:space="preserve">Felhalmozási célú támogatások államháztartáson belülről </t>
  </si>
  <si>
    <t>Finanszírozási kiadások</t>
  </si>
  <si>
    <t>kötelező</t>
  </si>
  <si>
    <t>önként vállalt</t>
  </si>
  <si>
    <t>államigazgatási</t>
  </si>
  <si>
    <t>12.</t>
  </si>
  <si>
    <t>13.</t>
  </si>
  <si>
    <t>14.</t>
  </si>
  <si>
    <t>15.</t>
  </si>
  <si>
    <t>16.</t>
  </si>
  <si>
    <t>17.</t>
  </si>
  <si>
    <t>18.</t>
  </si>
  <si>
    <t>19.</t>
  </si>
  <si>
    <t>20.</t>
  </si>
  <si>
    <t xml:space="preserve">Egyéb működési célú kiadások </t>
  </si>
  <si>
    <t xml:space="preserve">Egyéb felhalmozási célú kiadások </t>
  </si>
  <si>
    <t xml:space="preserve">Költségvetési kiadások </t>
  </si>
  <si>
    <t xml:space="preserve">Működési célú átvett pénzeszközök </t>
  </si>
  <si>
    <t xml:space="preserve">Felhalmozási célú átvett pénzeszközök </t>
  </si>
  <si>
    <t xml:space="preserve">Költségvetési bevételek </t>
  </si>
  <si>
    <t>Finanszírozási bevételek</t>
  </si>
  <si>
    <t xml:space="preserve">Beruházások </t>
  </si>
  <si>
    <t xml:space="preserve">Felhalmozási bevételek </t>
  </si>
  <si>
    <t>összesen</t>
  </si>
  <si>
    <t>Kormányzati funkciók száma és megnevezése</t>
  </si>
  <si>
    <t>Rovat száma</t>
  </si>
  <si>
    <t>018010 Önkormányzatok elszámolásai a központi költségvetéssel</t>
  </si>
  <si>
    <t>042220 Erdőgazdálkodás</t>
  </si>
  <si>
    <t>083040 Rádióműsor szolgáltatása és támogatása</t>
  </si>
  <si>
    <t>106010 Lakóingatlan szociális célú bérbeadása, üzemeltetése</t>
  </si>
  <si>
    <t>081030 Sportlétesítmények, edzőtáborok működtetése és fejlesztése</t>
  </si>
  <si>
    <t>081041 Versenysport- és utánpótlás-nevelési tevékenység és támogatása</t>
  </si>
  <si>
    <t>Kiadások</t>
  </si>
  <si>
    <t>066020              Város-, község-gazdálkodási egyéb szolgáltatások</t>
  </si>
  <si>
    <t xml:space="preserve">029    Erdőállomány kezelés és fenntartás </t>
  </si>
  <si>
    <t>038        Dunaharaszti sajtókapcsolatai</t>
  </si>
  <si>
    <t>041                        Piac üzemeltetés</t>
  </si>
  <si>
    <t>046               Kitüntetői díjak</t>
  </si>
  <si>
    <t>048 Önkormányzati gondnokság</t>
  </si>
  <si>
    <t xml:space="preserve">054           Temető fenntartás </t>
  </si>
  <si>
    <t>21.</t>
  </si>
  <si>
    <t>22.</t>
  </si>
  <si>
    <t>23.</t>
  </si>
  <si>
    <t>24.</t>
  </si>
  <si>
    <t>25.</t>
  </si>
  <si>
    <t>26.</t>
  </si>
  <si>
    <t>27.</t>
  </si>
  <si>
    <t>28.</t>
  </si>
  <si>
    <t>29.</t>
  </si>
  <si>
    <t>30.</t>
  </si>
  <si>
    <t>31.</t>
  </si>
  <si>
    <t>32.</t>
  </si>
  <si>
    <t>33.</t>
  </si>
  <si>
    <t>Eredeti előirányzat</t>
  </si>
  <si>
    <t>011130 Önkormányzatok és önkormányzati hivatalok jogalkotási és általános igazgatási tevékenysége</t>
  </si>
  <si>
    <t>081041 Versenysport- és utánpótlás-nevelési tevékenység és támogatás</t>
  </si>
  <si>
    <t>34.</t>
  </si>
  <si>
    <t>35.</t>
  </si>
  <si>
    <t>36.</t>
  </si>
  <si>
    <t>37.</t>
  </si>
  <si>
    <t>38.</t>
  </si>
  <si>
    <t>39.</t>
  </si>
  <si>
    <t>40.</t>
  </si>
  <si>
    <t>41.</t>
  </si>
  <si>
    <t>42.</t>
  </si>
  <si>
    <t>43.</t>
  </si>
  <si>
    <t>44.</t>
  </si>
  <si>
    <t>45.</t>
  </si>
  <si>
    <t>46.</t>
  </si>
  <si>
    <t>47.</t>
  </si>
  <si>
    <t>48.</t>
  </si>
  <si>
    <t>49.</t>
  </si>
  <si>
    <t>50.</t>
  </si>
  <si>
    <t>51.</t>
  </si>
  <si>
    <t>52.</t>
  </si>
  <si>
    <t>54.</t>
  </si>
  <si>
    <t>56.</t>
  </si>
  <si>
    <t>57.</t>
  </si>
  <si>
    <t>58.</t>
  </si>
  <si>
    <t>59.</t>
  </si>
  <si>
    <t>60.</t>
  </si>
  <si>
    <t>61.</t>
  </si>
  <si>
    <t>62.</t>
  </si>
  <si>
    <t>63.</t>
  </si>
  <si>
    <t>64.</t>
  </si>
  <si>
    <t>65.</t>
  </si>
  <si>
    <t>66.</t>
  </si>
  <si>
    <t>67.</t>
  </si>
  <si>
    <t>68.</t>
  </si>
  <si>
    <t>69.</t>
  </si>
  <si>
    <t>71.</t>
  </si>
  <si>
    <t>72.</t>
  </si>
  <si>
    <t>76.</t>
  </si>
  <si>
    <t>79.</t>
  </si>
  <si>
    <t>80.</t>
  </si>
  <si>
    <t>81.</t>
  </si>
  <si>
    <t>82.</t>
  </si>
  <si>
    <t>83.</t>
  </si>
  <si>
    <t>84.</t>
  </si>
  <si>
    <t>85.</t>
  </si>
  <si>
    <t>86.</t>
  </si>
  <si>
    <t>96.</t>
  </si>
  <si>
    <t>97.</t>
  </si>
  <si>
    <t>98.</t>
  </si>
  <si>
    <t>99.</t>
  </si>
  <si>
    <t>100.</t>
  </si>
  <si>
    <t xml:space="preserve">önként vállalt </t>
  </si>
  <si>
    <t>TÁRGYÉVI KIADÁSOK ÖSSZESEN</t>
  </si>
  <si>
    <t>TÁRGYÉVI BEVÉTELEK ÖSSZESEN</t>
  </si>
  <si>
    <t>Személyi juttatások</t>
  </si>
  <si>
    <t xml:space="preserve">Dologi kiadások </t>
  </si>
  <si>
    <t>Ellátottak pénzbeli juttatásai</t>
  </si>
  <si>
    <t>Felújítások</t>
  </si>
  <si>
    <t>011130                                                   Önkormányzatok és önkormányzati hivatalok jogalkoltó és általános igazgatási tevékenysége</t>
  </si>
  <si>
    <t>011220                                            Adó, vám és jövedéki igazgatás</t>
  </si>
  <si>
    <t>091110                                       Óvodai nevelés, ellátás szakmai feladatai</t>
  </si>
  <si>
    <t xml:space="preserve">091120                                              Sajátos nevelési igényű gyermekek óvodai nevelésének, ellátásának szakmai feladatai                     </t>
  </si>
  <si>
    <t xml:space="preserve">091120                                                Sajátos nevelési igényű gyermekek óvodai nevelésének, ellátásának szakmai feladatai                     </t>
  </si>
  <si>
    <t>104060                                  A gyermekek, fiatalok és családok életminőségét javító programok</t>
  </si>
  <si>
    <t>107052                                Házi segítségnyújtás</t>
  </si>
  <si>
    <t>017                                                        Előző évekről hozott hátralék</t>
  </si>
  <si>
    <t>009                                  Eü labor</t>
  </si>
  <si>
    <t>008                                              Egyéb járóbeteg</t>
  </si>
  <si>
    <t>005                                   Házi jelzőrendszer</t>
  </si>
  <si>
    <t>004                                              Házi segítségnyújtás</t>
  </si>
  <si>
    <t>003                                           Szociális étkeztetés</t>
  </si>
  <si>
    <t>001                                    Intézmény finanszírozás</t>
  </si>
  <si>
    <t>072111                                                Háziorvosi alapellátás</t>
  </si>
  <si>
    <t>002                       Étkeztetés</t>
  </si>
  <si>
    <t>001                       Intézmény finanszírozás</t>
  </si>
  <si>
    <t>003                               Könyvtári állomány feltárása, megőrzése</t>
  </si>
  <si>
    <t>002                                 Könyvtári állomány gyarapítása</t>
  </si>
  <si>
    <t>004                                          Könyvtári szolgáltatások</t>
  </si>
  <si>
    <t>082044                                  Könyvtári szolgáltatások</t>
  </si>
  <si>
    <t>066020                          Város- és község-gazdálkodási egyéb szolgáltatások</t>
  </si>
  <si>
    <t>II. Elkülönített számlák</t>
  </si>
  <si>
    <t>Társ. Összefogás.megv.közműfejl.lebony</t>
  </si>
  <si>
    <t xml:space="preserve">Bérlakás értékesítés </t>
  </si>
  <si>
    <t>Víziközmű számla</t>
  </si>
  <si>
    <t>Környezetvédelmi szla</t>
  </si>
  <si>
    <t>Parkolóhely megváltás számla</t>
  </si>
  <si>
    <t>107060                                 Egyes szociális pénzbeli és természetbeni ellátások, támogatások</t>
  </si>
  <si>
    <t xml:space="preserve">Szemétdíj átvállalása rászorultsági alapon </t>
  </si>
  <si>
    <t xml:space="preserve">Sorszám </t>
  </si>
  <si>
    <t>045140                                   Városi és elővárosi közúti személy-szállítás</t>
  </si>
  <si>
    <t>022010                                     Polgári honvédelem ágazati feladatai, a lakosság felkészítése</t>
  </si>
  <si>
    <t>084040                                Egyházak közösségi és hitéleti tevékenységének támogatása</t>
  </si>
  <si>
    <t>066020                                 Város-és községgazdálkodási egyéb szolgáltatás</t>
  </si>
  <si>
    <t>045120                                    Út, autópálya építése</t>
  </si>
  <si>
    <t>066020                          Város-, községgazdálkodási egyéb szolgáltatások</t>
  </si>
  <si>
    <t>016080                              Kiemelt állami és önkormányzati rendezvények</t>
  </si>
  <si>
    <t>066020                                   Város-, községgazdálkodási egyéb szolgáltatások</t>
  </si>
  <si>
    <t>045160                          Közutak, hidak, alagutak üzemeltetése, fenntartása</t>
  </si>
  <si>
    <t>074032                            Ifjúság-egészségügyi gondozás</t>
  </si>
  <si>
    <t>016080                               Kiemelt állami és önkormányzati rendezvények</t>
  </si>
  <si>
    <t>083030                                         Egyéb kiadói tevékenység</t>
  </si>
  <si>
    <t>064010                                      Közvilágítás</t>
  </si>
  <si>
    <t>013350                                            Az önkormányzati vagyonnal való gazdálkodással kapcsolatos feladatok</t>
  </si>
  <si>
    <t>066020                      Város-, községgaz-dálkodási egyéb szolgáltatások</t>
  </si>
  <si>
    <t>047120                          Piac üzemeltetése</t>
  </si>
  <si>
    <t>066020                                                          Város-, községgazdálkodási egyéb szolgáltatások</t>
  </si>
  <si>
    <t>051030                                     Nem veszélyes (települési) hulladék vegyes (ömlesztett) begyűjtése, szállítása, átrakása</t>
  </si>
  <si>
    <t>033                            Lomtalanítás és köztéri szemétgyűjtés</t>
  </si>
  <si>
    <t>051050                            Veszélyes hulladék begyűjtése, szállítása, átrakása</t>
  </si>
  <si>
    <t>107060                                      Egyes szociális pénzbeli és természetbeni ellátások, támogatások</t>
  </si>
  <si>
    <t>031                                Külterületi szemét és veszélyes hulladék gyűjtése</t>
  </si>
  <si>
    <t>084031                                   Civil szervezetek működési támogatása</t>
  </si>
  <si>
    <t>Gyermekétkeztetés támogatása méltányossági alapon, ételallergiában szenvedő étkeztetési támogatása</t>
  </si>
  <si>
    <t>107060                     Egyes szociális pénzbeli és természetbeni ellátások, támogatások</t>
  </si>
  <si>
    <t>212                       Ételallergiában szenvedő gyerekek támogatása</t>
  </si>
  <si>
    <t>211                                 Gyógyászati segédeszköz támogatás</t>
  </si>
  <si>
    <t>Rendszeres települési támogatás ápolás céljára</t>
  </si>
  <si>
    <t>Útfenntartás rendkívüli kiadásai (útfenntartási opció)</t>
  </si>
  <si>
    <t>K-512</t>
  </si>
  <si>
    <t>013                        Óvodai intézményi étkeztetés</t>
  </si>
  <si>
    <t>015                               Gimnáziumi  intézményi étkeztetés</t>
  </si>
  <si>
    <t>107052</t>
  </si>
  <si>
    <t>Dunaharaszti Területi Gondozási Központ (Idősek nappali ellátása)</t>
  </si>
  <si>
    <t>Dunaharaszti Területi Gondozási Központ (Házi segítségnyújtás)</t>
  </si>
  <si>
    <t>001                                     Intézmény finanszírozás</t>
  </si>
  <si>
    <t xml:space="preserve">002                                Mese Óvoda      </t>
  </si>
  <si>
    <t>003                                 Napsugár Óvoda</t>
  </si>
  <si>
    <t>001                        Intézmény finanszírozás</t>
  </si>
  <si>
    <t xml:space="preserve">002                     Hétszínvirág Óvoda      </t>
  </si>
  <si>
    <t>001                              Intézmény finanszírozás</t>
  </si>
  <si>
    <t>002                           Polgármesteri Hivatal</t>
  </si>
  <si>
    <t>003                              Adóügyi feladatok</t>
  </si>
  <si>
    <t>004                            Anyakönyvi feladatok</t>
  </si>
  <si>
    <t>008                               Előző évekről hozott hátralék</t>
  </si>
  <si>
    <t>A települési önkormányzatok által biztosított egyes szociális szakosított ellátások, valamint a gyermekek átmeneti gondozásával kapcsolatos feladatok támogatása</t>
  </si>
  <si>
    <t>004                                                  Mese Óvoda sajátos ….</t>
  </si>
  <si>
    <t>001                          Intézmény finanszírozás</t>
  </si>
  <si>
    <t>Nemzetiségi Önkormányzatok részére nyújtott támogatás összesen:</t>
  </si>
  <si>
    <t xml:space="preserve">Ügyeleti Szolgálat (Haraszti Fraxinus Kft.) támogatása </t>
  </si>
  <si>
    <t>014                                           Iskolai intézményi étkeztetés</t>
  </si>
  <si>
    <t>030                                        Zöldterület kezelés</t>
  </si>
  <si>
    <t>031070                           Baleset-megelőzés</t>
  </si>
  <si>
    <t>059                             Nemzetközi kapcsolatok</t>
  </si>
  <si>
    <t>072112                         Háziorvosi ügyeleti ellátás</t>
  </si>
  <si>
    <t>045160                        Közutak, hidak, alagutak üzemeltetése, fenntartása</t>
  </si>
  <si>
    <t>083050                           Televízió-műsor szolgáltatása és támogatása</t>
  </si>
  <si>
    <t>041160                      Földmérés, térképészet</t>
  </si>
  <si>
    <t>058                       Kiemelt állami és önkormányzati rendezvények</t>
  </si>
  <si>
    <t>031030                                 Közterület rendjének fenntartása</t>
  </si>
  <si>
    <t>074051                                Nem fertőző megbetegedések megelőzése</t>
  </si>
  <si>
    <t>074040                                    Fertőző megbetegedések megelőzése, járványügyi ellátás</t>
  </si>
  <si>
    <t>072160                                      Betegszállítás, valamint orvosi rendelvényű halottszállítás</t>
  </si>
  <si>
    <t>074                                       Betegszállítási szolgáltatások igénybevétele</t>
  </si>
  <si>
    <t>084040                                        Egyházak közösségi és hitéleti tevényekségének támogatása</t>
  </si>
  <si>
    <t>013350                                   Az önkormányzati vagyonnal való gazdálkodással kapcsolatos feladatok</t>
  </si>
  <si>
    <t>002                       Gyermekjóléti szolgáltatás</t>
  </si>
  <si>
    <t>104012                       Gyermekek átmeneti ellátása</t>
  </si>
  <si>
    <t>096025                             Munkahelyi étkeztetés köznevelési intézményben</t>
  </si>
  <si>
    <t>081061                                      Szabadidős park, fürdő és strandszolgáltatás</t>
  </si>
  <si>
    <t>084032                             Civil szervezetek program-támogatása</t>
  </si>
  <si>
    <t>II. Versenysport és utánpótlás-nevelési tevékenységek támogatása</t>
  </si>
  <si>
    <t>III. Támogatások</t>
  </si>
  <si>
    <t>084                                          Tartalékok</t>
  </si>
  <si>
    <t>adatok Ft-ban</t>
  </si>
  <si>
    <t>104042                                                                 Család és gyermekjóléti szolgáltatások</t>
  </si>
  <si>
    <t xml:space="preserve">018030                                          Támogatási célú finanszírozási műveletek              </t>
  </si>
  <si>
    <t>102031                                 Idősek nappali ellátása</t>
  </si>
  <si>
    <t>019                  Választott tisztségviselők (polgármester és képviselők)</t>
  </si>
  <si>
    <t>Intézmény neve</t>
  </si>
  <si>
    <t>Létszámkeret</t>
  </si>
  <si>
    <t>Dunaharaszti Város Önkormányzata</t>
  </si>
  <si>
    <t xml:space="preserve"> ebből: Választott tisztségviselő</t>
  </si>
  <si>
    <t>019</t>
  </si>
  <si>
    <t xml:space="preserve"> ebből: Piac üzemeltetés</t>
  </si>
  <si>
    <t>041</t>
  </si>
  <si>
    <t xml:space="preserve"> ebből: Önkormányzati gondnokság</t>
  </si>
  <si>
    <t>048</t>
  </si>
  <si>
    <t xml:space="preserve"> ebből: Közterület felügyelet , rendőrség, közterületi kamerák</t>
  </si>
  <si>
    <t xml:space="preserve"> ebből: Temető fenntartás</t>
  </si>
  <si>
    <t>054</t>
  </si>
  <si>
    <t xml:space="preserve"> ebből: Temetkezés</t>
  </si>
  <si>
    <t>055</t>
  </si>
  <si>
    <t xml:space="preserve"> ebből: Polgármesteri Hivatal</t>
  </si>
  <si>
    <t xml:space="preserve"> ebből: Adóügyi feladatok</t>
  </si>
  <si>
    <t xml:space="preserve"> ebből: Anyakönyvi feladatok</t>
  </si>
  <si>
    <t xml:space="preserve"> ebből: Étkeztetés</t>
  </si>
  <si>
    <t xml:space="preserve"> ebből: Gyermekek egyéb ellátása</t>
  </si>
  <si>
    <t xml:space="preserve"> ebből: Hétszínvirág Óvoda</t>
  </si>
  <si>
    <t xml:space="preserve"> ebből: Százszorszép Óvoda</t>
  </si>
  <si>
    <t xml:space="preserve"> ebből: Szivárvány Óvoda</t>
  </si>
  <si>
    <t xml:space="preserve"> ebből: Mese Óvoda</t>
  </si>
  <si>
    <t xml:space="preserve"> ebből: Napsugár Óvoda</t>
  </si>
  <si>
    <t xml:space="preserve"> ebből: Idősek nappali ellátása</t>
  </si>
  <si>
    <t xml:space="preserve"> ebből: Szociális étkeztetés</t>
  </si>
  <si>
    <t xml:space="preserve"> ebből: Házi segítségnyújtás</t>
  </si>
  <si>
    <t xml:space="preserve"> ebből: Jelzőrendszeres házi segítségnyújtás</t>
  </si>
  <si>
    <t xml:space="preserve"> ebből:  Egyéb m.n.s. járóbetegellátás</t>
  </si>
  <si>
    <t xml:space="preserve"> ebből: Egészségügyi laboratóriumi szolgáltatás</t>
  </si>
  <si>
    <t>009</t>
  </si>
  <si>
    <t xml:space="preserve"> ebből: Fizikotherápiás szolgáltatás</t>
  </si>
  <si>
    <t>010</t>
  </si>
  <si>
    <t xml:space="preserve"> ebből: Család- és nővédelem egészségügyi gondozás</t>
  </si>
  <si>
    <t xml:space="preserve"> ebből: Ifjúság-egészségügyi gondozás</t>
  </si>
  <si>
    <t xml:space="preserve"> ebből: Könyvtári szolgáltatások</t>
  </si>
  <si>
    <t xml:space="preserve"> ebből: Közművelődési tevékenység</t>
  </si>
  <si>
    <t>Dunaharaszti Gyermekjóléti és Családsegítő Szolgálat</t>
  </si>
  <si>
    <t>VÁROSI SZINTŰ ÖNKORMÁNYZAT MINDÖSSZESEN</t>
  </si>
  <si>
    <t>043                                          Lakihegy rádió</t>
  </si>
  <si>
    <t>055                                  Temetkezés</t>
  </si>
  <si>
    <t>013320                                                            Köztemető-fenntartás és működtetés</t>
  </si>
  <si>
    <t>085                                 Intézmény finanszírozás</t>
  </si>
  <si>
    <t>091110                                                                             Óvodai nevelés, ellátás szakmai feladatai</t>
  </si>
  <si>
    <t>018030                      Támogatási célú finanszírozási műveletek</t>
  </si>
  <si>
    <t>091110                          Óvodai nevelés, ellátás szakmai feladatai</t>
  </si>
  <si>
    <t>091110                                         Óvodai nevelés, ellátás szakmai feladatai</t>
  </si>
  <si>
    <t>072210                                      Járóbetegek gyógyító szakellátása</t>
  </si>
  <si>
    <t>052080                   Szennyvíz-csatorna építése, fenntartása, üzemeltetése</t>
  </si>
  <si>
    <t>061030                          Lakáshoz jutást segítő támogatások</t>
  </si>
  <si>
    <t>082064                            Múzeumi közművelődési, közönségkap-csolati tevékenység</t>
  </si>
  <si>
    <t>031030                            Közterület rendjének fenntartása</t>
  </si>
  <si>
    <t>018030                        Támogatási célú finanszírozási műveletek</t>
  </si>
  <si>
    <t>018030                  Támogatási célú finanszírozási műveletek</t>
  </si>
  <si>
    <t>018030                       Támogatási célú finanszírozási műveletek</t>
  </si>
  <si>
    <t>082042                              Könyvtári állomány gyarapítása, nyilvántartása</t>
  </si>
  <si>
    <t xml:space="preserve">018030                                      Támogatási célú finanszírozási műveletek              </t>
  </si>
  <si>
    <t>Polgármesteri Hivatal</t>
  </si>
  <si>
    <t>Létszámkeret  (fő)</t>
  </si>
  <si>
    <t>Tervezett átlagos statisztikai állományi létszám (fő)</t>
  </si>
  <si>
    <t>Nyitólétszám (az időszak első napján munkavégzésre irányuló jogviszonyban állók statisztikai állományi létszáma) (fő)</t>
  </si>
  <si>
    <t>Munkajogi nyitólétszám (az időszak első napján munkaviszonyban állók létszáma) (fő)</t>
  </si>
  <si>
    <t>018030                             Támogatási célú finanszírozási műveletek</t>
  </si>
  <si>
    <t>Dunaharaszti Város Önkormányzata létszám</t>
  </si>
  <si>
    <t>006                          Előző évi hátralék</t>
  </si>
  <si>
    <t>Vegyes (előző évi maradvány: 018030)</t>
  </si>
  <si>
    <t>111                                                       Továbbszámlázás bevétele és kiadása</t>
  </si>
  <si>
    <t>006                                                         Nyári napközis tábor</t>
  </si>
  <si>
    <t>104042                                                     Család és gyermekjóléti szolgáltatások</t>
  </si>
  <si>
    <t>006                                Damjanich u. 32.                                        Orvosi rendelő</t>
  </si>
  <si>
    <t>018                                                        Nyári napközi étkezés</t>
  </si>
  <si>
    <t>007                                   Fő út 35. Gyermekorvosi rendelő</t>
  </si>
  <si>
    <t>082044                                           Könyvtári szolgáltatások</t>
  </si>
  <si>
    <t>007                              Könyvtári elkülönített SZJA 1%-os számla</t>
  </si>
  <si>
    <t>016030</t>
  </si>
  <si>
    <t>Dunaharaszti Polgármesteri Hivatal (anyakönyv)</t>
  </si>
  <si>
    <t>107051</t>
  </si>
  <si>
    <t>Dunaharaszti Területi Gondozási Központ (Szociális étkeztetés)</t>
  </si>
  <si>
    <t>Dunaharaszti Területi Gondozási Központ (Damjanich u. 32.)</t>
  </si>
  <si>
    <t>Dunaharaszti Területi Gondozási Központ (Fő út 35. Gyermekorvosi rendelő)</t>
  </si>
  <si>
    <t>072420</t>
  </si>
  <si>
    <t>Dunaharaszti Területi Gondozási Központ (Eü-i labor)</t>
  </si>
  <si>
    <t>072450</t>
  </si>
  <si>
    <t>Dunaharaszti Területi Gondozási Központ (Fizikotherápia)</t>
  </si>
  <si>
    <t>Ágazati pótlék, bérkompenzáció, személyi juttatás és járulék tartalék</t>
  </si>
  <si>
    <t>104037                                                               Intézményen kívüli gyermekétkeztetés</t>
  </si>
  <si>
    <t>072440                                      Mentés</t>
  </si>
  <si>
    <t>068                                             Közműfejlesztési hozzájárulás</t>
  </si>
  <si>
    <t>052080                        Szennyvízcsatorna építése, fenntartása, üzemeltet.                                                    063080                                       Vízellátással lapcsolatos közmű építése, fenntart.</t>
  </si>
  <si>
    <t>087                             Elektromos autó töltőállomás</t>
  </si>
  <si>
    <t>Települési támogatás</t>
  </si>
  <si>
    <t>Rendszeres települési támogatás gyógyszerköltségre</t>
  </si>
  <si>
    <t>060</t>
  </si>
  <si>
    <t xml:space="preserve">052020                                         Szennyvíz gyűjtése, tisztítása, elhelyezése </t>
  </si>
  <si>
    <t xml:space="preserve">DMTK részére nyújtott támogatások </t>
  </si>
  <si>
    <t>020                  Önkormányzati igazgatás</t>
  </si>
  <si>
    <t xml:space="preserve">215                                                   Rendszeres települési támogatás ápolás céljára </t>
  </si>
  <si>
    <t>Egyéb önkormányzati feladatok támogatása</t>
  </si>
  <si>
    <t>Lakott külterülettel kapcsolatos feladatok támogatása</t>
  </si>
  <si>
    <t>Szolidaritási hozzájárulás</t>
  </si>
  <si>
    <t>Szociális segítés</t>
  </si>
  <si>
    <t>085</t>
  </si>
  <si>
    <t>007                                                       Ingatlanfejlesztések (Ingatlan vásárlás)</t>
  </si>
  <si>
    <t xml:space="preserve"> ebből: Önkormányzati igazgatás</t>
  </si>
  <si>
    <t>020</t>
  </si>
  <si>
    <t xml:space="preserve">    Ebből: működési célú intézményfinanszírozás bevétele</t>
  </si>
  <si>
    <t xml:space="preserve">    Ebből: felhalmozási célú intézményfinanszírozás bevétele</t>
  </si>
  <si>
    <t>107060                                                                                                Egyes szociális pénzbeli és természetbeni ellátások, támogatások</t>
  </si>
  <si>
    <t>013320</t>
  </si>
  <si>
    <t xml:space="preserve"> ebből: Iskolai intézményi étkeztetés</t>
  </si>
  <si>
    <t>061030                                        Lakáshoz jutást segítő támogatások</t>
  </si>
  <si>
    <t>018020                                                     Központi költségvetési befizetések</t>
  </si>
  <si>
    <t>104031</t>
  </si>
  <si>
    <t xml:space="preserve"> 063080                                       Vízellátással kapcsolatos közmű építése, fenntart.</t>
  </si>
  <si>
    <t>063080</t>
  </si>
  <si>
    <t>052080                        Szennyvízcsatorna építése, fenntartása, üzemeltet.</t>
  </si>
  <si>
    <t>Ebből: elvonások és befizetések</t>
  </si>
  <si>
    <t xml:space="preserve"> Ebből: elvonások és befizetések</t>
  </si>
  <si>
    <t>VÁROSI SZINTŰ ÖNKORMÁNYZATI SEGÉLYEK MINDÖSSZESEN</t>
  </si>
  <si>
    <t xml:space="preserve">Normatíva felülvizsgálat tartalék </t>
  </si>
  <si>
    <t xml:space="preserve">    Ebből: működési célú intézményfinanszírozás kiadása</t>
  </si>
  <si>
    <t xml:space="preserve">    Ebből: felhalmozási célú intézményfinanszírozás kiadása</t>
  </si>
  <si>
    <t>104035</t>
  </si>
  <si>
    <t>102031</t>
  </si>
  <si>
    <t>096015</t>
  </si>
  <si>
    <t>096025</t>
  </si>
  <si>
    <t>082091</t>
  </si>
  <si>
    <t>Dunaharaszti Család- és Gyermekjóléti Szolgálat (Gyermekjóléti)</t>
  </si>
  <si>
    <t>Dunaharaszti Család- és Gyermekjóléti Szolgálat (Családsegítő)</t>
  </si>
  <si>
    <t xml:space="preserve">  Ebből: működési célú pénzeszköz átadások, támogatások</t>
  </si>
  <si>
    <t xml:space="preserve">  Ebből: működési tartalékok</t>
  </si>
  <si>
    <t xml:space="preserve">  Ebből: elvonások és befizetések</t>
  </si>
  <si>
    <t xml:space="preserve">  Ebből: felhalmozási célú pénzeszköz átadások, támogatások</t>
  </si>
  <si>
    <t xml:space="preserve">    Ebből: államháztartáson belüli megelőlegezések</t>
  </si>
  <si>
    <t>900060                               Forgatási és befektetési célú finanszírozási műveletek                                   018010                                Önkormányzatok elszámolásai a központi költségvetéssel</t>
  </si>
  <si>
    <t>051                                                Nem lakáscélú önk.ing.</t>
  </si>
  <si>
    <t>066020                                   Város-, községgazdálkodási egyéb szolgáltatások  043610                       Egyéb energiaipar igazgatása és támogatása</t>
  </si>
  <si>
    <t>091140                                      Óvodai nevelés, ellátás működtetési feladatai</t>
  </si>
  <si>
    <t>063                                  Művészeti Alkotótábor</t>
  </si>
  <si>
    <t xml:space="preserve">   Ebből: működési célú pénzeszköz átadások, támogatások</t>
  </si>
  <si>
    <t xml:space="preserve">   Ebből: elvonások és befizetések</t>
  </si>
  <si>
    <t xml:space="preserve">   Ebből: működési tartalékok</t>
  </si>
  <si>
    <t xml:space="preserve">   Ebből: felhalmozási célú pénzeszköz átadások, támogatások</t>
  </si>
  <si>
    <t xml:space="preserve">   Ebből: hitelfelvétel</t>
  </si>
  <si>
    <t xml:space="preserve">    Ebből: államháztartáson belüli megelőlegezések </t>
  </si>
  <si>
    <t>004                                                 Helytörténeti emléktár</t>
  </si>
  <si>
    <t>003                                  Közművelődési tevékenység</t>
  </si>
  <si>
    <t xml:space="preserve">002                               Laffert-kúria </t>
  </si>
  <si>
    <t>082091                             Közművelődés- közösségi és társadalmi részvétel fejlesztése</t>
  </si>
  <si>
    <t>082063                                   Múzeumi kiállító tevékenység</t>
  </si>
  <si>
    <t>003                        Százszorszép Óvoda</t>
  </si>
  <si>
    <t>002                               Szivárvány Óvoda</t>
  </si>
  <si>
    <t>045120</t>
  </si>
  <si>
    <t>064010</t>
  </si>
  <si>
    <t xml:space="preserve">Közvilágítás bővítése lakossági igény szerint </t>
  </si>
  <si>
    <t>Választott tisztségviselők (polgármester és képviselők) eszközfejlesztés</t>
  </si>
  <si>
    <t>033</t>
  </si>
  <si>
    <t>Köztéri szemétgyűjtők beszerzése</t>
  </si>
  <si>
    <t>051030</t>
  </si>
  <si>
    <t>Piac eszközbeszerzés</t>
  </si>
  <si>
    <t>047120</t>
  </si>
  <si>
    <t>Temetkezés eszközbeszerzés</t>
  </si>
  <si>
    <t>Városi szintű gyesen, gyeden lévő munkavállalók visszatérési tartaléka</t>
  </si>
  <si>
    <t>Dunaharaszti Szivárvány Óvoda (Szivárvány)</t>
  </si>
  <si>
    <t>Dunaharaszti Szivárvány Óvoda (Százszorszép)</t>
  </si>
  <si>
    <t>005                               Előző évekről hozott hátralék</t>
  </si>
  <si>
    <t>Dunaharaszti Városi Könyvtár (Könyvtári szolgáltatás)</t>
  </si>
  <si>
    <t>Dunaharaszti József Attila Művelődési Ház (Laffert-kúria)</t>
  </si>
  <si>
    <t>082030</t>
  </si>
  <si>
    <t>Dunaharaszti Szivárvány Óvoda</t>
  </si>
  <si>
    <t>Dunaharaszti József Attila Művelődési Ház</t>
  </si>
  <si>
    <t>084032</t>
  </si>
  <si>
    <t xml:space="preserve">Óvodaműködtetési támogatás 8 hó </t>
  </si>
  <si>
    <t>Bölcsőde, mini bölcsőde támogatása</t>
  </si>
  <si>
    <t>Felsőfokú végzettségű kisgyermeknevelők, szaktanácsadók bértámogatása</t>
  </si>
  <si>
    <t>Bölcsődei dajkák, középfokú végzettségű kisgyermeknevelők, szaktanácsadók bértámogatása</t>
  </si>
  <si>
    <t>Gyermekétkeztetés támogatása méltányossági alapon, tartósan beteg gyermekek étkeztetési támogatása</t>
  </si>
  <si>
    <t xml:space="preserve">Roma Nemzetiségi Önkormányzat </t>
  </si>
  <si>
    <t>002                                           Idősek nappali ellátása</t>
  </si>
  <si>
    <t>081030                                             Sportlétesítmények, edzőtáborok működtet.és fejl.</t>
  </si>
  <si>
    <t>Dunaharaszti Mese Óvoda (Mese)</t>
  </si>
  <si>
    <t>Dunaharaszti Mese Óvoda (Napsugár)</t>
  </si>
  <si>
    <t>ebből: Sportcsarnok</t>
  </si>
  <si>
    <t>Dunaharaszti Városi Könyvtár</t>
  </si>
  <si>
    <t xml:space="preserve"> ebből: Gyermekjóléti szolgáltatás és Családsegítés</t>
  </si>
  <si>
    <t xml:space="preserve"> ebből: Laffert-kúria</t>
  </si>
  <si>
    <t xml:space="preserve"> ebből: Helytörténeti emléktár</t>
  </si>
  <si>
    <t>-</t>
  </si>
  <si>
    <t>VAGABOND Korzó támogatása</t>
  </si>
  <si>
    <t>Mályvavirág Központ (Alapítvány) támogatása</t>
  </si>
  <si>
    <t>004                                        Városgazdálkodási feladatok</t>
  </si>
  <si>
    <t>066020                                 Város- és községgazdálkodási egyéb szolgáltatás</t>
  </si>
  <si>
    <t>013350</t>
  </si>
  <si>
    <t>016010                                                                  Országgy.önkorm. és európai parl.képv.vál.kap.tev.</t>
  </si>
  <si>
    <t>045160                                     Közutak, hidak, alagutak üzemeltetése, fenntartása</t>
  </si>
  <si>
    <t>005                                                 Előző évekről hozott hátralék</t>
  </si>
  <si>
    <t xml:space="preserve">    Ebbő: felhalmozási célú intézményfinanszírozás bevétele</t>
  </si>
  <si>
    <t>003                        Gyermekek egyéb ellátása                             (régi)</t>
  </si>
  <si>
    <t>004                        Gyermekek egyéb ellátása                                     (új tagbölcsőde)</t>
  </si>
  <si>
    <t>031030</t>
  </si>
  <si>
    <t>halasztott</t>
  </si>
  <si>
    <t>Bárka Alapítvány</t>
  </si>
  <si>
    <t>Péter Cerny Alapítvány</t>
  </si>
  <si>
    <t>Be nem fogadott EU-s pályázati pénzek</t>
  </si>
  <si>
    <t>004                        Szivárvány Óvoda SNI</t>
  </si>
  <si>
    <t xml:space="preserve">Óvodaműködtetési támogatás 4 hó </t>
  </si>
  <si>
    <t>Nemzetiségi pótlék</t>
  </si>
  <si>
    <t>102023                                     Időskorúak tartós bentlakásos ellátása</t>
  </si>
  <si>
    <t>052                        Lakásgazdál-kodással kapcsolatos feladatok</t>
  </si>
  <si>
    <t>082063</t>
  </si>
  <si>
    <t>Dunaharaszti József Attila Művelődési Ház (Helytörténeti emléktár)</t>
  </si>
  <si>
    <t>088</t>
  </si>
  <si>
    <t>Vis maior tartalék</t>
  </si>
  <si>
    <t xml:space="preserve"> ebből: Hétszínvirág Óvoda sajátos nevelési igényű gyerekekkel foglalkozók</t>
  </si>
  <si>
    <t>003                                        Városgazdálkodási feladatok</t>
  </si>
  <si>
    <t>Városi civil sport- és kulturális rendezvények kiadásainak valamint DMTK-n kívüli sportegyesületek kiadásainak finanszírozási kerete</t>
  </si>
  <si>
    <r>
      <t xml:space="preserve">037                           </t>
    </r>
    <r>
      <rPr>
        <sz val="12"/>
        <color indexed="17"/>
        <rFont val="Garamond"/>
        <family val="1"/>
        <charset val="238"/>
      </rPr>
      <t xml:space="preserve"> </t>
    </r>
    <r>
      <rPr>
        <sz val="12"/>
        <color indexed="17"/>
        <rFont val="Garamond"/>
        <family val="1"/>
        <charset val="238"/>
      </rPr>
      <t xml:space="preserve"> </t>
    </r>
    <r>
      <rPr>
        <sz val="12"/>
        <rFont val="Garamond"/>
        <family val="1"/>
        <charset val="238"/>
      </rPr>
      <t xml:space="preserve">Társulások tagdíjai, Alsófalusi Nyugdíjasklub, </t>
    </r>
    <r>
      <rPr>
        <sz val="12"/>
        <color indexed="8"/>
        <rFont val="Garamond"/>
        <family val="1"/>
        <charset val="238"/>
      </rPr>
      <t>Városi ösztöndíj</t>
    </r>
  </si>
  <si>
    <t>040                                                Terület előkészítés, földmérés és eljárási díjak</t>
  </si>
  <si>
    <t>101221                                     Fogyatékossággal élők nappali ellátása</t>
  </si>
  <si>
    <t>Építési beruházásokhoz tartaléka</t>
  </si>
  <si>
    <t>Civil szervezetek, egyházak támogatása és helyi DMTK keretein kívül működő egyéb sportok támogatása (civil pályázat)</t>
  </si>
  <si>
    <t>VI. Általános tartalék</t>
  </si>
  <si>
    <r>
      <t xml:space="preserve">049          </t>
    </r>
    <r>
      <rPr>
        <sz val="12"/>
        <color indexed="53"/>
        <rFont val="Garamond"/>
        <family val="1"/>
        <charset val="238"/>
      </rPr>
      <t xml:space="preserve">     </t>
    </r>
    <r>
      <rPr>
        <sz val="12"/>
        <color indexed="8"/>
        <rFont val="Garamond"/>
        <family val="1"/>
        <charset val="238"/>
      </rPr>
      <t>Közterületi feladatok, közterületi kamerák</t>
    </r>
  </si>
  <si>
    <t>009                                                   Közúti káresemények térítése</t>
  </si>
  <si>
    <t>011 Továbbszámlázás bevétele és kiadása</t>
  </si>
  <si>
    <t>021                           P+R parkolók fenntartása</t>
  </si>
  <si>
    <t>022                                           Utcanévtáblák, gyepmester, városi közkutak</t>
  </si>
  <si>
    <t>023                              Intézményi zöldterület ad hoc feladatainak ellátása</t>
  </si>
  <si>
    <t>024                                        Városi településfejlesztési koncepció, településszerkezeti terv</t>
  </si>
  <si>
    <t>025                              "Várossá válás" szeptemberi ünnepsége</t>
  </si>
  <si>
    <t>028               Fásítási program</t>
  </si>
  <si>
    <r>
      <t>060                                               Sportcsarnok működtetése</t>
    </r>
    <r>
      <rPr>
        <sz val="12"/>
        <color indexed="10"/>
        <rFont val="Garamond"/>
        <family val="1"/>
        <charset val="238"/>
      </rPr>
      <t/>
    </r>
  </si>
  <si>
    <t>050                             Rendőrségi feladatok</t>
  </si>
  <si>
    <t>061                                             Mobil jégpálya üzemeltetése</t>
  </si>
  <si>
    <t>064                                       Városi munkavállalók munka-egészségügyi felülvizsgálata</t>
  </si>
  <si>
    <t>069                                 Szennyvíz bérleti díj felhasználás előző évekről (Szennyvíz)</t>
  </si>
  <si>
    <t>070                                   Szennyvíz bérleti díj felhasználás előző évekről (Ivóvíz)</t>
  </si>
  <si>
    <t>075                Átmeneti bentlakásos otthonban elhelyezés</t>
  </si>
  <si>
    <t>077                                     Fogyatékossággal élők nappali ellátása</t>
  </si>
  <si>
    <t>076                                            Mentési pont</t>
  </si>
  <si>
    <t>079                                     Köznevelési intézmények 1-4. évfolyamával kapcsolatos feladatok</t>
  </si>
  <si>
    <t>080                                     Köznevelési intézmények 5-8. évfolyamával kapcsolatos feladatok</t>
  </si>
  <si>
    <t>093                 Bölcsődei feladatok</t>
  </si>
  <si>
    <t>094                 Művelődési házzal kapcsolatos feladatok</t>
  </si>
  <si>
    <t>095                                               Könyvtári feladatok</t>
  </si>
  <si>
    <t>096                                   Óvodai feladatok</t>
  </si>
  <si>
    <t>099                                         Szolidaritási hozzájárulás</t>
  </si>
  <si>
    <t xml:space="preserve">   203                                           Köztemetés</t>
  </si>
  <si>
    <t>205                                                 Gyermekétkeztetési támogatás</t>
  </si>
  <si>
    <t xml:space="preserve">  206                                                     Hátrányos helyzetű gyermekek üdültetése</t>
  </si>
  <si>
    <t xml:space="preserve">210                                   Téli rezsicsökkentésben korábban nem részesültek" Tűzifa támogatása </t>
  </si>
  <si>
    <r>
      <t xml:space="preserve">301                              </t>
    </r>
    <r>
      <rPr>
        <sz val="12"/>
        <color indexed="8"/>
        <rFont val="Garamond"/>
        <family val="1"/>
        <charset val="238"/>
      </rPr>
      <t xml:space="preserve"> Lakossági járdaépítés, Sz</t>
    </r>
    <r>
      <rPr>
        <sz val="12"/>
        <color indexed="8"/>
        <rFont val="Garamond"/>
        <family val="1"/>
        <charset val="238"/>
      </rPr>
      <t>igetszentmiklósi Tűzoltóság és Rendelő támogatása</t>
    </r>
  </si>
  <si>
    <t>302                                    Első lakáshoz jutók támogatása</t>
  </si>
  <si>
    <t>303                                    Egyházak eszközfejlesztésének támogatása</t>
  </si>
  <si>
    <t xml:space="preserve">    304                                                DMTK támogatása</t>
  </si>
  <si>
    <t xml:space="preserve"> 305                                      DMTK támogatása</t>
  </si>
  <si>
    <t>307                                 Polgárőr Egyesület támogatása</t>
  </si>
  <si>
    <t>308                                                     Működési támogatás:                               Pest Megyei Katasztrófa-védelmi Igazgatóság,</t>
  </si>
  <si>
    <t xml:space="preserve">  310                                     Bursa Hungarica ösztöndíj</t>
  </si>
  <si>
    <t>311                                                Nemzetiségi Önkormányzatok támogatása</t>
  </si>
  <si>
    <t>313                                 Haraszti Fraxinus Kft.</t>
  </si>
  <si>
    <t>400                                                     Hitel és kamattörlesztés és hitel felvétellel kapcsolatos egyéb költségek; Megelőlegezési hitel</t>
  </si>
  <si>
    <t xml:space="preserve"> 501                                        Állami támogatás</t>
  </si>
  <si>
    <t>015                            Egyéb adóbevételek</t>
  </si>
  <si>
    <t>014                        Egyéb bevételek</t>
  </si>
  <si>
    <t>012        Felh.c.kölcsön visszatérülése munkavállalótól</t>
  </si>
  <si>
    <t>a)  ellátottak térítési díjának,  kártérítésének méltányossági alapon történő elengedésének összege</t>
  </si>
  <si>
    <t>sorszám</t>
  </si>
  <si>
    <t>Szervezet neve</t>
  </si>
  <si>
    <t>Eredeti Támogatásértékű működési kiadás</t>
  </si>
  <si>
    <t>Eredeti                   Működési célú pénzeszköz átadás államháztartáson kívülre</t>
  </si>
  <si>
    <t>Halasztott tételek</t>
  </si>
  <si>
    <t>Feladat típusa</t>
  </si>
  <si>
    <t>Szociális (Gondozási Központ)</t>
  </si>
  <si>
    <t>Szociális (Városi Bölcsőde)</t>
  </si>
  <si>
    <t>Közoktatás</t>
  </si>
  <si>
    <t>Összesen:</t>
  </si>
  <si>
    <t>b)  lakosság részére lakásépítéshez, lakásfelújításhoz nyújtott kölcsönök elengedésének összege nemleges</t>
  </si>
  <si>
    <t xml:space="preserve">c)  a helyi adónál, gépjárműadónál biztosított kedvezmény, mentesség összege adónemenként </t>
  </si>
  <si>
    <t>Építményadó</t>
  </si>
  <si>
    <t>Telekadó</t>
  </si>
  <si>
    <t>Kommunális adó</t>
  </si>
  <si>
    <t>Iparűzési adó</t>
  </si>
  <si>
    <t>Gépjárműadó</t>
  </si>
  <si>
    <t>Késedelmi pótlék</t>
  </si>
  <si>
    <t>Bírság</t>
  </si>
  <si>
    <t>d)  a helyiségek, eszközök hasznosításából származó bevételből nyújtott kedvezmény, mentesség összege</t>
  </si>
  <si>
    <t>Közterület rendjének fenntartása</t>
  </si>
  <si>
    <t>Önkormányzati tulajdonban álló helyiségek</t>
  </si>
  <si>
    <t>e) az egyéb nyújtott kedvezmény vagy kölcsön elengedésének összege nemleges</t>
  </si>
  <si>
    <t>094</t>
  </si>
  <si>
    <t>Magyar Államkincstárnál vezetett Bölcsődei pályázathoz kapcsolódó számla</t>
  </si>
  <si>
    <t>Részletezőkód száma és megnevezése</t>
  </si>
  <si>
    <t>Részletezőkód</t>
  </si>
  <si>
    <t>Projekt kód</t>
  </si>
  <si>
    <t>működés</t>
  </si>
  <si>
    <t>felhalmozás</t>
  </si>
  <si>
    <t>kiadás</t>
  </si>
  <si>
    <t>bevétel</t>
  </si>
  <si>
    <t>finanszírozás</t>
  </si>
  <si>
    <t>066020                                            Város-, község-gazdálkodási egyéb szolgáltatások</t>
  </si>
  <si>
    <t>045                            Szünidei  veszélyforrások</t>
  </si>
  <si>
    <t>057                          Dunaharaszti Hírek és információs kiadványok</t>
  </si>
  <si>
    <t>091140                       Óvodai nevelés, ellátás működtetési feladatai</t>
  </si>
  <si>
    <t>091220                                              Köznevelési intézmények 1-4. évfolyamán tanulók nevelésével, oktatásával összefüggő működtetési feladatok</t>
  </si>
  <si>
    <t>092120                                Köznevelési intézmények 5-8. évfolyamán tanulók nevelésével, oktatásával összefüggő működtetési feladatok</t>
  </si>
  <si>
    <t>092260                                        Gimnázium és szakközépiskola tanulóinak közismeret és szakmai elméleti oktatásával összefüggő működtetési feladatok</t>
  </si>
  <si>
    <t>081                                Gimnáziumi feladatok</t>
  </si>
  <si>
    <t>082                                     Pedagógiai szakszolgálati feladatok</t>
  </si>
  <si>
    <t>098022                                  Pedagógiai szakszolgáltató tevékenység működtetési feladatai</t>
  </si>
  <si>
    <t>53.</t>
  </si>
  <si>
    <t>55.</t>
  </si>
  <si>
    <t>70.</t>
  </si>
  <si>
    <t>73.</t>
  </si>
  <si>
    <t>74.</t>
  </si>
  <si>
    <t>77.</t>
  </si>
  <si>
    <t>78.</t>
  </si>
  <si>
    <t>87.</t>
  </si>
  <si>
    <t>88.</t>
  </si>
  <si>
    <t>89.</t>
  </si>
  <si>
    <t>90.</t>
  </si>
  <si>
    <t>91.</t>
  </si>
  <si>
    <t>92.</t>
  </si>
  <si>
    <t>94.</t>
  </si>
  <si>
    <t>101.</t>
  </si>
  <si>
    <t>304</t>
  </si>
  <si>
    <t>305</t>
  </si>
  <si>
    <t>311</t>
  </si>
  <si>
    <t>070</t>
  </si>
  <si>
    <t>Részle-  tező- kód</t>
  </si>
  <si>
    <t>Részle- tező- kód</t>
  </si>
  <si>
    <t>316                                 Hátrányos helyzetű gyermekek nyelvoktatása</t>
  </si>
  <si>
    <t>003                                    Gyermekek átmeneti otthona</t>
  </si>
  <si>
    <t>004                                    Hátrányos helyzetű gyermekek, fiatalok …</t>
  </si>
  <si>
    <t>005                                   Szünidei étkezés</t>
  </si>
  <si>
    <r>
      <rPr>
        <sz val="12"/>
        <color indexed="10"/>
        <rFont val="Garamond"/>
        <family val="1"/>
        <charset val="238"/>
      </rPr>
      <t xml:space="preserve">003    </t>
    </r>
    <r>
      <rPr>
        <sz val="12"/>
        <rFont val="Garamond"/>
        <family val="1"/>
        <charset val="238"/>
      </rPr>
      <t xml:space="preserve">                         Hétszínvirág Óvoda sajátos ….</t>
    </r>
  </si>
  <si>
    <t>K-915 Központi, irányítószervi támogatás folyósítása</t>
  </si>
  <si>
    <t>204                                             Rendszeres települési támogatás gyógyszerköltségre</t>
  </si>
  <si>
    <t xml:space="preserve">    306                                                                                                                                                                                                         Civil szervezetek támogatása </t>
  </si>
  <si>
    <t xml:space="preserve"> 312                                                                   KisDuna TV-től műsoridő vásárlás, támogatása</t>
  </si>
  <si>
    <t>Polgárőr Egyesület támogatása</t>
  </si>
  <si>
    <t>091120</t>
  </si>
  <si>
    <t>072210</t>
  </si>
  <si>
    <t>Működési célú visszatérítendő támogatások, kölcsönök nyújtása államháztartáson kívülre</t>
  </si>
  <si>
    <t>K-508</t>
  </si>
  <si>
    <t>Biztos bevétel</t>
  </si>
  <si>
    <t>Bizonytalan bevétel</t>
  </si>
  <si>
    <t>K-66</t>
  </si>
  <si>
    <t>ebből: meglévő részesedések növeléséhez kapcsolódó kiadások</t>
  </si>
  <si>
    <t>102.</t>
  </si>
  <si>
    <t>103.</t>
  </si>
  <si>
    <t>104.</t>
  </si>
  <si>
    <t>105.</t>
  </si>
  <si>
    <t>106.</t>
  </si>
  <si>
    <t>107.</t>
  </si>
  <si>
    <t>108.</t>
  </si>
  <si>
    <t>111.</t>
  </si>
  <si>
    <t>112.</t>
  </si>
  <si>
    <t>113.</t>
  </si>
  <si>
    <t>114.</t>
  </si>
  <si>
    <t>006                                                 Európai parlamenti képviselő választás</t>
  </si>
  <si>
    <t>005                    Önkormányzati választás</t>
  </si>
  <si>
    <t>115.</t>
  </si>
  <si>
    <t>116.</t>
  </si>
  <si>
    <t>117.</t>
  </si>
  <si>
    <t>118.</t>
  </si>
  <si>
    <t>119.</t>
  </si>
  <si>
    <t>120.</t>
  </si>
  <si>
    <t>121.</t>
  </si>
  <si>
    <t>122.</t>
  </si>
  <si>
    <t>123.</t>
  </si>
  <si>
    <t>124.</t>
  </si>
  <si>
    <t>125.</t>
  </si>
  <si>
    <t>126.</t>
  </si>
  <si>
    <t>127.</t>
  </si>
  <si>
    <t>138.</t>
  </si>
  <si>
    <t>137.</t>
  </si>
  <si>
    <t>136.</t>
  </si>
  <si>
    <t>134.</t>
  </si>
  <si>
    <t>133.</t>
  </si>
  <si>
    <t>131.</t>
  </si>
  <si>
    <t>129.</t>
  </si>
  <si>
    <t>128.</t>
  </si>
  <si>
    <t>130.</t>
  </si>
  <si>
    <t>Felhalmozási célú kölcsön nyújtása munkavállalónak</t>
  </si>
  <si>
    <t>132.</t>
  </si>
  <si>
    <t>091250                                     Alapfokú Művészet-oktatással  összefüggő működtetési feladatok</t>
  </si>
  <si>
    <t>131                   Tájház felújítása</t>
  </si>
  <si>
    <t>135.</t>
  </si>
  <si>
    <t>139.</t>
  </si>
  <si>
    <t>140.</t>
  </si>
  <si>
    <t>141.</t>
  </si>
  <si>
    <t>083                             Alapfokú Művészet-oktatási feladatok</t>
  </si>
  <si>
    <t>Dunaharaszti Hétszínvirág Óvoda (Hétszínvirág SNI)</t>
  </si>
  <si>
    <t>039</t>
  </si>
  <si>
    <t>081061</t>
  </si>
  <si>
    <t>I. világháborús hadi síremlék felújítása</t>
  </si>
  <si>
    <t xml:space="preserve">   Ebből: Magyar Államkötvény eladás, Betétfelbontás</t>
  </si>
  <si>
    <t xml:space="preserve">   Ebből: Magyar Államkötvény vásárlás, Betétlekötés</t>
  </si>
  <si>
    <t>066010                                   Zöldterület-kezelés</t>
  </si>
  <si>
    <t>066010                                        Zöldterület-kezelés</t>
  </si>
  <si>
    <t>502                                              Bizonytalan bevételek (előző évekről hozott hátralék)</t>
  </si>
  <si>
    <t>Tartalék összege</t>
  </si>
  <si>
    <t xml:space="preserve">     Ebből: államháztartáson belüli megelőlegezések visszafizetése</t>
  </si>
  <si>
    <t>Dunaharaszti Mese Óvoda (SNI)</t>
  </si>
  <si>
    <t xml:space="preserve">104060   </t>
  </si>
  <si>
    <t>Városi dolgozók jutalom kerete</t>
  </si>
  <si>
    <t>Városi pedagógusok (iskolák) jutalmazási kerete</t>
  </si>
  <si>
    <t>056</t>
  </si>
  <si>
    <t>Karácsonyi díszvilágítás</t>
  </si>
  <si>
    <t>Temető fenntartás eszközbeszerzés</t>
  </si>
  <si>
    <t>Útépítési tervek, műszaki ellenőrzés, eljárási díjak, engedélyek</t>
  </si>
  <si>
    <t>Csapadékvíz elvezetési tervek, műszaki ellenőrzés, eljárási díjak, engedélyek</t>
  </si>
  <si>
    <t>Játszóterek eszközfejlesztése</t>
  </si>
  <si>
    <t>Tréningsorozat óvónők számára és szülők klubja</t>
  </si>
  <si>
    <t>költelező</t>
  </si>
  <si>
    <t>074052    Kábítószer megelőzés programjai, tevékenységei</t>
  </si>
  <si>
    <t>111</t>
  </si>
  <si>
    <t>112</t>
  </si>
  <si>
    <t>006                                                 Támogatások elszámolása</t>
  </si>
  <si>
    <t>005                                              Támogatások elszámolása</t>
  </si>
  <si>
    <t>004                                              Zöld Óvoda</t>
  </si>
  <si>
    <t>007                                                Rendészet</t>
  </si>
  <si>
    <t>Köztisztviselők egészségügyi ellátása</t>
  </si>
  <si>
    <t>032                                            Szelektív hulladékgyűjtés és zöldhulladék gyűjtés</t>
  </si>
  <si>
    <t>Halasztott</t>
  </si>
  <si>
    <t>035                                             Csapadékvíz-belvíz üzemeltetés; Kül- és belterületi nyílt ár- és belvízelvezető rendszer üzemeltetése;E-közműrendszer üzemeltetése</t>
  </si>
  <si>
    <t>097                                Kábítószer Egyeztető Fórum</t>
  </si>
  <si>
    <t xml:space="preserve">Dunaharaszti Területi Gondozási Központ (Egyéb járóbeteg) </t>
  </si>
  <si>
    <t xml:space="preserve">036                                      Vagyongazd. Kiadások (Közbeszerzés kiadásai; vagyonbiztosítás; energetikai tanácsadás; GDPR megfelelés; DHRV Kft. Végelsz.bev.) </t>
  </si>
  <si>
    <t>092                          Innovatív fejlesztések (E-városom, Haraszti kártya)</t>
  </si>
  <si>
    <t>034                                                        Helyi közutak fenntartása, rendkívüli síkosság mentesítés</t>
  </si>
  <si>
    <t>Kiegészítő támogatás a pedagógusok és a pedagógus szakképzettséggel rendelkező
segítők minősítéséből adódó többletkiadásokhoz</t>
  </si>
  <si>
    <t xml:space="preserve">    Ebből: működési célú maradvány</t>
  </si>
  <si>
    <t xml:space="preserve">    Ebből: felhalmozási célú maradvány</t>
  </si>
  <si>
    <t>113                                   Új iskola 1-4. évfolyamával kapcsolatos feladatok</t>
  </si>
  <si>
    <t>114                                     Új iskola 5-8. évfolyamával kapcsolatos feladatok</t>
  </si>
  <si>
    <t>005                                  Támogatások elszámolása</t>
  </si>
  <si>
    <t>Magyar Államkincstárnál vezetett Épületenergetikai pályázathoz kapcsolódó számla</t>
  </si>
  <si>
    <t>040</t>
  </si>
  <si>
    <t>041160</t>
  </si>
  <si>
    <t>042                                                  Közterület használat, Reklámtábla</t>
  </si>
  <si>
    <t xml:space="preserve"> ebből: Rendészet</t>
  </si>
  <si>
    <t>006                               Előző évekről hozott hátralék</t>
  </si>
  <si>
    <t>Előző évekről hozott bevételi hátralékok forrása (kiadási oldala 502 részletezőkód)</t>
  </si>
  <si>
    <t>B1-B8</t>
  </si>
  <si>
    <t>072111                                                   Háziorvosi alapellátás</t>
  </si>
  <si>
    <t>064010                                        Közvilágítás</t>
  </si>
  <si>
    <t>066010                                              Zöldterület-kezelés</t>
  </si>
  <si>
    <t>086030                                           Nemzetközi kulturális együttműködés</t>
  </si>
  <si>
    <t>074011                                       Foglalkozás-egészségügyi alapellátások</t>
  </si>
  <si>
    <t>082030                                   Művészeti tevékenységek (kivéve: színház)</t>
  </si>
  <si>
    <t>104031                                    Gyermekek bölcsődében és mini bölcsődében történő ellátása</t>
  </si>
  <si>
    <t>081045                                Szabadidősport- (rekreációs sport-) tevékenység és támogatása</t>
  </si>
  <si>
    <t>081045                                      Szabadidősport- (rekreációs sport-) tevékenység és támogatása</t>
  </si>
  <si>
    <t>900020 Önkormányzati funkcióra nem sorolható bevételei államháztartáson kívülről</t>
  </si>
  <si>
    <t>107051                               Szociális étkeztetés szociális konyhán</t>
  </si>
  <si>
    <t>900020                                                    Önkormányzhati funkcióra nem sorolható bevételei államháztartáson kívülről</t>
  </si>
  <si>
    <t>082043                              Könyvtári állomány feltárása, megőrzése, védelme</t>
  </si>
  <si>
    <t>008                              Közvilágítási  bővítések, átépítések (lakossági kérésre; új vezérlés kiépítése)</t>
  </si>
  <si>
    <t>95.</t>
  </si>
  <si>
    <t>Dunaharaszti Család- és Gyermekjóléti Szolgálat (Nyári napközis tábor)</t>
  </si>
  <si>
    <t>Ingatlanértékesítések bevételi tartaléka</t>
  </si>
  <si>
    <t>Önkormányzati igazgatás</t>
  </si>
  <si>
    <t>Óvodák játszóeszköz fejlesztése</t>
  </si>
  <si>
    <t>Temetkezés gépkocsi vásárlás</t>
  </si>
  <si>
    <t xml:space="preserve">074040                                                                                   Fertőző megbetegedések megelőzése, járványügyi ellátás </t>
  </si>
  <si>
    <t>100                                         Koronavírus járvánnyal kapcsolatos kiadások</t>
  </si>
  <si>
    <t>Intézményi zöldterületek ad-hoc feladatai</t>
  </si>
  <si>
    <t>Okoszebrák</t>
  </si>
  <si>
    <t xml:space="preserve">Földárok építése </t>
  </si>
  <si>
    <t xml:space="preserve">Burkolt árok építése </t>
  </si>
  <si>
    <t>018                    Környezetvé-delmi program felülvizsgálata</t>
  </si>
  <si>
    <t>051040          Nem veszélyes hulladék kezelése, ártalmatlanítása</t>
  </si>
  <si>
    <t>013                                 Tárgyi eszköz értékesítés (Ingatlanok is)</t>
  </si>
  <si>
    <t>084040                           Egyházak közösségi és hitéleti tevékeny-ségének támogatása</t>
  </si>
  <si>
    <t>089                                       ÁFA bevallás bevétel és kiadás (telekeladások ÁFA befizetése)</t>
  </si>
  <si>
    <t>Népszámlálás tartalék</t>
  </si>
  <si>
    <t>013210        Átfogó tervezési és statisztikai szolgáltatások</t>
  </si>
  <si>
    <t>010 Népszámlálás</t>
  </si>
  <si>
    <t>Jogcímszám</t>
  </si>
  <si>
    <t>2. számú melléklet 1. A települési önkormányzatok általános működésének és ágazati feladatainak támogatása</t>
  </si>
  <si>
    <t>1.1.</t>
  </si>
  <si>
    <t>A TELEPÜLÉSI ÖNKORMÁNYZATOK MŰKÖDÉSÉNEK ÁLTALÁNOS TÁMOGATÁSA</t>
  </si>
  <si>
    <t>1.1.1.</t>
  </si>
  <si>
    <t>A települési önkormányzatok működésének támogatása</t>
  </si>
  <si>
    <t>Önkormányzati hivatal működésének támogatása</t>
  </si>
  <si>
    <t>Településüzemeltetés- zöldterület gazdálkodás támogatása</t>
  </si>
  <si>
    <t>Településüzemeltetés- közvilágítás támogatása</t>
  </si>
  <si>
    <t>Településüzemeltetés- köztemető támogatása</t>
  </si>
  <si>
    <t>Településüzemeltetés- közutak támogatása</t>
  </si>
  <si>
    <t>1.2</t>
  </si>
  <si>
    <t>1.2.1</t>
  </si>
  <si>
    <t>Óvodaműködtetési támogatás - óvoda napi nyitvatartási ideje eléri a nyolc órát</t>
  </si>
  <si>
    <t>1.2.2</t>
  </si>
  <si>
    <t>Az óvodában foglalkoztatott pedagógusok átlagbéralapú támogatása</t>
  </si>
  <si>
    <t>Napi nyolc órát elérő nyitvatartási idővel rendelkező óvodában foglalkoztatott pedagógusok átlagbéralapú támogatása</t>
  </si>
  <si>
    <t>Pedagógusok átlagbér alapú támogatása 8 hó</t>
  </si>
  <si>
    <t>Pedagógusok átlagbér alapú támogatása 4 hó</t>
  </si>
  <si>
    <t>1.2.3</t>
  </si>
  <si>
    <t>1.2.3.1</t>
  </si>
  <si>
    <t>Minősítést 2020. január 1-jéig történő átsorolással megszerző</t>
  </si>
  <si>
    <t>1.2.3.1.1.</t>
  </si>
  <si>
    <t xml:space="preserve">Napi nyolc órát elérő nyitvatartási idővel rendelkező óvodában foglalkoztatott </t>
  </si>
  <si>
    <t>1.2.3.1.1.1.</t>
  </si>
  <si>
    <t>Alapfokozatú végzettségű</t>
  </si>
  <si>
    <t>Pedagógus II. kategóriába sorolt pedagógusok, pedagógus szakképzettséggel rendelkező segítők kiegészítő támogatása</t>
  </si>
  <si>
    <t>Mesterpedagógus, kutatótanár kategóriába sorolt pedagógusok kiegészítő támogatása</t>
  </si>
  <si>
    <t>1.2.3.2</t>
  </si>
  <si>
    <t>Minősítést 2021. január 1-jéig történő átsorolással megszerző</t>
  </si>
  <si>
    <t>1.2.3.2.1</t>
  </si>
  <si>
    <t>1.2.3.2.1.1.</t>
  </si>
  <si>
    <t>1.2.3.2.1.1.1.</t>
  </si>
  <si>
    <t>1.2.3.2.1.1.2.</t>
  </si>
  <si>
    <t>1.2.4.</t>
  </si>
  <si>
    <t>1.2.4.1.</t>
  </si>
  <si>
    <t>1.2.4.1.1</t>
  </si>
  <si>
    <t>A köznevelési Kjtvhr.16.§(6) bekezdése a) pont ac) alpontja és b) pontja alapján nemzetiségi pótlékban részesülő pedagógus</t>
  </si>
  <si>
    <t>1.2.4.1.2</t>
  </si>
  <si>
    <t>A köznevelési Kjtvhr.16.§(6) bekezdése a) pont ab) alpontja alapján nemzetiségi pótlékban részesülő pedagógus</t>
  </si>
  <si>
    <t>1.2.4.1.3.</t>
  </si>
  <si>
    <t>A köznevelési Kjtvhr.16.§(6) bekezdése a) pont aa) alpontja alapján nemzetiségi pótlékban részesülő pedagógus</t>
  </si>
  <si>
    <t>1.2.5</t>
  </si>
  <si>
    <t>Az óvodában foglalkoztatott pedagógusok nevelőmunkáját
közvetlenül segítők átlagbéralapú támogatása</t>
  </si>
  <si>
    <t>1.2.5.1</t>
  </si>
  <si>
    <t>Pedagógus szakképzettséggel nem rendelkező segítők átlagbéralapú támogatása</t>
  </si>
  <si>
    <t>1.2.5.1.2</t>
  </si>
  <si>
    <t>Pedagógus szakképzettséggel rendelkező segítők átlagbéralapú támogatása</t>
  </si>
  <si>
    <t>1.3</t>
  </si>
  <si>
    <t>A TELEPÜLÉSI ÖNKORMÁNYZATOK EGYES SZOCIÁLIS ÉS GYERMEKJÓLÉTI FELADATAINAK TÁMOGATÁSA</t>
  </si>
  <si>
    <t>1.3.1</t>
  </si>
  <si>
    <t>A települési önkormányzatok szociális és gyermekjóléti feladatainak egyéb támogatása</t>
  </si>
  <si>
    <t>1.3.2</t>
  </si>
  <si>
    <t>Család- és gyermekjóléti szolgálat</t>
  </si>
  <si>
    <t>1.3.2.3</t>
  </si>
  <si>
    <t>Szociális étkeztetés -önálló feladatellátás</t>
  </si>
  <si>
    <t>1.3.2.4</t>
  </si>
  <si>
    <t>1.3.2.4.1</t>
  </si>
  <si>
    <t>Személyi gondozás -önálló feladatellátás</t>
  </si>
  <si>
    <t>1.3.2.6</t>
  </si>
  <si>
    <t>Időskorúak nappali intézményi ellátása -önálló feladatellátás</t>
  </si>
  <si>
    <t>1.3.3</t>
  </si>
  <si>
    <t>1.3.3.1</t>
  </si>
  <si>
    <t>Bölcsődei bértámogatás</t>
  </si>
  <si>
    <t>1.3.3.2</t>
  </si>
  <si>
    <t>Bölcsődei üzemeltetési támogatás (miniszteri döntés függvénye)</t>
  </si>
  <si>
    <t>1.3.4.</t>
  </si>
  <si>
    <t>1.3.4.1</t>
  </si>
  <si>
    <t>Bértámogatás</t>
  </si>
  <si>
    <t>1.4</t>
  </si>
  <si>
    <t>A TELEPÜLÉSI ÖNKORMÁNYZATOK GYERMEKÉTKEZTETÉSI FELADATAINAK TÁMOGATÁSA</t>
  </si>
  <si>
    <t>1.4.1</t>
  </si>
  <si>
    <t>Intézményi gyermekétkeztetés támogatása</t>
  </si>
  <si>
    <t>Intézményi  gyermekétkeztetés -bértámogatás</t>
  </si>
  <si>
    <t>1.4.1.2.</t>
  </si>
  <si>
    <t>Intézményi  gyermekétkeztetés - üzemeltetési támogatás (miniszteri döntés függvénye)</t>
  </si>
  <si>
    <t>1.4.2</t>
  </si>
  <si>
    <t>Szünidei étkeztetés támogatása</t>
  </si>
  <si>
    <t>1.5</t>
  </si>
  <si>
    <t>1.5.2</t>
  </si>
  <si>
    <t>Bevételek</t>
  </si>
  <si>
    <t xml:space="preserve">Működési bevételek </t>
  </si>
  <si>
    <t xml:space="preserve"> ebből: költségvetési működési bevételek</t>
  </si>
  <si>
    <t xml:space="preserve"> ebből: költségvetési működési kiadások</t>
  </si>
  <si>
    <t xml:space="preserve"> ebből: költségvetési felhalmozási bevételek</t>
  </si>
  <si>
    <t xml:space="preserve"> ebből: költségvetési felhalmozási kiadások</t>
  </si>
  <si>
    <t xml:space="preserve">    Ebből: működési célú pénzmaradvány</t>
  </si>
  <si>
    <t xml:space="preserve">   Ebből: államháztartáson belüli megelőlegezések visszafizetése</t>
  </si>
  <si>
    <t xml:space="preserve">    Ebből: felhalmozási célú pénzmaradvány</t>
  </si>
  <si>
    <t xml:space="preserve">   Ebből működési célú intézményfinanszírozás kiadása</t>
  </si>
  <si>
    <t xml:space="preserve">   Ebből felhalmozási célú intézményfinanszírozás kiadása</t>
  </si>
  <si>
    <t xml:space="preserve">    Ebből: Hitelfelvétel</t>
  </si>
  <si>
    <t xml:space="preserve">    Ebből: Magyar Államkötvény vásárlás</t>
  </si>
  <si>
    <t xml:space="preserve">    Ebből: Magyar Államkötvény eladás</t>
  </si>
  <si>
    <t xml:space="preserve">    Ebből:  államháztartáson belüli megelőlegezések visszafizetése</t>
  </si>
  <si>
    <t>Eredeti</t>
  </si>
  <si>
    <t>Költségvetési működési bevételek</t>
  </si>
  <si>
    <t>Költségvetési működési kiadások</t>
  </si>
  <si>
    <t>Költségvetési működési egyenleg</t>
  </si>
  <si>
    <t>Költségvetési felhalmozási bevételek</t>
  </si>
  <si>
    <t>Költségvetési felhalmozási kiadások</t>
  </si>
  <si>
    <t>Költségvetési felhalmozási egyenleg</t>
  </si>
  <si>
    <t>Költségvetési egyenleg (Költségvetési működési egyenleg + Költségvetési felhalmozási egyenleg)</t>
  </si>
  <si>
    <t>Finanszírozási egyenleg (Finanszírozási bevétel - Finanszírozási kiadás)</t>
  </si>
  <si>
    <t xml:space="preserve"> Rovat megnevezése</t>
  </si>
  <si>
    <t>Rovat sorszáma</t>
  </si>
  <si>
    <t>2022. év</t>
  </si>
  <si>
    <t>2023. év</t>
  </si>
  <si>
    <t>Egyéb felhalmozási célú kiadások</t>
  </si>
  <si>
    <t xml:space="preserve"> Ebből: költségvetési működési kiadások</t>
  </si>
  <si>
    <t xml:space="preserve"> Ebből: költségvetési felhalmozási kiadások</t>
  </si>
  <si>
    <t xml:space="preserve">  Ebből működési célú intézményfinanszírozás kiadása</t>
  </si>
  <si>
    <t xml:space="preserve">  Ebből felhalmozási célú intézményfinanszírozás kiadása</t>
  </si>
  <si>
    <t xml:space="preserve"> Ebből: hitelfelvétellel kapcsolatos kiadások</t>
  </si>
  <si>
    <t xml:space="preserve"> Ebből: Magyar Államkötvény vásárlás</t>
  </si>
  <si>
    <t>Közhatalmi bevételek</t>
  </si>
  <si>
    <t>Felhalmozási célú átvett pénzeszközök</t>
  </si>
  <si>
    <t xml:space="preserve"> Ebből: költségvetési működési bevételek</t>
  </si>
  <si>
    <t xml:space="preserve"> Ebből: költségvetési felhalmozási bevételek</t>
  </si>
  <si>
    <t xml:space="preserve">  Ebből működési célú pénzmaradvány</t>
  </si>
  <si>
    <t xml:space="preserve">  Ebből felhalmozási célú pénzmaradvány</t>
  </si>
  <si>
    <t xml:space="preserve">  Ebből működési célú intézményfinanszírozás bevétele</t>
  </si>
  <si>
    <t xml:space="preserve">  Ebből felhalmozási célú intézményfinanszírozás bevétele</t>
  </si>
  <si>
    <t xml:space="preserve">  Ebből: Hitelfelvétel</t>
  </si>
  <si>
    <t xml:space="preserve">  Ebből: Magyar Államkötvény vásárlás</t>
  </si>
  <si>
    <t xml:space="preserve">  Ebből: államháztartáson belüli megelőlegezések</t>
  </si>
  <si>
    <t xml:space="preserve">* A kiugró változás oka az előző évhez képest: </t>
  </si>
  <si>
    <t>2024. év</t>
  </si>
  <si>
    <t>2021. évi költségvetés egyenlege (Költségvetési egyenleg + Finanszírozási egyenleg)</t>
  </si>
  <si>
    <t>Többéves kihatással járó döntések számszerűsítése évenkénti bontásban és összesítve célok szerint</t>
  </si>
  <si>
    <t>Kötelezettség jogcíme</t>
  </si>
  <si>
    <t>Köt. váll.
 éve</t>
  </si>
  <si>
    <t>Kiadás vonzata évenként</t>
  </si>
  <si>
    <t>Támogatási összeg</t>
  </si>
  <si>
    <t>eltérés</t>
  </si>
  <si>
    <t>2020.</t>
  </si>
  <si>
    <t>2021.</t>
  </si>
  <si>
    <t>2022.</t>
  </si>
  <si>
    <t>A</t>
  </si>
  <si>
    <t>B</t>
  </si>
  <si>
    <t>C</t>
  </si>
  <si>
    <t>D</t>
  </si>
  <si>
    <t>E</t>
  </si>
  <si>
    <t>F</t>
  </si>
  <si>
    <t>G</t>
  </si>
  <si>
    <t>H</t>
  </si>
  <si>
    <t>I=(D+E+F+G+H)</t>
  </si>
  <si>
    <t>Működési célú finanszírozási kiadások
(hiteltörlesztés, értékpapír vásárlás, stb.)</t>
  </si>
  <si>
    <t>Felhalmozási célú finanszírozási kiadások
(hiteltörlesztés, értékpapír vásárlás, stb.)</t>
  </si>
  <si>
    <t>7.2 hitelcél: Közoktatási feladatellátás int…</t>
  </si>
  <si>
    <t>2013</t>
  </si>
  <si>
    <t>5.1 hitelcél: Helyi közutak építése, felújítása</t>
  </si>
  <si>
    <t>2014</t>
  </si>
  <si>
    <t>6.3 hitelcél: Csapadék-vízelvezetés</t>
  </si>
  <si>
    <t>Beruházási kiadások beruházásonként</t>
  </si>
  <si>
    <t>2019</t>
  </si>
  <si>
    <t>Felújítási kiadások felújításonként</t>
  </si>
  <si>
    <t>járulék</t>
  </si>
  <si>
    <t>Egyéb (Pl.: garancia és kezességvállalás, stb.)</t>
  </si>
  <si>
    <t>Összesen (1+2+3+4+5)</t>
  </si>
  <si>
    <t>2023.</t>
  </si>
  <si>
    <t>Dunaharaszti Város Önkormányzata célhitelei, egyéb fejlesztési hitelei</t>
  </si>
  <si>
    <t>Célhitel (OTP)</t>
  </si>
  <si>
    <t>Mind-összesen 
(hitelek)</t>
  </si>
  <si>
    <t>Hitel felvétel folyamatban</t>
  </si>
  <si>
    <t>Hitel célja</t>
  </si>
  <si>
    <t>7.2 hitelcél: Közoktatási feladatellátás int….</t>
  </si>
  <si>
    <t>5.1 hitelcél: Helyi közútak építése, felújítása</t>
  </si>
  <si>
    <t>6.3 hitelcél: Csapadék - vízelvezetés</t>
  </si>
  <si>
    <t>Hitelszerződés kelte</t>
  </si>
  <si>
    <t>Kötelezettségvállalás száma</t>
  </si>
  <si>
    <t>Felvétel éve</t>
  </si>
  <si>
    <t>2013.07.03-2017.05.31.</t>
  </si>
  <si>
    <t>2014.12.10-2017.12.30</t>
  </si>
  <si>
    <t>Kamat mértéke</t>
  </si>
  <si>
    <t>3 havi BUBOR + MFB refinanszírozási kamatfelár + OTP kamatfelár 2,5 %</t>
  </si>
  <si>
    <t>Biztosíték, jelzálog, óvadék</t>
  </si>
  <si>
    <t>Évek</t>
  </si>
  <si>
    <t>Törlesztések</t>
  </si>
  <si>
    <t>2014.**</t>
  </si>
  <si>
    <t>2015.</t>
  </si>
  <si>
    <t>2016.</t>
  </si>
  <si>
    <t>2017. évi 2018-ban terhelt</t>
  </si>
  <si>
    <t>2018.</t>
  </si>
  <si>
    <t>2018. évi 2019-ben terhelt</t>
  </si>
  <si>
    <t>2019.</t>
  </si>
  <si>
    <t>2024.</t>
  </si>
  <si>
    <t>2025.</t>
  </si>
  <si>
    <t>2026.</t>
  </si>
  <si>
    <t>2027.</t>
  </si>
  <si>
    <t>2028.</t>
  </si>
  <si>
    <t>2029.</t>
  </si>
  <si>
    <t>2030.</t>
  </si>
  <si>
    <t>2031.</t>
  </si>
  <si>
    <t>2032.</t>
  </si>
  <si>
    <t>2033.</t>
  </si>
  <si>
    <t>2034.</t>
  </si>
  <si>
    <t>2035.</t>
  </si>
  <si>
    <t>2036.</t>
  </si>
  <si>
    <t>2037.</t>
  </si>
  <si>
    <t>2038.</t>
  </si>
  <si>
    <t>*RKO2; RKO1: 3 havi EURIBOR + az MFB refinanszírozási kamatfelár</t>
  </si>
  <si>
    <t>** konszolidált összeg</t>
  </si>
  <si>
    <t>2025. év</t>
  </si>
  <si>
    <t>2026. év</t>
  </si>
  <si>
    <t>2027. év</t>
  </si>
  <si>
    <t>2028. év</t>
  </si>
  <si>
    <t>2029. év</t>
  </si>
  <si>
    <t>2030. év</t>
  </si>
  <si>
    <t>2031. év</t>
  </si>
  <si>
    <t>2032. év</t>
  </si>
  <si>
    <t>2033. év</t>
  </si>
  <si>
    <t>2034. év</t>
  </si>
  <si>
    <t>2035. év</t>
  </si>
  <si>
    <t>2036. év</t>
  </si>
  <si>
    <t>2037. év</t>
  </si>
  <si>
    <t>2038. év</t>
  </si>
  <si>
    <t>Helyi adók</t>
  </si>
  <si>
    <t>Saját bevételek (01.+…+07.)</t>
  </si>
  <si>
    <t xml:space="preserve">Saját bevételek (08. sor) 50 %-a </t>
  </si>
  <si>
    <t>Előző év(ek)ben keletkezett tárgyévet terhelő fizetési kötelezettség (11+14+…+20)</t>
  </si>
  <si>
    <t>Hitelből eredő fizetési kötelezettség (12+13)</t>
  </si>
  <si>
    <t xml:space="preserve">   - ebből: Tőketörlesztés (12.a.+12.b.+12.c.)</t>
  </si>
  <si>
    <t>12.a.</t>
  </si>
  <si>
    <t xml:space="preserve">        1-2-13-8400-1237-9-01 hitelszerződés: 2014. évi útépítések</t>
  </si>
  <si>
    <t>12.b.</t>
  </si>
  <si>
    <t xml:space="preserve">        1-2-13-8400-1237-9-01/1 hitelszerződés: 2014. évi csapadékvíz elvezetések</t>
  </si>
  <si>
    <t>12.c.</t>
  </si>
  <si>
    <t xml:space="preserve">       ÖB 8400 2013 0098 hitelszerződés: Szivárvány Óvoda építése</t>
  </si>
  <si>
    <t xml:space="preserve">   - ebből: Kamatfizetés (13.a.+13.b.+13.c.)</t>
  </si>
  <si>
    <t>13.a.</t>
  </si>
  <si>
    <t>13.b.</t>
  </si>
  <si>
    <t>13.c.</t>
  </si>
  <si>
    <t>Kölcsönből eredő fizetési kötelezettség</t>
  </si>
  <si>
    <t>Hitelviszonyt megtestesítő értékpapírból eredő fizetési kötelezettség</t>
  </si>
  <si>
    <t>Adott váltóból eredő fizetési kötelezettség</t>
  </si>
  <si>
    <t>Pénzügyi lízingből eredő fizetési kötelezettség</t>
  </si>
  <si>
    <t>Halasztott fizetés, részletfizetés fizetési kötelezettsége</t>
  </si>
  <si>
    <t>Szerződésben kikötött visszavásárlási kötelezettség</t>
  </si>
  <si>
    <t>Kezesség-, és garanciavállalásból eredő fizetési kötelezettség</t>
  </si>
  <si>
    <t>Tárgyévben keletkezett illetve keletkező, tárgyévet terhelő fizetési kötelezettség (22+25+…+33)</t>
  </si>
  <si>
    <t>Hitelből eredő fizetési kötelezettség (23+24)</t>
  </si>
  <si>
    <t xml:space="preserve">   - ebből: Tőketörlesztés (23.a.+23.b.+23.c.)</t>
  </si>
  <si>
    <t>23.a.</t>
  </si>
  <si>
    <t>23.b.</t>
  </si>
  <si>
    <t>23.c.</t>
  </si>
  <si>
    <t xml:space="preserve">   - ebből: Kamatfizetés (24.a.+24.b.+24.c.)</t>
  </si>
  <si>
    <t>24.a.</t>
  </si>
  <si>
    <t>24.b.</t>
  </si>
  <si>
    <t>24.c.</t>
  </si>
  <si>
    <t>Fizetési kötelezettség összesen (10+21)</t>
  </si>
  <si>
    <t>Fizetési kötelezettséggel csökkentett saját bevétel (9-38)</t>
  </si>
  <si>
    <t>1. sor</t>
  </si>
  <si>
    <t>051 nem lakásc. Önk ing</t>
  </si>
  <si>
    <t>3. sor PMH B355 és B36</t>
  </si>
  <si>
    <t>052 lakás</t>
  </si>
  <si>
    <t>119 egyéb adóbev Bírság pólék</t>
  </si>
  <si>
    <t>053 Laffert</t>
  </si>
  <si>
    <t>Összesen2015</t>
  </si>
  <si>
    <t>054 Sírhely</t>
  </si>
  <si>
    <t>069 szennyv bérleti díj</t>
  </si>
  <si>
    <t>Nettó</t>
  </si>
  <si>
    <t>köv években Br 142840 nettó 112472000</t>
  </si>
  <si>
    <t>előző évi hátralék</t>
  </si>
  <si>
    <t>Mese</t>
  </si>
  <si>
    <t>előző évi hátralék Önk</t>
  </si>
  <si>
    <t>Hétszínvirág</t>
  </si>
  <si>
    <t>előző évi hátralék PMH</t>
  </si>
  <si>
    <t>3. sor</t>
  </si>
  <si>
    <t>080 Kőrösi</t>
  </si>
  <si>
    <t>Össesen</t>
  </si>
  <si>
    <t>Egyéb adóbev Pótlék, bírság (119)</t>
  </si>
  <si>
    <t>081 BEG</t>
  </si>
  <si>
    <t>Előző évi egyéb adóbev Pótlék, bírság</t>
  </si>
  <si>
    <t>PMH B3 bírság, elj.díj</t>
  </si>
  <si>
    <t>Mindösszesen</t>
  </si>
  <si>
    <t>Előző évi PMH B3  bírság elj.díj</t>
  </si>
  <si>
    <t>4. sor</t>
  </si>
  <si>
    <t>DPMV is benne van</t>
  </si>
  <si>
    <t>013 Ingatlan ért.</t>
  </si>
  <si>
    <t>036 DHRV végelsz</t>
  </si>
  <si>
    <t>051 Terembér</t>
  </si>
  <si>
    <t>052 Lakás</t>
  </si>
  <si>
    <t>052 előző évi hátralék</t>
  </si>
  <si>
    <t>069, 070, 105 Bérleti díj</t>
  </si>
  <si>
    <t>Művház</t>
  </si>
  <si>
    <t>060 Sportcsarnok</t>
  </si>
  <si>
    <t>PMH TE értékesítés</t>
  </si>
  <si>
    <t>Hétszín bérleti díj</t>
  </si>
  <si>
    <t>Mese bérleti díj</t>
  </si>
  <si>
    <t>Művház, Laffert bérl.díj</t>
  </si>
  <si>
    <t>5. sor</t>
  </si>
  <si>
    <t>Részvény értékesítés (112)</t>
  </si>
  <si>
    <t xml:space="preserve">4. </t>
  </si>
  <si>
    <t>Rovat
száma</t>
  </si>
  <si>
    <t>IV.</t>
  </si>
  <si>
    <t>V.</t>
  </si>
  <si>
    <t>VI.</t>
  </si>
  <si>
    <t>VII.</t>
  </si>
  <si>
    <t>VIII.</t>
  </si>
  <si>
    <t>IX.</t>
  </si>
  <si>
    <t>X.</t>
  </si>
  <si>
    <t>XI.</t>
  </si>
  <si>
    <t>XII.</t>
  </si>
  <si>
    <t>Nyitó pénzkészlet</t>
  </si>
  <si>
    <t xml:space="preserve">Finanszírozási bevételek </t>
  </si>
  <si>
    <t>Tárgy évi bevételek mindösszesen:</t>
  </si>
  <si>
    <t xml:space="preserve">Személyi juttatások </t>
  </si>
  <si>
    <t xml:space="preserve">Ellátottak pénzbeli juttatásai </t>
  </si>
  <si>
    <t xml:space="preserve">Felújítások </t>
  </si>
  <si>
    <t>Költségvetési kiadások</t>
  </si>
  <si>
    <t xml:space="preserve">Finanszírozási kiadások </t>
  </si>
  <si>
    <t>Tárgy évi kiadások mindösszesen:</t>
  </si>
  <si>
    <t>Egyenleg (11-22)</t>
  </si>
  <si>
    <t>Záró pénzkészlet (1+23)</t>
  </si>
  <si>
    <t xml:space="preserve">                                                   Felhasználási ütemterv                     Rovat megnevezése</t>
  </si>
  <si>
    <t>Folyamatban lévő Európai Uniós pályázatok (Ft)</t>
  </si>
  <si>
    <t>EU-s projekt neve, azonosítója:</t>
  </si>
  <si>
    <t>Források</t>
  </si>
  <si>
    <t>Saját erő</t>
  </si>
  <si>
    <t>- saját erőből központi támogatás</t>
  </si>
  <si>
    <t>EU-s forrás</t>
  </si>
  <si>
    <t>Társfinanszírozás</t>
  </si>
  <si>
    <t>Hitel</t>
  </si>
  <si>
    <t>Egyéb forrás</t>
  </si>
  <si>
    <t>Források összesen:</t>
  </si>
  <si>
    <t>Kiadások, költségek</t>
  </si>
  <si>
    <t>Személyi jellegű</t>
  </si>
  <si>
    <t>Dologi jellegű</t>
  </si>
  <si>
    <t>Beruházások, beszerzések</t>
  </si>
  <si>
    <t>Szolgáltatások igénybe vétele</t>
  </si>
  <si>
    <t>Folyamatban lévő (nem EU-s) pályázatok  és támogatások  (Ft)</t>
  </si>
  <si>
    <t>Támogatás célja</t>
  </si>
  <si>
    <t>Támogató szervezet</t>
  </si>
  <si>
    <t>Elnyert támogatás</t>
  </si>
  <si>
    <t>Pénzügyminisztérium</t>
  </si>
  <si>
    <t>ebből: részesedések beszerzése</t>
  </si>
  <si>
    <t>K-65</t>
  </si>
  <si>
    <t>007                    VIII/6734-2/2020/KOZNEVINT támogatás: tehetséggondozó verseny, környezettudatos nevelési program</t>
  </si>
  <si>
    <t>006                          VIII/6734-2/2020/KOZNEVINT támogatás: tehetséggondozó verseny, környezettudatos nevelési program</t>
  </si>
  <si>
    <t>Dunaharaszti Területi Gondozási Központ  (Iskolai intézményi étkeztetés)</t>
  </si>
  <si>
    <t>086                                   Konyhák fejlesztése</t>
  </si>
  <si>
    <t>091                                        Orvosi Rendelő, Gyermekorvosi rendelő kiadásai</t>
  </si>
  <si>
    <t>111                                        Dunaharaszti Városi Bölcsőde új tagintézmény PM_BOLCSODEFEJLESZTES_2019/20 pályázaton      BELÜLI</t>
  </si>
  <si>
    <t>112                                   Dunaharaszti Városi Bölcsőde új tagintézmény PM_BOLCSODEFEJLESZTES_2019/20 pályázaton      KÍVÜLI</t>
  </si>
  <si>
    <t>Vízi közmű bérleti díj elkül. Szla (kiadási oldala 069, 070 részgazda)</t>
  </si>
  <si>
    <t xml:space="preserve">082044 </t>
  </si>
  <si>
    <t>039                          Játszóterek felülvizsgálata (Játszóterek eszközfejlesztése)</t>
  </si>
  <si>
    <t xml:space="preserve">Veszélyhelyzet miatti helyi adóbevétel kiesés tartaléka </t>
  </si>
  <si>
    <t>ebből: Posta</t>
  </si>
  <si>
    <t>502  előző évi hátralék</t>
  </si>
  <si>
    <t>042 Közter, reklámtábla</t>
  </si>
  <si>
    <t>041 piac</t>
  </si>
  <si>
    <r>
      <t xml:space="preserve">Dunaharaszti Városi Bölcsőde </t>
    </r>
    <r>
      <rPr>
        <sz val="10"/>
        <rFont val="Garamond"/>
        <family val="1"/>
        <charset val="238"/>
      </rPr>
      <t>új tagintézmény PM_BOLCSODEFEJLESZTES_2019/20</t>
    </r>
  </si>
  <si>
    <t>K48</t>
  </si>
  <si>
    <t>207                                                Krízishelyzet és egyéb szociális célú támogatás</t>
  </si>
  <si>
    <t xml:space="preserve">208                                               Szemétdíj átvállalása rászorultsági alapon </t>
  </si>
  <si>
    <t xml:space="preserve">PM_BOLCSODEFEJLESZTES_2019/20 Dunaharaszti Városi Bölcsőde új tagintézmény </t>
  </si>
  <si>
    <t>Szennyvíz bérleti díj felhasználás előző évek (Szennyvíz)</t>
  </si>
  <si>
    <t xml:space="preserve"> Szennyvíz bérleti díj felhasználás előző évek (Ivóvíz)</t>
  </si>
  <si>
    <t>Dunaharaszti Városi Bölcsőde új tagintézmény PM_BOLCSODEFEJLESZTES_2019/20 pályázaton KÍVÜLI</t>
  </si>
  <si>
    <t>056                                          Közvilágítás; parkok díszvilágításának karbantartása; karácsonyi díszvilágítás felszerelése, karbantartása; Mért közvil.hálózat üzemeltetése;</t>
  </si>
  <si>
    <t>saját forrás</t>
  </si>
  <si>
    <t>Dunaharaszti Város Önkormányzat saját bevételeinek és a Stabilitási törvény 8. § (2) bekezdése szerinti adósságot keletkeztető ügyleteiből eredő fizetési kötelezettségeinek várható összege a futamidő végéig (Áht. 29/A. §) Ft-ban</t>
  </si>
  <si>
    <t xml:space="preserve">065                                Park tervezése, szabadidős fejlesztések </t>
  </si>
  <si>
    <t>107060</t>
  </si>
  <si>
    <t>072112</t>
  </si>
  <si>
    <t>I. Háziorvosi ügyeleti ellátás</t>
  </si>
  <si>
    <t>018030</t>
  </si>
  <si>
    <t>Támogatási célú finanszírozási műveletek</t>
  </si>
  <si>
    <t>2022. évi állami normatíva mindösszesen szolidaritási hozzájárulás befizetése után</t>
  </si>
  <si>
    <t>Városi dolgozók temetési és gyermekszületési támogatása</t>
  </si>
  <si>
    <t>2022. évi választás</t>
  </si>
  <si>
    <t>2022. évi népszámlálás</t>
  </si>
  <si>
    <t>071                                  Óvodások hallásvizsgálata, szemészeti és orthopédiai vizsgálata, fogászati szűrése</t>
  </si>
  <si>
    <t>Narancsliget Alapítvány támogatása</t>
  </si>
  <si>
    <t>Sport-szigeti játszótér fejlesztése</t>
  </si>
  <si>
    <t>Útépítési és kerékpárút építési tervek (előző évi maradvány: )</t>
  </si>
  <si>
    <t>Fekvőrendőrök, pollerek kihelyezése</t>
  </si>
  <si>
    <t xml:space="preserve">Járdaépítés Csokonai u. </t>
  </si>
  <si>
    <t>Paradicsom-szigeti utcák építése</t>
  </si>
  <si>
    <t>Fecskefű u. stabilizálása, árokkal (Paál L. u.-Zágoni u. szakasz)</t>
  </si>
  <si>
    <t>Sport-szigeti parkoló stabilizálása</t>
  </si>
  <si>
    <t>116</t>
  </si>
  <si>
    <t>116                           Bezerédi Sportpark pályázaton belüli</t>
  </si>
  <si>
    <t>142.</t>
  </si>
  <si>
    <t>24 tantermes iskola szennyvíz-elvezetése II. ütem</t>
  </si>
  <si>
    <t>052080                                Szennyvízcsatorna építése, fenntartása, üzemeltet.</t>
  </si>
  <si>
    <t>005                                        Szennyvíz beruházások saját forrás</t>
  </si>
  <si>
    <t>063080                               Vízellátással kapcsolatos közmű építése, fenntart.</t>
  </si>
  <si>
    <t>006                                        Ivóvíz beruházások saját forrás</t>
  </si>
  <si>
    <t>143.</t>
  </si>
  <si>
    <t>144.</t>
  </si>
  <si>
    <t>044</t>
  </si>
  <si>
    <t>044                                          Sport-szigeti napközis tábor</t>
  </si>
  <si>
    <t>145.</t>
  </si>
  <si>
    <t>Intézményi ingatlanokkal kapcsolatos tervezések, műszaki ellenőrzések</t>
  </si>
  <si>
    <t>017</t>
  </si>
  <si>
    <t>102031                 Idősek nappali ellátása</t>
  </si>
  <si>
    <t>017                            Területi Gondozási Központ új helyének kialakítása</t>
  </si>
  <si>
    <t>146.</t>
  </si>
  <si>
    <t>Piaci konténerépület könnyűszerkezetes építése</t>
  </si>
  <si>
    <t>066</t>
  </si>
  <si>
    <t>066                               "D" típusú sportpark</t>
  </si>
  <si>
    <t>147.</t>
  </si>
  <si>
    <t>062      Hétszínvirág Ó. Bérleti díj</t>
  </si>
  <si>
    <t>Paradicsomsziget Egyesület támogatása</t>
  </si>
  <si>
    <t>Közterületi kamerák beszerzése</t>
  </si>
  <si>
    <t>Útépítési beruházások műszaki ellenőrzése</t>
  </si>
  <si>
    <t>Játszóterek vízellátásának kiépítése (kútfúrás)</t>
  </si>
  <si>
    <t>144</t>
  </si>
  <si>
    <t>148.</t>
  </si>
  <si>
    <t>149.</t>
  </si>
  <si>
    <t>150.</t>
  </si>
  <si>
    <t>151.</t>
  </si>
  <si>
    <t>146                   Szivárvány Óvoda bővítés BELÜLI</t>
  </si>
  <si>
    <t>152.</t>
  </si>
  <si>
    <t>147                   Szivárvány Óvoda bővítés KÍVÜLI</t>
  </si>
  <si>
    <t>146</t>
  </si>
  <si>
    <t>Szivárvány Óvoda bővítés</t>
  </si>
  <si>
    <t>069                                   Szennyvíz bérleti díj felhasználás 2022. év (Szennyvíz)</t>
  </si>
  <si>
    <t>070                                   Szennyvíz bérleti díj felhasználás 2022. év                 (Ivóvíz)</t>
  </si>
  <si>
    <t>Szekér utcai játszótér vásárlás</t>
  </si>
  <si>
    <t>Fő út 64-66. ingatlanvásárlás</t>
  </si>
  <si>
    <t>Ingatlanvásárlások</t>
  </si>
  <si>
    <t>Szennyvíz bérleti díj felhasználás 2022. év (Szennyvíz)</t>
  </si>
  <si>
    <t xml:space="preserve"> Szennyvíz bérleti díj felhasználás 2022. év (Ivóvíz)</t>
  </si>
  <si>
    <t>016020        Országos és helyi népszavazással kapcsolatos tevékenységek</t>
  </si>
  <si>
    <t>2022. évben megvalósítható halasztott tételek</t>
  </si>
  <si>
    <t>2022. évi ütem forrásai</t>
  </si>
  <si>
    <t>2022. évi állami normatíva igénylés Magyarország 2022. évi központi költségvetéséről szóló 2021. évi XC. törvény alapján</t>
  </si>
  <si>
    <t>Üres álláshelyek 2022.01.01.</t>
  </si>
  <si>
    <t>Dunaharaszti Önkormányzat közvetett támogatásainak részletezése 2022. évben az Ávr.  28 §-a szerint, amelyről rendelkezik az Áht. 24 § (4) bekezdés c) pontja</t>
  </si>
  <si>
    <t>Dunaharaszti Város Önkormányzat 2022. évre tervezett működési, felhalmozási bevételeinek és kiadásainak mérlegszerű bemutatása (Ft-ban)</t>
  </si>
  <si>
    <t>2022. évi eredeti előirányzat</t>
  </si>
  <si>
    <t>Dunaharaszti Város Önkormányzat 2022. évi likviditási terve (Ft-ban)</t>
  </si>
  <si>
    <t>Dunaharaszti Város Önkormányzat 2022. évi bevételi és kiadási előirányzatainak felhasználási ütemterve (Ft)</t>
  </si>
  <si>
    <t>2022. évi terv összesen</t>
  </si>
  <si>
    <t>2021. évig befolyt támogatási összeg</t>
  </si>
  <si>
    <t>091140</t>
  </si>
  <si>
    <t>148</t>
  </si>
  <si>
    <t>148                   Parti sétány és tanösvény BELÜLI</t>
  </si>
  <si>
    <t>149                   Parti sétány és tanösvény KÍVÜLI</t>
  </si>
  <si>
    <t>153.</t>
  </si>
  <si>
    <t>154.</t>
  </si>
  <si>
    <t>2022. évi előirányzat</t>
  </si>
  <si>
    <t>011    Országgyűlési választás</t>
  </si>
  <si>
    <t>012        Népszavazás</t>
  </si>
  <si>
    <r>
      <t xml:space="preserve">073                            </t>
    </r>
    <r>
      <rPr>
        <sz val="12"/>
        <color indexed="8"/>
        <rFont val="Garamond"/>
        <family val="1"/>
        <charset val="238"/>
      </rPr>
      <t xml:space="preserve"> </t>
    </r>
    <r>
      <rPr>
        <sz val="12"/>
        <rFont val="Garamond"/>
        <family val="1"/>
        <charset val="238"/>
      </rPr>
      <t>Tüdőszűrés</t>
    </r>
    <r>
      <rPr>
        <sz val="12"/>
        <color indexed="8"/>
        <rFont val="Garamond"/>
        <family val="1"/>
        <charset val="238"/>
      </rPr>
      <t xml:space="preserve">, </t>
    </r>
    <r>
      <rPr>
        <sz val="12"/>
        <rFont val="Garamond"/>
        <family val="1"/>
        <charset val="238"/>
      </rPr>
      <t>Férfi és női lakosság szűrőgizsgálatainak megszervezése</t>
    </r>
  </si>
  <si>
    <t>Toldi u.-Táncsics M. u. közötti szakaszon csomópontok átépítése</t>
  </si>
  <si>
    <t>202                                                Települési támogatás, Időskorúak és rászoruló családok karácsonyi csomagja (5.000.000,- Ft)</t>
  </si>
  <si>
    <t>Települési támogatás: Időskorúak és rászoruló családok karácsonyi csomagja és rendezvényeik</t>
  </si>
  <si>
    <t>Beruházások, felújítások műszaki ellenőrzése (műszaki iroda)</t>
  </si>
  <si>
    <t>088                          Anna-ház posta</t>
  </si>
  <si>
    <t>049010               Máshova nem sorolt gazdasági események</t>
  </si>
  <si>
    <t>93.</t>
  </si>
  <si>
    <t>149</t>
  </si>
  <si>
    <t>Parti sétány és tanösvény (kívüli)</t>
  </si>
  <si>
    <t>117                           Bezerédi Sportpark pályázaton kívüli</t>
  </si>
  <si>
    <t>155.</t>
  </si>
  <si>
    <t>144                   Autotechnika BELÜLI</t>
  </si>
  <si>
    <t>145                   Autotechnika KÍVÜLI</t>
  </si>
  <si>
    <t>140</t>
  </si>
  <si>
    <t>066020                                 Város-és községgazdálkodási egyéb szolgáltatás            018030               Támogatási célú finanszírozási műveletek</t>
  </si>
  <si>
    <t>018030         Támogatás célú finanszírozási műveletek</t>
  </si>
  <si>
    <t>Nem teljesített törlesztések 2021. december 31.</t>
  </si>
  <si>
    <t xml:space="preserve">Záró állomány : 2021.12.31.        </t>
  </si>
  <si>
    <t>DMTK Versenysport és utánpótlás-nevelési tevékenységek támogatása 2022.</t>
  </si>
  <si>
    <t>DMTK Versenysport és utánpótlás-nevelési tevékenységek támogatása 2021. évi maradvány</t>
  </si>
  <si>
    <t>DMTK Sportpálya rezsi kiadások támogatása 2021. évi maradvány</t>
  </si>
  <si>
    <t>DMTK Sportlétesítmények, edzőtáborok működési támogatása 2022.</t>
  </si>
  <si>
    <t>136                        Fő út 35. Gyermekorvosi rendelő pályázat KÍVÜLI</t>
  </si>
  <si>
    <t>134                    Fő út 35. Gyermekorvosi rendelő pályázat BELÜLI (előző évi maradvány: 330.331,- Ft)</t>
  </si>
  <si>
    <t>HÉSZ, SZT, TSZT módosítás (előző évi maradvány: 1.409.700,- Ft)</t>
  </si>
  <si>
    <t>Kinizsi utcai átemelő szivattyú tervezése (előző évi maradvány: 406.400,- Ft)</t>
  </si>
  <si>
    <t>Némedi út parkoló, kerékpárút, járda építése (műszaki ellenőrzés is) (előző évi maradvány: 1.905.000,- Ft)</t>
  </si>
  <si>
    <t>Újhegyi dűlő vízellátása (előző évi maradvány: 2540.000,- Ft)</t>
  </si>
  <si>
    <t>Újhegyi dűlő csatornázása (előző évi maradvány: 2540.000,- Ft)</t>
  </si>
  <si>
    <t>Gyalogátkelők kiépítése (előző évi maradvány: 2.336.777,- Ft)</t>
  </si>
  <si>
    <t>309</t>
  </si>
  <si>
    <t>Temetkezés hűtő beszerzés (előző évi maradvány: 2.730.500,- Ft)</t>
  </si>
  <si>
    <t>136</t>
  </si>
  <si>
    <t>Dunaharaszti Gyermekorvosi Rendelő előtető felújítása (előző évi maradvány: 759.054,- Ft)</t>
  </si>
  <si>
    <t>096</t>
  </si>
  <si>
    <t>Sport-szigeti napközis tábor (előző évi maradvány: 444.500,- Ft)</t>
  </si>
  <si>
    <t xml:space="preserve">Sportcsarnok beruházás </t>
  </si>
  <si>
    <t>Sportcsarnok védőháló (előző évi maradvány: 1.438.783,- Ft)</t>
  </si>
  <si>
    <t>Dunaharaszti Városi Könyvtár - Könyvtári elkülönített SZJA 1%-os számla (előző évi maradvány: 340.528,- Ft)</t>
  </si>
  <si>
    <t>Dunaharaszti József Attila Művelődési Ház (Közművelődési tevékenység) (előző évi maradvány: 3.451.127,- Ft)</t>
  </si>
  <si>
    <t>*1.1.1.1.</t>
  </si>
  <si>
    <t>*1.1.1.2</t>
  </si>
  <si>
    <t>*1.1.1.3</t>
  </si>
  <si>
    <t>*1.1.1.4</t>
  </si>
  <si>
    <t>*1.1.1.5</t>
  </si>
  <si>
    <t>*1.1.1.6</t>
  </si>
  <si>
    <t>*1.1.1.7</t>
  </si>
  <si>
    <t>*1.2.2.1.</t>
  </si>
  <si>
    <t>*1.2.3.1.1.1.1.</t>
  </si>
  <si>
    <t>*1.2.3.1.1.1.2.</t>
  </si>
  <si>
    <t>*1.2.5.1.1</t>
  </si>
  <si>
    <t>*1.3.2.1.</t>
  </si>
  <si>
    <t>*1.3.2.3.1.</t>
  </si>
  <si>
    <t>*1.3.2.4.2</t>
  </si>
  <si>
    <t>*1.3.2.6.1</t>
  </si>
  <si>
    <t>*1.3.3.1.1.</t>
  </si>
  <si>
    <t>*1.3.3.1.2.</t>
  </si>
  <si>
    <t>*1.4.1.1.</t>
  </si>
  <si>
    <t>A csillaggal jelölt részek a 2022. évi bértámogatás összegeit is tartalmazzák</t>
  </si>
  <si>
    <t xml:space="preserve">8230/1 hrsz. területen elektromos hálózatépítés </t>
  </si>
  <si>
    <t>Szigetszentmiklósi Szakorvosi Rendelőintézet támogatása fül-orr-gégészeti eszközök beszerzésére</t>
  </si>
  <si>
    <t>Dunaharaszti Város Önkormányzat Képviselő-testületének 73/2021. (XI.29.) számú határozata: 6057/5 hrsz. ingatlanvásárlás</t>
  </si>
  <si>
    <t>Dunaharaszti Város Önkormányzat Képviselő-testületének 80/2021. (XII.3) sz. Kt. határozata: 0178/37 hrsz. ingatlanvásárlás</t>
  </si>
  <si>
    <t>126                                      A3 mederburkolás pályázaton                          BELÜLI</t>
  </si>
  <si>
    <t>PM_CSAPVIZGAZD_2017/39 sz. állami támogatás fel nem használt összegének visszautalása (A3 mederburkolás)</t>
  </si>
  <si>
    <t>018030                                      Támogatási célú finanszírozási műveletek</t>
  </si>
  <si>
    <t>317                                Szigetszentmiklósi Tankerület által fenntartott és üzemeltetett Dunaharaszti intézmények támogatása</t>
  </si>
  <si>
    <t>József Attila Művelődési Házban kazáncsere</t>
  </si>
  <si>
    <t>150                   Bölcsőde (Kossuth Lajos utcai) vizesblokk felújítás              BELÜLI</t>
  </si>
  <si>
    <t>151                   Bölcsőde (Kossuth Lajos utcai) vizesblokk felújítás              KÍVÜLI</t>
  </si>
  <si>
    <t>150</t>
  </si>
  <si>
    <t>057</t>
  </si>
  <si>
    <t>ebből: Dunaharaszti Hírek</t>
  </si>
  <si>
    <t>Tulajdonosi bevételek</t>
  </si>
  <si>
    <t>Díjak, pótlékok, bírságok, települési adók</t>
  </si>
  <si>
    <t>Immateriális javak, ingatlanok és egyéb tárgyi eszközök értékesítése</t>
  </si>
  <si>
    <t>Részesedések értékesítése és részesedések megszűnéséhez kapcsolódó bevételek</t>
  </si>
  <si>
    <t>Privatizációból származó bevételek</t>
  </si>
  <si>
    <t>Garancia- és kezességvállalásból származó megtérülések</t>
  </si>
  <si>
    <t>2. sor Tulajdonosi bev</t>
  </si>
  <si>
    <t>309                                           Helyi tömegközlekedés támogatása és működtetése</t>
  </si>
  <si>
    <t>051 nem lakásc</t>
  </si>
  <si>
    <t>054 sírhely</t>
  </si>
  <si>
    <t>060 sportcsarnok</t>
  </si>
  <si>
    <t>069, 070</t>
  </si>
  <si>
    <t>intfin</t>
  </si>
  <si>
    <t>maradvány</t>
  </si>
  <si>
    <t>ktgv egyenleg</t>
  </si>
  <si>
    <t>Dunaharaszti Város Önkormányzat  2021., 2022., 2023., 2024. és 2025. évre tervezett működési, felhalmozási kiadásainak és bevételeinek bemutatása (Ft-ban)</t>
  </si>
  <si>
    <t>2022. évi költségvetés egyenlege (Költségvetési egyenleg + Finanszírozási egyenleg)</t>
  </si>
  <si>
    <t>2022. előtt</t>
  </si>
  <si>
    <t>2022. után</t>
  </si>
  <si>
    <t>BMÖFT/6-9/2021. Dunaharaszti, Gyermekorvosi Rendelő fejlesztése (tetőfelújítás)</t>
  </si>
  <si>
    <t>Belügyminisztérium</t>
  </si>
  <si>
    <t>K-Sz-0137/000855/2021
„Dunaharaszti József Attila Művelődési Ház 2330 Dunaharaszti, Táncsics Mihály u. 2. szám alatti épülete tetőszerkezetének felújítása”</t>
  </si>
  <si>
    <t>Emberi Erőforrások Minisztériuma – Nemzeti Művelődési Intézet Nonprofit Közhasznú Kft.</t>
  </si>
  <si>
    <t>2022. év előtti kifizetés</t>
  </si>
  <si>
    <t>2024. év után</t>
  </si>
  <si>
    <t>Sportpark járda és várakozósáv építése (előző évi maradvány: 482.600,- Ft)</t>
  </si>
  <si>
    <t>Sportpark járda és várakozósáv csapadékvíz-elvezetés (előző évi maradvány: 152.400,- Ft)</t>
  </si>
  <si>
    <t xml:space="preserve">Területi Gondozási Központ új helyének kialakítása (előző évi maradvány: 698.581,- Ft) </t>
  </si>
  <si>
    <t>Felhalmozási célú támogatások államháztartáson belülről</t>
  </si>
  <si>
    <t>Felhalmozási bevételek</t>
  </si>
  <si>
    <t>7849/1 és 7849/3 helyrajzi számú ingatlanok értékesítése</t>
  </si>
  <si>
    <t xml:space="preserve">4817/15 hrsz. Pannónia utca 11. szám alatti telek értékesítésének </t>
  </si>
  <si>
    <t>Magánszemélyek kommunális adója</t>
  </si>
  <si>
    <t>Egyéb adóbevételek (bírság, pótlék)</t>
  </si>
  <si>
    <t>Adóbevételek előző évi hátraléka</t>
  </si>
  <si>
    <t>B34</t>
  </si>
  <si>
    <t>B351</t>
  </si>
  <si>
    <t>B355</t>
  </si>
  <si>
    <t>B36</t>
  </si>
  <si>
    <t>Anyakönyvi események</t>
  </si>
  <si>
    <t>Idegenforgalmi adó tartózkodás alapján</t>
  </si>
  <si>
    <t>109.</t>
  </si>
  <si>
    <t>110.</t>
  </si>
  <si>
    <t xml:space="preserve">   500                           Önkormányzati adók (Helyi adóbevételek)</t>
  </si>
  <si>
    <t>B52</t>
  </si>
  <si>
    <t xml:space="preserve">1. sor Tartalmazza a kötelező béremeléseket (garantált bérminimum, egészségügyi, szociális és kulturális terület béremelése, valamint pedagógus béremelés )és Polgármesteri Hivatalban dolgozó köztisztviselők illetményalapjának 60.000,- Ft-ról 70.000.- Ft-ra történő emeléséből adódó béremelkedést.
</t>
  </si>
  <si>
    <t>2. sor A növekedés 2021. évhez képest itt nem arányos a személyi juttatások emelésével, mivel a szociális hozzájárulási adó 15,5%-ról 13 %-ra csökkent 2022. január 1-jétől.</t>
  </si>
  <si>
    <t xml:space="preserve">18. sor A 7849/1 és 7849/3 helyrajzi számú ingatlanok eMAG Logistic Kft. részére történő értékesítése kapcsán 2022. január hónapban befolyt bevételt is tartalmazza(681.454.000,- Ft) </t>
  </si>
  <si>
    <t>6. sor A 7849/1 és 7849/3 helyrajzi számú ingatlanok eMAG Logistic Kft. részére történő értékesítése kapcsán 2021. évben befolyt bevétel és az államháztartáson belülről származó felhalmozási célú támogatások miatt magasabb beruházási összegeket tervezhettünk.</t>
  </si>
  <si>
    <t>Helyi adóbev</t>
  </si>
  <si>
    <t>3. sor Tartalmazza a 7849/1 és 7849/3 helyrajzi számú ingatlanok eMAG Logistic Kft. részére történő értékesítése kapcsán felmerülő ÁFA fizetési kötelezettséget (819.133.816,- Ft)</t>
  </si>
  <si>
    <t>083050</t>
  </si>
  <si>
    <t>II. Televízió-műsor szolgáltatása és támogatása</t>
  </si>
  <si>
    <t>III. Civil szervezetek működési támogatása</t>
  </si>
  <si>
    <t>IV. Polgári honvédelem ágazati feladatai, a lakosság felkészítése</t>
  </si>
  <si>
    <t>V. Városi és elővárosi közúti személyszállítás</t>
  </si>
  <si>
    <t>VII. Civil  szervezetek program támogatása</t>
  </si>
  <si>
    <t>VIII. Szennyvízcsatorna építése, fenntartása, üzemeltetése</t>
  </si>
  <si>
    <t>IX. Támogatási célú finanszírozási műveletek</t>
  </si>
  <si>
    <t>001                                  2022. évi útépítések</t>
  </si>
  <si>
    <t>002                                       2022. évi csap.víz elvezetések</t>
  </si>
  <si>
    <t>Módosított előirányzat</t>
  </si>
  <si>
    <t>002                                    2022. évi csap.víz elvezetések</t>
  </si>
  <si>
    <t>003                                       Városgazdálkodási feladatok</t>
  </si>
  <si>
    <t>005                                     Szennyvíz beruházások saját forrás</t>
  </si>
  <si>
    <t>006                                       Ivóvíz beruházások saját forrás</t>
  </si>
  <si>
    <t>007                                                     Ingatlanfejlesztések (Ingatlan vásárlás)</t>
  </si>
  <si>
    <t>012      Felh.c.kölcsön visszatérülése munkavállalótól</t>
  </si>
  <si>
    <t>013                                Tárgyi eszköz értékesítés (Ingatlanok is)</t>
  </si>
  <si>
    <t>014                       Egyéb bevételek</t>
  </si>
  <si>
    <t>015                           Egyéb adóbevételek</t>
  </si>
  <si>
    <t>017                         Területi Gondozási Központ új helyének kialakítása</t>
  </si>
  <si>
    <t>018                Környezetvé-delmi program felülvizsgálata</t>
  </si>
  <si>
    <t>020               Önkormányzati igazgatás</t>
  </si>
  <si>
    <t>021                        P+R parkolók fenntartása</t>
  </si>
  <si>
    <t>024                                     Városi településfejlesztési koncepció, településszerkezeti terv</t>
  </si>
  <si>
    <t>030                                       Zöldterület kezelés</t>
  </si>
  <si>
    <t>031                              Külterületi szemét és veszélyes hulladék gyűjtése</t>
  </si>
  <si>
    <t>051020                    Nem veszélyes (települési) hulladék összetevőinek válogatása, elkülönített begyűjtése, szállítása, átrakása</t>
  </si>
  <si>
    <t>032                                           Szelektív hulladékgyűjtés és zöldhulladék gyűjtés</t>
  </si>
  <si>
    <t>033                         Lomtalanítás és köztéri szemétgyűjtés</t>
  </si>
  <si>
    <t>034                                                     Helyi közutak fenntartása, rendkívüli síkosság mentesítés</t>
  </si>
  <si>
    <t>035                                            Csapadékvíz-belvíz üzemeltetés; Kül- és belterületi nyílt ár- és belvízelvezető rendszer üzemeltetése;E-közműrendszer üzemeltetése</t>
  </si>
  <si>
    <t xml:space="preserve">036                                     Vagyongazd. Kiadások (Közbeszerzés kiadásai; vagyonbiztosítás; energetikai tanácsadás; GDPR megfelelés; DHRV Kft. Végelsz.bev.) </t>
  </si>
  <si>
    <r>
      <t xml:space="preserve">037                         </t>
    </r>
    <r>
      <rPr>
        <sz val="12"/>
        <color indexed="17"/>
        <rFont val="Garamond"/>
        <family val="1"/>
        <charset val="238"/>
      </rPr>
      <t xml:space="preserve">  </t>
    </r>
    <r>
      <rPr>
        <sz val="12"/>
        <rFont val="Garamond"/>
        <family val="1"/>
        <charset val="238"/>
      </rPr>
      <t xml:space="preserve">Társulások tagdíjai, Alsófalusi Nyugdíjasklub, </t>
    </r>
    <r>
      <rPr>
        <sz val="12"/>
        <color indexed="8"/>
        <rFont val="Garamond"/>
        <family val="1"/>
        <charset val="238"/>
      </rPr>
      <t>Városi ösztöndíj</t>
    </r>
  </si>
  <si>
    <t>039                         Játszóterek felülvizsgálata (Játszóterek eszközfejlesztése)</t>
  </si>
  <si>
    <t>040                                              Terület előkészítés, földmérés és eljárási díjak</t>
  </si>
  <si>
    <t>041                     Piac üzemeltetés</t>
  </si>
  <si>
    <t>043                                         Lakihegy rádió</t>
  </si>
  <si>
    <t>044                                        Sport-szigeti napközis tábor</t>
  </si>
  <si>
    <t>050                          Rendőrségi feladatok</t>
  </si>
  <si>
    <t>052                      Lakásgazdál-kodással kapcsolatos feladatok</t>
  </si>
  <si>
    <t xml:space="preserve">054             Temető fenntartás </t>
  </si>
  <si>
    <t>056                                         Közvilágítás; parkok díszvilágításának karbantartása; karácsonyi díszvilágítás felszerelése, karbantartása; Mért közvil.hálózat üzemeltetése;</t>
  </si>
  <si>
    <t>058                      Kiemelt állami és önkormányzati rendezvények</t>
  </si>
  <si>
    <t>061                                          Mobil jégpálya üzemeltetése</t>
  </si>
  <si>
    <t>063                               Művészeti Alkotótábor</t>
  </si>
  <si>
    <t xml:space="preserve">065                            Park tervezése, szabadidős fejlesztések </t>
  </si>
  <si>
    <t>069                                Szennyvíz bérleti díj felhasználás 2022. év (Szennyvíz)</t>
  </si>
  <si>
    <t>070                                Szennyvíz bérleti díj felhasználás 2022. év                 (Ivóvíz)</t>
  </si>
  <si>
    <t>072                     Rota vírus</t>
  </si>
  <si>
    <t>072                    Rota vírus</t>
  </si>
  <si>
    <r>
      <t xml:space="preserve">073                          </t>
    </r>
    <r>
      <rPr>
        <sz val="12"/>
        <color indexed="8"/>
        <rFont val="Garamond"/>
        <family val="1"/>
        <charset val="238"/>
      </rPr>
      <t xml:space="preserve"> </t>
    </r>
    <r>
      <rPr>
        <sz val="12"/>
        <rFont val="Garamond"/>
        <family val="1"/>
        <charset val="238"/>
      </rPr>
      <t>Tüdőszűrés</t>
    </r>
    <r>
      <rPr>
        <sz val="12"/>
        <color indexed="8"/>
        <rFont val="Garamond"/>
        <family val="1"/>
        <charset val="238"/>
      </rPr>
      <t xml:space="preserve">, </t>
    </r>
    <r>
      <rPr>
        <sz val="12"/>
        <rFont val="Garamond"/>
        <family val="1"/>
        <charset val="238"/>
      </rPr>
      <t>Férfi és női lakosság szűrőgizsgálatainak megszervezése</t>
    </r>
  </si>
  <si>
    <t>074                                     Betegszállítási szolgáltatások igénybevétele</t>
  </si>
  <si>
    <t>075               Átmeneti bentlakásos otthonban elhelyezés</t>
  </si>
  <si>
    <t>076                                           Mentési pont</t>
  </si>
  <si>
    <t>077                                  Fogyatékossággal élők nappali ellátása</t>
  </si>
  <si>
    <t>080                                    Köznevelési intézmények 5-8. évfolyamával kapcsolatos feladatok</t>
  </si>
  <si>
    <t>081                               Gimnáziumi feladatok</t>
  </si>
  <si>
    <t>083                           Alapfokú Művészet-oktatási feladatok</t>
  </si>
  <si>
    <t>085                                Intézmény finanszírozás</t>
  </si>
  <si>
    <t>087                          Elektromos autó töltőállomás</t>
  </si>
  <si>
    <t>088                         Anna-ház posta</t>
  </si>
  <si>
    <t>089                                   ÁFA bevallás bevétel és kiadás (telekeladások ÁFA befizetése)</t>
  </si>
  <si>
    <t>091                                     Orvosi Rendelő, Gyermekorvosi rendelő kiadásai</t>
  </si>
  <si>
    <t>092                        Innovatív fejlesztések (E-városom, Haraszti kártya)</t>
  </si>
  <si>
    <t>093              Bölcsődei feladatok</t>
  </si>
  <si>
    <t>095                                             Könyvtári feladatok</t>
  </si>
  <si>
    <t>096                                Óvodai feladatok</t>
  </si>
  <si>
    <t>100                                      Koronavírus járvánnyal kapcsolatos kiadások</t>
  </si>
  <si>
    <t>111                                       Dunaharaszti Városi Bölcsőde új tagintézmény PM_BOLCSODEFEJLESZTES_2019/20 pályázaton      BELÜLI</t>
  </si>
  <si>
    <t>113                                  Új iskola 1-4. évfolyamával kapcsolatos feladatok</t>
  </si>
  <si>
    <t>114                              Új iskola 5-8. évfolyamával kapcsolatos feladatok</t>
  </si>
  <si>
    <t>115                                    Új iskola Alapfokú Művészetoktatási feladatok</t>
  </si>
  <si>
    <t>115                                Új iskola Alapfokú Művészetoktatási feladatok</t>
  </si>
  <si>
    <t>116                          Bezerédi Sportpark pályázaton belüli</t>
  </si>
  <si>
    <t>126                                    A3 mederburkolás pályázaton                          BELÜLI</t>
  </si>
  <si>
    <t>131                  Tájház felújítása</t>
  </si>
  <si>
    <t>136                     Fő út 35. Gyermekorvosi rendelő pályázat KÍVÜLI</t>
  </si>
  <si>
    <t xml:space="preserve">    306                                                                                                                Civil szervezetek támogatása</t>
  </si>
  <si>
    <t>309                                          Helyi tömegközlekedés támogatása és működtetése</t>
  </si>
  <si>
    <t>002                          Polgármesteri Hivatal</t>
  </si>
  <si>
    <t>004                          Anyakönyvi feladatok</t>
  </si>
  <si>
    <t>005                   Önkormányzati választás</t>
  </si>
  <si>
    <t>006                                             Európai parlamenti képviselő választás</t>
  </si>
  <si>
    <t>007                                              Rendészet</t>
  </si>
  <si>
    <t>008                              Előző évekről hozott hátralék</t>
  </si>
  <si>
    <t>012      Népszavazás</t>
  </si>
  <si>
    <t>011             Országgyűlési választás</t>
  </si>
  <si>
    <t xml:space="preserve">002                    Hétszínvirág Óvoda      </t>
  </si>
  <si>
    <r>
      <rPr>
        <sz val="12"/>
        <color indexed="10"/>
        <rFont val="Garamond"/>
        <family val="1"/>
        <charset val="238"/>
      </rPr>
      <t>003</t>
    </r>
    <r>
      <rPr>
        <sz val="11"/>
        <color theme="1"/>
        <rFont val="Calibri"/>
        <family val="2"/>
        <charset val="238"/>
        <scheme val="minor"/>
      </rPr>
      <t xml:space="preserve">   </t>
    </r>
    <r>
      <rPr>
        <sz val="12"/>
        <rFont val="Garamond"/>
        <family val="1"/>
        <charset val="238"/>
      </rPr>
      <t xml:space="preserve">                         Hétszínvirág Óvoda sajátos ….</t>
    </r>
  </si>
  <si>
    <t>004                                             Zöld Óvoda</t>
  </si>
  <si>
    <t>005                                             Támogatások elszámolása</t>
  </si>
  <si>
    <t>001                                   Intézmény finanszírozás</t>
  </si>
  <si>
    <t>003                                Napsugár Óvoda</t>
  </si>
  <si>
    <t>005                                                Előző évekről hozott hátralék</t>
  </si>
  <si>
    <t>006                                               Támogatások elszámolása</t>
  </si>
  <si>
    <t>005                              Előző évekről hozott hátralék</t>
  </si>
  <si>
    <t>001                      Intézmény finanszírozás</t>
  </si>
  <si>
    <t>002                      Gyermekjóléti szolgáltatás</t>
  </si>
  <si>
    <t>003                                   Gyermekek átmeneti otthona</t>
  </si>
  <si>
    <t>004                                   Hátrányos helyzetű gyermekek, fiatalok …</t>
  </si>
  <si>
    <t>006                                                      Nyári napközis tábor</t>
  </si>
  <si>
    <t>001                                 Intézmény finanszírozás</t>
  </si>
  <si>
    <t>003                                          Szociális étkeztetés</t>
  </si>
  <si>
    <t>006                               Damjanich u. 32.                                        Orvosi rendelő</t>
  </si>
  <si>
    <t>007                                 Fő út 35. Gyermekorvosi rendelő</t>
  </si>
  <si>
    <t>014                                      Iskolai intézményi étkeztetés</t>
  </si>
  <si>
    <t>017                                                      Előző évekről hozott hátralék</t>
  </si>
  <si>
    <t>018                                                     Nyári napközi étkezés</t>
  </si>
  <si>
    <t>002                                Könyvtári állomány gyarapítása</t>
  </si>
  <si>
    <t>006                        Előző évi hátralék</t>
  </si>
  <si>
    <t>004                                        Könyvtári szolgáltatások</t>
  </si>
  <si>
    <t>007                             Könyvtári elkülönített SZJA 1%-os számla</t>
  </si>
  <si>
    <t>Polgármesteri Hivatal 2022. évi előirányzat</t>
  </si>
  <si>
    <t>Hétszínvirág Óvoda 2022. évi előirányzat</t>
  </si>
  <si>
    <t>Mese Óvoda 2022. évi előirányzat</t>
  </si>
  <si>
    <t>Városi Bölcsöde 2022. évi előirányzat</t>
  </si>
  <si>
    <t>Dunaharaszti Család- és Gyermekjóléti Szolgálat 2022. évi előirányzat</t>
  </si>
  <si>
    <t>Dunaharaszti Területi Gondozási Központ 2022. évi előirányzat</t>
  </si>
  <si>
    <t>Dunaharaszti Városi Könyvtár 2022. évi előirányzat</t>
  </si>
  <si>
    <t>001                                Intézmény finanszírozás</t>
  </si>
  <si>
    <t xml:space="preserve">002                            Laffert-kúria </t>
  </si>
  <si>
    <t>004                                                Helytörténeti emléktár</t>
  </si>
  <si>
    <t>József Attila Művelődési Ház  2022. évi előirányzat</t>
  </si>
  <si>
    <t>003                     Százszorszép Óvoda</t>
  </si>
  <si>
    <t>005                                 Támogatások elszámolása</t>
  </si>
  <si>
    <t>006                       VIII/6734-2/2020/KOZNEVINT támogatás: tehetséggondozó verseny, környezettudatos nevelési program</t>
  </si>
  <si>
    <t>Dunaharaszti Szivárvány Óvoda 2022. évi előirányzat</t>
  </si>
  <si>
    <t>Eredeti normatíva összege</t>
  </si>
  <si>
    <t>Módosított normatíva összege</t>
  </si>
  <si>
    <t>Módosított létszámkeret    (fő)</t>
  </si>
  <si>
    <t>Módosított  Támogatásértékű működési kiadás</t>
  </si>
  <si>
    <t>Módosított                   Működési célú pénzeszköz átadás államháztartáson kívülre</t>
  </si>
  <si>
    <t>Módosított Támogatásértékű működési kiadás</t>
  </si>
  <si>
    <t>Módosított                 Működési célú pénzeszköz átadás államháztartáson kívülre</t>
  </si>
  <si>
    <t>2022. évi módosított előirányzat</t>
  </si>
  <si>
    <t>2022. évi módosíott előirányzat</t>
  </si>
  <si>
    <t>Változás 2022./2021.</t>
  </si>
  <si>
    <t>Könyvelési sorszám</t>
  </si>
  <si>
    <t>Költségvetési rendelet mellékletének száma</t>
  </si>
  <si>
    <t>Részgazda száma</t>
  </si>
  <si>
    <t>Növekedés (+) csökkenés (-)</t>
  </si>
  <si>
    <t>KIADÁSOK</t>
  </si>
  <si>
    <t>BEVÉTELEK</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</si>
  <si>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</si>
  <si>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</si>
  <si>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</si>
  <si>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</si>
  <si>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</si>
  <si>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K6</t>
    </r>
    <r>
      <rPr>
        <sz val="10"/>
        <color indexed="8"/>
        <rFont val="Garamond"/>
        <family val="1"/>
        <charset val="238"/>
      </rPr>
      <t xml:space="preserve">                                           Beruházások</t>
    </r>
  </si>
  <si>
    <r>
      <rPr>
        <b/>
        <sz val="10"/>
        <color indexed="8"/>
        <rFont val="Garamond"/>
        <family val="1"/>
        <charset val="238"/>
      </rPr>
      <t>K7</t>
    </r>
    <r>
      <rPr>
        <sz val="10"/>
        <color indexed="8"/>
        <rFont val="Garamond"/>
        <family val="1"/>
        <charset val="238"/>
      </rPr>
      <t xml:space="preserve">                                                    Felújítások</t>
    </r>
  </si>
  <si>
    <r>
      <rPr>
        <b/>
        <sz val="10"/>
        <color indexed="8"/>
        <rFont val="Garamond"/>
        <family val="1"/>
        <charset val="238"/>
      </rPr>
      <t xml:space="preserve">K8  </t>
    </r>
    <r>
      <rPr>
        <sz val="10"/>
        <color indexed="8"/>
        <rFont val="Garamond"/>
        <family val="1"/>
        <charset val="238"/>
      </rPr>
      <t xml:space="preserve">             Egyéb felhalmozási célú kiadások</t>
    </r>
  </si>
  <si>
    <r>
      <rPr>
        <b/>
        <sz val="10"/>
        <color indexed="8"/>
        <rFont val="Garamond"/>
        <family val="1"/>
        <charset val="238"/>
      </rPr>
      <t xml:space="preserve">K9  </t>
    </r>
    <r>
      <rPr>
        <sz val="10"/>
        <color indexed="8"/>
        <rFont val="Garamond"/>
        <family val="1"/>
        <charset val="238"/>
      </rPr>
      <t xml:space="preserve">            Finanszírozási kiadások</t>
    </r>
  </si>
  <si>
    <r>
      <rPr>
        <b/>
        <sz val="10"/>
        <color indexed="8"/>
        <rFont val="Garamond"/>
        <family val="1"/>
        <charset val="238"/>
      </rPr>
      <t xml:space="preserve">B1 </t>
    </r>
    <r>
      <rPr>
        <sz val="10"/>
        <color indexed="8"/>
        <rFont val="Garamond"/>
        <family val="1"/>
        <charset val="238"/>
      </rPr>
      <t xml:space="preserve">             Működési célú támogatások államháztartáson belülről</t>
    </r>
  </si>
  <si>
    <r>
      <rPr>
        <b/>
        <sz val="10"/>
        <color indexed="8"/>
        <rFont val="Garamond"/>
        <family val="1"/>
        <charset val="238"/>
      </rPr>
      <t>B2</t>
    </r>
    <r>
      <rPr>
        <sz val="10"/>
        <color indexed="8"/>
        <rFont val="Garamond"/>
        <family val="1"/>
        <charset val="238"/>
      </rPr>
      <t xml:space="preserve">      Felhalmozási célú támogatások államháztartáson belülről</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</si>
  <si>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</si>
  <si>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</si>
  <si>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 xml:space="preserve">B5  </t>
    </r>
    <r>
      <rPr>
        <sz val="10"/>
        <color indexed="8"/>
        <rFont val="Garamond"/>
        <family val="1"/>
        <charset val="238"/>
      </rPr>
      <t xml:space="preserve">  Felhalmozási bevételek</t>
    </r>
  </si>
  <si>
    <r>
      <rPr>
        <b/>
        <sz val="10"/>
        <color indexed="8"/>
        <rFont val="Garamond"/>
        <family val="1"/>
        <charset val="238"/>
      </rPr>
      <t>B6</t>
    </r>
    <r>
      <rPr>
        <sz val="10"/>
        <color indexed="8"/>
        <rFont val="Garamond"/>
        <family val="1"/>
        <charset val="238"/>
      </rPr>
      <t xml:space="preserve">           Működési célú átvett pénzeszközök</t>
    </r>
  </si>
  <si>
    <r>
      <rPr>
        <b/>
        <sz val="10"/>
        <color indexed="8"/>
        <rFont val="Garamond"/>
        <family val="1"/>
        <charset val="238"/>
      </rPr>
      <t xml:space="preserve">B7  </t>
    </r>
    <r>
      <rPr>
        <sz val="10"/>
        <color indexed="8"/>
        <rFont val="Garamond"/>
        <family val="1"/>
        <charset val="238"/>
      </rPr>
      <t xml:space="preserve">    Felhalmozási célú átvett pénzeszközök</t>
    </r>
  </si>
  <si>
    <r>
      <rPr>
        <b/>
        <sz val="10"/>
        <color indexed="8"/>
        <rFont val="Garamond"/>
        <family val="1"/>
        <charset val="238"/>
      </rPr>
      <t xml:space="preserve">B8                                    </t>
    </r>
    <r>
      <rPr>
        <sz val="10"/>
        <color indexed="8"/>
        <rFont val="Garamond"/>
        <family val="1"/>
        <charset val="238"/>
      </rPr>
      <t xml:space="preserve"> Finanszírozás bevételei</t>
    </r>
  </si>
  <si>
    <t>Módosítás összesen</t>
  </si>
  <si>
    <t>Kiadások eredeti előirányzata</t>
  </si>
  <si>
    <t>Bevételek eredeti előirányzata</t>
  </si>
  <si>
    <t>Előriányzat módosítás</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</si>
  <si>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</si>
  <si>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</si>
  <si>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</si>
  <si>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</si>
  <si>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</si>
  <si>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K6</t>
    </r>
    <r>
      <rPr>
        <sz val="10"/>
        <color indexed="8"/>
        <rFont val="Garamond"/>
        <family val="1"/>
        <charset val="238"/>
      </rPr>
      <t xml:space="preserve">     Beruházások</t>
    </r>
  </si>
  <si>
    <r>
      <rPr>
        <b/>
        <sz val="10"/>
        <color indexed="8"/>
        <rFont val="Garamond"/>
        <family val="1"/>
        <charset val="238"/>
      </rPr>
      <t>K7</t>
    </r>
    <r>
      <rPr>
        <sz val="10"/>
        <color indexed="8"/>
        <rFont val="Garamond"/>
        <family val="1"/>
        <charset val="238"/>
      </rPr>
      <t xml:space="preserve">      Felújítások</t>
    </r>
  </si>
  <si>
    <r>
      <rPr>
        <b/>
        <sz val="10"/>
        <color indexed="8"/>
        <rFont val="Garamond"/>
        <family val="1"/>
        <charset val="238"/>
      </rPr>
      <t>B2</t>
    </r>
    <r>
      <rPr>
        <sz val="10"/>
        <color indexed="8"/>
        <rFont val="Garamond"/>
        <family val="1"/>
        <charset val="238"/>
      </rPr>
      <t xml:space="preserve">                                        Felhalmozási célú támogatások államháztartáson belülről</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</si>
  <si>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</si>
  <si>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</si>
  <si>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</si>
  <si>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</si>
  <si>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</si>
  <si>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</si>
  <si>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</si>
  <si>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K6</t>
    </r>
    <r>
      <rPr>
        <sz val="10"/>
        <color indexed="8"/>
        <rFont val="Garamond"/>
        <family val="1"/>
        <charset val="238"/>
      </rPr>
      <t xml:space="preserve">                                                             Beruházások</t>
    </r>
  </si>
  <si>
    <r>
      <rPr>
        <b/>
        <sz val="10"/>
        <color indexed="8"/>
        <rFont val="Garamond"/>
        <family val="1"/>
        <charset val="238"/>
      </rPr>
      <t xml:space="preserve">B1 </t>
    </r>
    <r>
      <rPr>
        <sz val="10"/>
        <color indexed="8"/>
        <rFont val="Garamond"/>
        <family val="1"/>
        <charset val="238"/>
      </rPr>
      <t xml:space="preserve">                                             Működési célú támogatások államháztartáson belülről</t>
    </r>
  </si>
  <si>
    <r>
      <rPr>
        <b/>
        <sz val="10"/>
        <color indexed="8"/>
        <rFont val="Garamond"/>
        <family val="1"/>
        <charset val="238"/>
      </rPr>
      <t>B2</t>
    </r>
    <r>
      <rPr>
        <sz val="10"/>
        <color indexed="8"/>
        <rFont val="Garamond"/>
        <family val="1"/>
        <charset val="238"/>
      </rPr>
      <t xml:space="preserve">                                           Felhalmozási célú támogatások államháztartáson belülről</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</si>
  <si>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</si>
  <si>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</si>
  <si>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B6</t>
    </r>
    <r>
      <rPr>
        <sz val="10"/>
        <color indexed="8"/>
        <rFont val="Garamond"/>
        <family val="1"/>
        <charset val="238"/>
      </rPr>
      <t xml:space="preserve">                                             Működési célú átvett pénzeszközök</t>
    </r>
  </si>
  <si>
    <r>
      <rPr>
        <b/>
        <sz val="10"/>
        <color indexed="8"/>
        <rFont val="Garamond"/>
        <family val="1"/>
        <charset val="238"/>
      </rPr>
      <t xml:space="preserve">B8                                          </t>
    </r>
    <r>
      <rPr>
        <sz val="10"/>
        <color indexed="8"/>
        <rFont val="Garamond"/>
        <family val="1"/>
        <charset val="238"/>
      </rPr>
      <t xml:space="preserve"> Finanszírozás bevételei</t>
    </r>
  </si>
  <si>
    <t xml:space="preserve">Dunaharaszti Városi  Könyvtár </t>
  </si>
  <si>
    <t>Részgazda szám</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</si>
  <si>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</si>
  <si>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</si>
  <si>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</si>
  <si>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</si>
  <si>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</si>
  <si>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</si>
  <si>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</si>
  <si>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</si>
  <si>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</si>
  <si>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</si>
  <si>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</si>
  <si>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</si>
  <si>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</si>
  <si>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</si>
  <si>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</si>
  <si>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</si>
  <si>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 xml:space="preserve">B8                        </t>
    </r>
    <r>
      <rPr>
        <sz val="10"/>
        <color indexed="8"/>
        <rFont val="Garamond"/>
        <family val="1"/>
        <charset val="238"/>
      </rPr>
      <t xml:space="preserve"> Finanszírozás bevételei</t>
    </r>
  </si>
  <si>
    <t>Dunaharaszti  Városi Bölcsőde</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</si>
  <si>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</si>
  <si>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</si>
  <si>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</si>
  <si>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</si>
  <si>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</si>
  <si>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</si>
  <si>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t>Dunaharaszti Család és Gyermekjóléti Szolgálat</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</si>
  <si>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</si>
  <si>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</si>
  <si>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</si>
  <si>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</si>
  <si>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</si>
  <si>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</si>
  <si>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</si>
  <si>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t>Dunaharaszti Jószef Attila Művelődési Ház</t>
  </si>
  <si>
    <t>Dunaharaszti Város Önkormányzata és finanszírozott intézmények</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</si>
  <si>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</si>
  <si>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</si>
  <si>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</si>
  <si>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</si>
  <si>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K7</t>
    </r>
    <r>
      <rPr>
        <sz val="10"/>
        <color indexed="8"/>
        <rFont val="Garamond"/>
        <family val="1"/>
        <charset val="238"/>
      </rPr>
      <t xml:space="preserve">                                       Felújítások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</si>
  <si>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</si>
  <si>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</si>
  <si>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t>Dunaharaszti Család- és Gyermekjóléti Szolgálat</t>
  </si>
  <si>
    <t>Általános- és céltartalékok változása</t>
  </si>
  <si>
    <t>Intézményi ingatlanokkal kapcsolatos tervezések</t>
  </si>
  <si>
    <t>Társ. Összefogás.megv. közműfejl.lebony</t>
  </si>
  <si>
    <t>Környezetvédelmi számla</t>
  </si>
  <si>
    <t xml:space="preserve">Óvodák játszóeszköz  </t>
  </si>
  <si>
    <t>Veszélyhelyzet miatti helyi adóbevétel-kiesés tartaléka</t>
  </si>
  <si>
    <t>0.</t>
  </si>
  <si>
    <t>Beruházások, felújtások műszaki ellenőrzése</t>
  </si>
  <si>
    <t>4.sz.Felhalm.</t>
  </si>
  <si>
    <t>5.sz.Műk.</t>
  </si>
  <si>
    <t>6.sz.Beruházások</t>
  </si>
  <si>
    <t>7.sz.Felújtások</t>
  </si>
  <si>
    <t>8.sz.Tartalékok</t>
  </si>
  <si>
    <t>9.sz.Szociális</t>
  </si>
  <si>
    <t>10.sz.Működési</t>
  </si>
  <si>
    <t>10.sz.Felhalmozási</t>
  </si>
  <si>
    <t>11.sz.Állami</t>
  </si>
  <si>
    <t>2021. évi                               eredeti előirányzat</t>
  </si>
  <si>
    <t>Előző évi hátralék átvezetése részgazdákra</t>
  </si>
  <si>
    <t xml:space="preserve"> -</t>
  </si>
  <si>
    <t>018010</t>
  </si>
  <si>
    <t xml:space="preserve"> +</t>
  </si>
  <si>
    <t>051</t>
  </si>
  <si>
    <t>052</t>
  </si>
  <si>
    <t>106010</t>
  </si>
  <si>
    <t>083030</t>
  </si>
  <si>
    <t xml:space="preserve">070 </t>
  </si>
  <si>
    <t>502</t>
  </si>
  <si>
    <t>500</t>
  </si>
  <si>
    <t>900020</t>
  </si>
  <si>
    <t>13. Adók</t>
  </si>
  <si>
    <t>14. Felhalm bev.</t>
  </si>
  <si>
    <t>Bér rovatok módosítása decemberi bérkönyvelés alapján</t>
  </si>
  <si>
    <t xml:space="preserve"> +/-</t>
  </si>
  <si>
    <t>Bér rovatok módosítása januári bérkönyvelés alapján</t>
  </si>
  <si>
    <t>301</t>
  </si>
  <si>
    <t>317</t>
  </si>
  <si>
    <t xml:space="preserve">066020                                 Város-és községgazdálkodási egyéb szolgáltatás        </t>
  </si>
  <si>
    <t>301                               Lakossági járdaépítés</t>
  </si>
  <si>
    <t>317                               Államháztartáson belüli támogatások</t>
  </si>
  <si>
    <t>21/2022. (III.03.) sz. Szociális és Egészségügyi Bizottság határozata alapján rendkívüli települési támogatásról átcsoportosítás ukrán menekültek megsegítésére</t>
  </si>
  <si>
    <t>202</t>
  </si>
  <si>
    <t>213</t>
  </si>
  <si>
    <t>213                       Ukrán menekültek megsegítése</t>
  </si>
  <si>
    <t>156.</t>
  </si>
  <si>
    <t>Ukrán menekültek megsegítése</t>
  </si>
  <si>
    <t>Megelőlegezési hitel elszámolás alapján (január havi)</t>
  </si>
  <si>
    <t>400</t>
  </si>
  <si>
    <t>900060</t>
  </si>
  <si>
    <t>Megelőlegezési hitel elszámolás alapján (február havi)</t>
  </si>
  <si>
    <t>2022. januári állami támogatás (szociális ágazati összevont pótlék) átvezetése Ágazati pótlék, bérkompenzáció, személyi juttatás és járulék tartalékba</t>
  </si>
  <si>
    <t>501</t>
  </si>
  <si>
    <t>084</t>
  </si>
  <si>
    <t>3. számú melléklet: A helyi önkormányzatok kiegészítő támogatásai</t>
  </si>
  <si>
    <t>I.11.</t>
  </si>
  <si>
    <t>I.12.</t>
  </si>
  <si>
    <t>Szociális ágazati összevont pótlék és egészségügyi kiegészítő pótlék</t>
  </si>
  <si>
    <t>I.13.d</t>
  </si>
  <si>
    <t>A települési önkormányzatok könyvtári célú érdekeltségnövelő támogatása</t>
  </si>
  <si>
    <t>I.14.</t>
  </si>
  <si>
    <t>Kulturális illetménypótlék</t>
  </si>
  <si>
    <t>II.2.1.6.3.k</t>
  </si>
  <si>
    <t>A huszonötezer főnél nem nagyobb lakosságszámú települési önkormányzatok támogatása</t>
  </si>
  <si>
    <t>3. számú melléklet összesen</t>
  </si>
  <si>
    <t>2022. februári állami támogatás (szociális ágazati összevont pótlék) átvezetése Ágazati pótlék, bérkompenzáció, személyi juttatás és járulék tartalékba</t>
  </si>
  <si>
    <t>5/2022. (III.17.) sz. Oktatási, Művelődési és Sport Bizottság határozata alapján Civil szervezetek, egyházak támogatása (művészeti, oktatási, kulturális év közben belépő feladatok) tartalékból átcsoportosítás Baktay Ervin Gimnázium támogatására érzékenyítő tréning szervezésére</t>
  </si>
  <si>
    <t>Baktay Ervin Gimnázium támogatása</t>
  </si>
  <si>
    <t>Hunyadi János Általános Iskola támogatása</t>
  </si>
  <si>
    <t>93.             97.</t>
  </si>
  <si>
    <t>117</t>
  </si>
  <si>
    <t>081060</t>
  </si>
  <si>
    <t>Csapadékvíz-elvezetési tervek, műszaki ellenőrzés, eljárási díjak, engedélyek tartalékból átcsoportosítás 24 tantermes új iskola szennyvíz nyomócső építés II. ütemének műszaki ellenőrzésére</t>
  </si>
  <si>
    <t>Csapadékvíz-elvezetési tervek, műszaki ellenőrzés, eljárási díjak, engedélyek tartalékból átcsoportosítás Lehmann kapitány u. átemelő és gravitációs gyűjtő vezeték tervének elkészítésére, engedélyeztetésére</t>
  </si>
  <si>
    <t>Lehmann kapitány u. átemelő szivattyú tervezése</t>
  </si>
  <si>
    <t>Tulipán-tér közvilágítás felújítás</t>
  </si>
  <si>
    <t>Beruházások, felújítások műszaki ellenőrzése tartalékból átcsoportosítás Bezerédi Sportpark építés műszaki ellenőrzésére</t>
  </si>
  <si>
    <t>Vízi közmű bérleti díj elkülönített számla tartalékból év végi elszámolás alapján az előző évi maradvány átvezetése szennyvíz-és ivóvíz bérleti díj felhasználásra</t>
  </si>
  <si>
    <t>Szennyvíz bérleti díj felhasználáson és Szennyvíz beruházások saját forráson rovatok közötti módosítás 24 tantermes új iskola szennyvíz nyomócső építésének II. ütemére</t>
  </si>
  <si>
    <t>Utcanévtáblák, gyepmester, városi közkutakról átcsoportosítás Bezerédi Sportpark beruházás tájékoztató táblára</t>
  </si>
  <si>
    <t>022</t>
  </si>
  <si>
    <t>VEKOP-6.1.1-15PT1-2016-00076 "Dunaharaszti Városi Bölcsőde új tagintézményének építése" projekt fenntartási jelentés feladatainak ellátásán szerződésmódosítás miatti rovatok közötti átcsoportosítás</t>
  </si>
  <si>
    <t>Előző évről hozott hátralék átvezetése részgazdákra</t>
  </si>
  <si>
    <t>2.4</t>
  </si>
  <si>
    <t>Étkeztetésen rovatok közötti módosítás telefondíjra</t>
  </si>
  <si>
    <t>2.1</t>
  </si>
  <si>
    <t>Rendészeten rovatok közötti módosítás számítógép üzemeltetésre</t>
  </si>
  <si>
    <t>2.6</t>
  </si>
  <si>
    <t>Szociális étkeztetésen, Házi segítségnyújtáson, Házi jelzőrendszeren rovatok közötti módosítás tűz- és munkavédelmi oktatásra</t>
  </si>
  <si>
    <t>2.2</t>
  </si>
  <si>
    <t>2.8</t>
  </si>
  <si>
    <t>2.3</t>
  </si>
  <si>
    <t>Közművelődési tevékenységen rovatok közötti módosítás postafiók bérlésre</t>
  </si>
  <si>
    <t>Idősek nappali ellátásán rovatok közötti módosítás rack szekrény, router, szünetmentes áramforrás beszerzésére</t>
  </si>
  <si>
    <t>Bezerédi Sportpark pályázaton kívüli és belüli részgazdák közötti  átcsoportosítás műszaki feladatok ellátására</t>
  </si>
  <si>
    <t>Intézményi ingatlanok különféle karbantartási kerete tartalékból átcsoportosítás Városi Temetőben ravatalozó felújítására</t>
  </si>
  <si>
    <t>Városi Temető ravatalozó felújítása</t>
  </si>
  <si>
    <t>Polgármester rendelkezése tartalékból átcsoportosítás Szigetszentmiklós-Tököl SE működési támogatására</t>
  </si>
  <si>
    <t>306</t>
  </si>
  <si>
    <t>081040</t>
  </si>
  <si>
    <t>X. Versenysport- és utánpótlás-nevelési tevékenység és támogatás</t>
  </si>
  <si>
    <t>Intézményi ingatlanok különféle karbantartási kerete tartalékból átcsoportosítás Paál László utcában meglévő épületelemek bontási munkálataira</t>
  </si>
  <si>
    <t>Önkormányzati igazgatáson rovatok közötti módosítás fénymásoló karbantartás éves díjára</t>
  </si>
  <si>
    <t>Szennyvíz és ivóvíz bérleti díj felhasználáson rovatok közötti módosítás MÁV területén elhelyezett átemelő és betápláló vezeték miatti kártalanításra</t>
  </si>
  <si>
    <t xml:space="preserve"> +/</t>
  </si>
  <si>
    <t>030</t>
  </si>
  <si>
    <t>066010</t>
  </si>
  <si>
    <t>Némedi úton kialakított zöldterületi sávok fásítása</t>
  </si>
  <si>
    <t>Közvilágítás feladaton rovatok közötti módosítás Dunaharaszti közvilágítási hálózatának üzemeltetésére</t>
  </si>
  <si>
    <t>Vízi közmű bérleti díj elkülönített számla tartalékból év végi elszámolás alapján az előző évi maradvány átvezetése szennyvíz és ivóvíz bérleti díj felhasználásra</t>
  </si>
  <si>
    <t xml:space="preserve">Bezerédi Sportpark beruházáson önrész átcsoportosítása pályázaton kívüli feladatokra, illetve fordított adózás miatti módosítás </t>
  </si>
  <si>
    <t>Intézményi ingatlanok különféle karbantartási kerete tartalékból átcsoportosítás Bezerédi Sportpark tervezői művezetésre</t>
  </si>
  <si>
    <t>Csapadékvízelvezetés-tervezésekről átcsoportosítás parkoló hálózat víznyelő aknáiba Bárczy-olajszűrő beépítésére</t>
  </si>
  <si>
    <t>Csapadékvíz-beruházások lakossági kérésre</t>
  </si>
  <si>
    <t>Parkoló hálózat víznyelő aknáiba Bárczy-olajszűrő beépítése</t>
  </si>
  <si>
    <t>89/2021. (XII.20.) sz. Kt. határozat alapján Jahn Ferenc Kórháznak klímatelepítésre adott támogatás fel nem használt, visszautalt összegének átcsoportosítása Veszélyhelyzet miatti helyi adóbevétel-kiesés tartalékba</t>
  </si>
  <si>
    <t>A 2021. évi maradvány terhére képzett tartalék</t>
  </si>
  <si>
    <t>10.       11.</t>
  </si>
  <si>
    <t>Bér rovatok módosítása februári bérkönyvelés alapján</t>
  </si>
  <si>
    <t>Intézményi ingatlanok különféle karbantartási kerete tartalékból átcsoportosítás Százszorszép Óvoda energetikai tanúsítványára</t>
  </si>
  <si>
    <t>Idősek nappali ellátásán gázdíj-jóváírás átvezetése járóbeteg-ellátás közüzemi díjaira</t>
  </si>
  <si>
    <t>Óvodai intézményi étkeztetésen áramdíj-jóváírás átvezetése informatikai szolgáltatásokra</t>
  </si>
  <si>
    <t>Kulturális ágazatban közfeladatot ellátók 20%-os béremelésére kapott támogatás átvezetése törvény szerinti illetményre és járulékaira</t>
  </si>
  <si>
    <t>2.7</t>
  </si>
  <si>
    <t>Kulturális ágazatban közfeladatot ellátók 20%-os béremelésére kapott támogatás átvezetése József Attila Művelődési Ház és Dunaharaszti Városi Könyvtár törvény szerinti illetményre és járulékaira</t>
  </si>
  <si>
    <t>Munkáltatói kölcsön többletbefizetés átvezetés felhalmozási célú visszatérítendő támogatások, kölcsönök nyújtására</t>
  </si>
  <si>
    <t>Intézményi ingatlanok különféle karbantartási kerete tartalékból átcsoportosítás Akácfa-Knézich u. csomópontjában vízhozam mérésre</t>
  </si>
  <si>
    <t>Idősek nappali ellátásán rovatok közötti módosítás ügyeleti táska felszerelésére</t>
  </si>
  <si>
    <t>Szociális étkeztetésen rovatok közötti módosítás tüdőszűrésre</t>
  </si>
  <si>
    <t>Dolgozónak értékesített mobiltelefon bevételének átcsoportosítása könyvtári szolgáltatásokra</t>
  </si>
  <si>
    <t>Finanszírozás módosítás (Dunaharaszti Városi Könyvtár)</t>
  </si>
  <si>
    <t>Választott tisztségviselőkön rovatok közötti módosítás közmeghallgatásra bérelt nagyterem díjára</t>
  </si>
  <si>
    <t>Viharkár miatt kapott biztosítás átvezetés megrongálódott lámpaoszlop javítási költségeire</t>
  </si>
  <si>
    <t>036</t>
  </si>
  <si>
    <t>Kapott kamat átvezetése kamatkiadásokra</t>
  </si>
  <si>
    <t>89/2021. (XII.20.) sz. Kt. határozat alapján a Katonai Hagyományőrző Egyesületnek adott támogatás fel nem használt, visszautalt összegének átcsoportosítása Veszélyhelyzet miatti helyi adóbevétel-kiesés tartalékba</t>
  </si>
  <si>
    <t>Megelőlegezési hitel elszámolás alapján (március havi)</t>
  </si>
  <si>
    <t>Visszautalt kötbér átvezetése Biztos bevétel tartalékba</t>
  </si>
  <si>
    <t>Mese Óvodában rovatok közötti módosítás műfű beszerzésre</t>
  </si>
  <si>
    <t>Finanszírozás módosítás (Mese Óvoda)</t>
  </si>
  <si>
    <t>Utcanévtáblák, gyepmester, városi közkutak rovatok közötti módosítás közüzemi díjakra</t>
  </si>
  <si>
    <t>Visszautalt Bursa Hungarica ösztöndíj átvezetés Biztos bevétel tartalékba</t>
  </si>
  <si>
    <t>310</t>
  </si>
  <si>
    <t>Városgazdálkodás tartalékból átcsoportosítás mobil jégpálya internet- és áramdíjára</t>
  </si>
  <si>
    <t>061</t>
  </si>
  <si>
    <t>081045</t>
  </si>
  <si>
    <t>Mobil jégpálya működtetésén rovatok közötti módosítás áramdíjra</t>
  </si>
  <si>
    <t>073</t>
  </si>
  <si>
    <t>074051</t>
  </si>
  <si>
    <t>Városgazdálkodás tartalékból átcsoportosítás tüdőszűrés reprezentációs költségeire</t>
  </si>
  <si>
    <t>Helyi tömegközlekedésen rovatok közötti módosítás menetrendjelző táblák javítására, illetve 2021 április-május hónapra kiesett jegybevételek miatti pótlólagos támogatásra</t>
  </si>
  <si>
    <t>2022 januári állami támogatás (szociális ágazati összevont pótlék) átvezetése Ágazati pótlék, bérkompenzáció, személyi juttatás és járulék tartalékba</t>
  </si>
  <si>
    <t>2022 februári állami támogatás (szociális ágazati összevont pótlék) átvezetése Ágazati pótlék, bérkompenzáció, személyi juttatás és járulék tartalékba</t>
  </si>
  <si>
    <t>2022 márciusi állami támogatás (szociális ágazati összevont pótlék) átvezetés Ágazati pótlék, bérkompenzáció, személyi juttatás és járulék tartalékba</t>
  </si>
  <si>
    <t>Továbbszámlázáson bevételnövelés Laffert-kúria tetőfelújítási munkálatainak továbbszámlázására</t>
  </si>
  <si>
    <t>13/2022. (II.3.) sz. Szociális és Egészségügyi Bizottság határozata alapján rendkívüli települési támogatásról átcsoportosítás EpiPen Junior anafilaxiás sokk sürgősségi kezelésére szolgáló injekciók beszerzésére dunaharaszti iskolák számára</t>
  </si>
  <si>
    <t>071</t>
  </si>
  <si>
    <t>Anyakönyvi feladatokon bér rovatok módosítása továbbképzés reprezentációs költségeire</t>
  </si>
  <si>
    <t>016010</t>
  </si>
  <si>
    <t>152</t>
  </si>
  <si>
    <t>152                   Sport-sziget turizmusfejlesztése BELÜLI</t>
  </si>
  <si>
    <t>152                  Sport-sziget turizmusfejlesztése BELÜLI</t>
  </si>
  <si>
    <t>153                  Sport-sziget turizmusfejlesztése KÍVÜLI</t>
  </si>
  <si>
    <t>153                      Sport-sziget turizmusfejlesztése KÍVÜLI</t>
  </si>
  <si>
    <t>5/2022. (III.17.) sz. Oktatási, Művelődési és Sport Bizottság határozata alapján Nem Adom Fel Alapítvány támogatása a Baktay Ervin Gimnáziumban tartandó érzékenyítő tréning rendezésére korábbi (11/2022. sz.) előirányzat-módosításának részletezőkód és rovat helyesbítése</t>
  </si>
  <si>
    <t>Nem Adom Fel Alapítvány támogatása</t>
  </si>
  <si>
    <t>2022. évi választás tartalékból átcsoportosítás Dunaharaszti Polgármesteri Hivatal országgyűlési képviselő-választás bérkiegészítésére</t>
  </si>
  <si>
    <t>2022. évi választás tartalékból átcsoportosítás Ágazati pótlék, bérkompenzáció, személyi juttatás és járulék tartalékba</t>
  </si>
  <si>
    <t>Útépítési beruházások műszaki ellenőrzéséről átcsoportosítás Parti sétány és tanösvény pályázat műszaki ellenőrzésére</t>
  </si>
  <si>
    <t>Egyházak eszközfejlesztésének támogatása (Dunaharaszti Katolikus Egyház Rákóczi-ligeti új templom padok)</t>
  </si>
  <si>
    <t>"D" típusú sportpark tereprendezés, előkészítés</t>
  </si>
  <si>
    <t>Dunaharaszti Polgármesteri Hivatal (Rendészet)</t>
  </si>
  <si>
    <t>Városi Bölcsőde főintézményben és étkeztetésen áramdíj-jóváírás átvezetés közüzemi díjakra</t>
  </si>
  <si>
    <t>Egyéb adóbevételek (bírság, pótlék) átvezetése Bizonytalan bevétel tartalékba</t>
  </si>
  <si>
    <t>Utcanévtáblák, gyepmester, városi közkutakról átcsoportosítás Bezerédi Sportpark építéséhez kapcsolódó alapkőletételi urna beszerzésére</t>
  </si>
  <si>
    <t>Laffert-kúria tetőfelújítás</t>
  </si>
  <si>
    <t>Pest Megyei Katasztrófavédelmi Igazgatóság eszközfejlesztési támogatása és Szigetszentmiklósi Szakorvosi Rendelőintézet támogatása részgazda-változás miatti módosítása</t>
  </si>
  <si>
    <t>Kiemelt közvilágítás létesítése újonnan épült gyalogosátkelőkhöz feladatról átcsoportosítás Tulipán-téren közvilágítás felújítására</t>
  </si>
  <si>
    <t>Intézményi ingatlanok különféle karbantartási kerete tartalékból átcsoportosítás Sport-sziget turizmusfejlesztési pályázathoz kapcsolódó műszaki tartalmú vázlatterv kidolgozására</t>
  </si>
  <si>
    <t>142.       143.</t>
  </si>
  <si>
    <t>Intézményi ingatlanokkal kapcsolatos tervezések, műszaki ellenőrzések tartalékból átcsoportosítás Család- és Gyermekjóléti Szolgálat új épületének építési engedélyezési tervdokumentációjára</t>
  </si>
  <si>
    <t>156</t>
  </si>
  <si>
    <t>156                      Család- és Gyermekjóléti Szolgálat új épülete BELÜLI</t>
  </si>
  <si>
    <t>157                      Család- és Gyermekjóléti Szolgálat új épülete KÍVÜLI</t>
  </si>
  <si>
    <t>142.          143.</t>
  </si>
  <si>
    <t>Család- és Gyermekjóléti Szolgálat új épülete</t>
  </si>
  <si>
    <t>Intézményi ingatlanok különféle karbantartási kerete tartalékból átcsoportosítás Család- és Gyermekjóléti Szolgálat új épületének építési engedélyezési tervdokumentációjára</t>
  </si>
  <si>
    <t>Sport-sziget turizmusfejlesztése (TOP_PLUSZ-1.1.3-21 pályázat) belüli</t>
  </si>
  <si>
    <t>Mese Óvodában áramdíj-jóváírás átvezetés közüzemi díjakra</t>
  </si>
  <si>
    <t>Egyes szociális és gyermekjóléti feladatok támogatása</t>
  </si>
  <si>
    <t>13.       19.</t>
  </si>
  <si>
    <t>Igazgatáson telephely-engedélyezési eljárási díj és kerekítési különbözetből adódó bevételek átvezetése szolgáltatásokra</t>
  </si>
  <si>
    <t>Telephely-engedélyezési eljárási díj</t>
  </si>
  <si>
    <t>Földmedrű árkok és burkolt beton vízelvezető és szikkasztó árkok építése (Paál L. u., Fecskefű u., Homoktövis u., Munkácsy M. u., Nagy Lajos u., Kölcsey F. u., Attila u., Szent László u.)</t>
  </si>
  <si>
    <t>Szennyvíz bérleti díj felhasználás előző évek (Ivóvíz) (előző évi maradvány: 508.000,- Ft)</t>
  </si>
  <si>
    <t>Dunaharaszti  Város Önkormányzata Képviselő-testületének 6/2022. (II.25.) rendeletének módosítása  2022. április 30-ig</t>
  </si>
  <si>
    <t>Bér rovatok módosítása márciusi bérkönyvelés alapján</t>
  </si>
  <si>
    <t>2.9</t>
  </si>
  <si>
    <t>Önkormányzati finanszírozás Hétszínvirág Óvoda kertészeti munkálataira</t>
  </si>
  <si>
    <t>Önkormányzati finanszírozás Szivárvány Óvoda kertészeti munkálataira</t>
  </si>
  <si>
    <t>29</t>
  </si>
  <si>
    <t>Önkormányzati finanszírozás Művelődési Házban csatornatisztításra</t>
  </si>
  <si>
    <t>Önkormányzati finanszírozás Művelődési Házban ereszcsatorna-javításra</t>
  </si>
  <si>
    <t>62/2022. (IV.25.) sz. Kt. határozat alapján Képviselő-testület rendelkezése tartalékból átcsoportosítás Universe-Strong Kft. támogatására a Piknik Parki Parádén megrendezendő "Tiszta Erős Emberek Nemzetközi Sportversenyre"</t>
  </si>
  <si>
    <t>308</t>
  </si>
  <si>
    <t xml:space="preserve">308                                                     Működési támogatás:             ÁHT-n kívüli                 </t>
  </si>
  <si>
    <t>Polgármester rendelkezése tartalékból átcsoportosítás Piknik Parki Parádé rendezvényre</t>
  </si>
  <si>
    <t>058</t>
  </si>
  <si>
    <t>016080</t>
  </si>
  <si>
    <t>9/2022. (IV.21.) sz. Oktatási, Művelődési és Sport Bizottság határozata alapján Mese-, Napsugár-, Hétszínvirág-, Szivárvány és Százszorszép Óvoda támogatása programrendezésre</t>
  </si>
  <si>
    <t>Játszóterek felülvizsgálatáról átcsoportosítás Hétszínvirág Óvoda kertészeti munkálataira</t>
  </si>
  <si>
    <t>Intézményi zöldterületek ad-hoc feladatai tartalékból átcsoportosítás Hétszínvirág Óvoda kertészeti munkálataira</t>
  </si>
  <si>
    <t>Óvodák játszóeszköz fejlesztése tartalékból átcsoportosítás Hétszínvirág Óvoda kertészeti munkálataira</t>
  </si>
  <si>
    <t>Intézményi zöldterületek ad-hoc feladatai tartalékból átcsoportosítás Szivárvány Óvoda kertészeti munkálataira</t>
  </si>
  <si>
    <t>Intézményi ingatlanok különféle karbantartási kerete tartalékból átcsoportosítás Művelődési Házban csatornatisztításra</t>
  </si>
  <si>
    <t>Intézményi ingatlanok különféle karbantartási kerete tartalékból átcsoportosítás Művelődési Házban ereszcsatorna-javításra</t>
  </si>
  <si>
    <t>157.</t>
  </si>
  <si>
    <t>Intézményi ingatlanok különféle karbantartási kerete tartalékból átcsoportosítás volt TSZ területén kisfeszültségű hálózat elbontására</t>
  </si>
  <si>
    <t>158.</t>
  </si>
  <si>
    <t>Útfelújítások (Soroksári út-Alsó-Duna u., Jedlik Á. u.-Knézich u., Némedi út-Andrássy Gy. u. között)</t>
  </si>
  <si>
    <t>159.</t>
  </si>
  <si>
    <t>Útépítési tervek, műszaki ellenőrzés, eljárási díjak, engedélyek tartalékból átcsoportosítás Paradicsom-sziget útfelújítási tervezésre</t>
  </si>
  <si>
    <t>Útépítési és kerékpárút építési tervekről átcsoportosítás útépítési (Paál L. u.-Zágoni u. és Paál L. u.-Homoktövis u. között)  és útfelújítási tervekre (Soroksári út-Alsó-Duna u., Jedlik Á. u.-Knézich u., Némedi út-Andrássy Gy. u. között)</t>
  </si>
  <si>
    <t>Paradicsom-szigeti utcák felújítása</t>
  </si>
  <si>
    <t>160.</t>
  </si>
  <si>
    <t>154</t>
  </si>
  <si>
    <t>154                      Paál László u. útépítés          BELÜLI</t>
  </si>
  <si>
    <t>161.</t>
  </si>
  <si>
    <t>162.</t>
  </si>
  <si>
    <t>163.</t>
  </si>
  <si>
    <t>164.</t>
  </si>
  <si>
    <t>165.</t>
  </si>
  <si>
    <t>166.</t>
  </si>
  <si>
    <t>167.</t>
  </si>
  <si>
    <t>168.</t>
  </si>
  <si>
    <t>Paál László u. útépítés BELÜLI</t>
  </si>
  <si>
    <t>Hóeltakarítás opció tartalékból átcsoportosítás Csokonai u. járdaépítésre</t>
  </si>
  <si>
    <t>Útfenntartás rendkívüli kiadásai tartalékból átcsoportosítás Csokonai u. járdaépítésre</t>
  </si>
  <si>
    <t>9/2022. (IV.21.) sz. Oktatási, Művelődési és Sport Bizottság határozata alapján Oktatási-nevelési intézmények kulturális programjának támogatása tartalékból átcsoportosítás Baktay Ervin Gimnázium, Zeneiskola, Kőrösi Csoma Sándor Általános Iskola, Hunyadi János Általános Iskola és II. Rákóczi Ferenc Általános Iskola támogatására programok rendezésére</t>
  </si>
  <si>
    <t>Kőrösi Csoma Sándor Általános Iskola támogatása</t>
  </si>
  <si>
    <t>Zeneiskola támogatása</t>
  </si>
  <si>
    <t>II. Rákóczi Ferenc Általános Iskola támogatása</t>
  </si>
  <si>
    <t>084040</t>
  </si>
  <si>
    <t>56/2022. (IV.25.) sz. Kt. határozat alapján Civil szervezetek, egyházak támogatása és helyi DMTK keretein kívül működő egyéb sportok támogatása tartalékból átcsoportosítás önszerveződő közösségek támogatására</t>
  </si>
  <si>
    <t>56/2022. (IV.25.) számú határozat alapján Civil szervezetek, egyházak támogatása tartalékból felosztott 15.000.000,- Ft</t>
  </si>
  <si>
    <t>I. Versenysport- és utánpótlás-nevelési tevékenység és támogatás</t>
  </si>
  <si>
    <t>Kisdunamenti Ashihara Karate és Szabadidős Sport Egyesület</t>
  </si>
  <si>
    <t>Dunaharaszti Venus Rúdsport Akadémia</t>
  </si>
  <si>
    <t>Dunaharaszti KEMPO SE</t>
  </si>
  <si>
    <t>Haraszti Ninják Taekwondo Sport Egyesület</t>
  </si>
  <si>
    <t>HardSteppers Tánc és Sport Egyesület</t>
  </si>
  <si>
    <t>Budapesti Tornádó Sportegyesület</t>
  </si>
  <si>
    <t>Dunaharaszti Judo Club</t>
  </si>
  <si>
    <t>MOHA SC (Morcos Harcosok Sport Club)</t>
  </si>
  <si>
    <t>II. Szabadidősport- (rekreációs sport-) tevékenység</t>
  </si>
  <si>
    <t>Fut a Haraszti (Dunaharaszti Futók)</t>
  </si>
  <si>
    <t>PET-RO Állatvédelmi Egyesület Dunaharaszti</t>
  </si>
  <si>
    <t>Terembura Szerepkör</t>
  </si>
  <si>
    <t>IV. Civil  szervezetek programtámogatása</t>
  </si>
  <si>
    <t>Dunaharaszti Nyugdíjasok Egyesülete</t>
  </si>
  <si>
    <t>Dunaharaszti Alsófalusi Nyugdíjas Klub</t>
  </si>
  <si>
    <t>Barátság Nyugdíjas Egyesület</t>
  </si>
  <si>
    <t>Dunamenti Összművészeti Egyesület</t>
  </si>
  <si>
    <t xml:space="preserve"> Dunaharaszti Nagycsaládos Egyesület</t>
  </si>
  <si>
    <t>Dunaharaszti Honismereti Kör</t>
  </si>
  <si>
    <t>Magyar Cserkészszövetség 647. sz. Tomori Pál Cserkészcsapat</t>
  </si>
  <si>
    <t>Dunaharaszti Ifjúsági Egyesület</t>
  </si>
  <si>
    <t>Napfény Tánccsoport</t>
  </si>
  <si>
    <t>Civilek Dunaharasztiért Egyesület</t>
  </si>
  <si>
    <t>Gazdakör Dunaharaszti</t>
  </si>
  <si>
    <t>Lányok, Asszonyok a Városért Egyesület (LAVE)</t>
  </si>
  <si>
    <t>Dunaharaszti Őszirózsa Nyugdíjas Egyesület</t>
  </si>
  <si>
    <t>Dunaharaszti Nádor Lakóövezetért Közhasznú Egyesület</t>
  </si>
  <si>
    <t>Dunaharaszti Gyermekbarátok Mozgalma Közhasznú Egyesület</t>
  </si>
  <si>
    <t>Petőfi-ligetért Baráti Kör</t>
  </si>
  <si>
    <t>Protego Europa Természetjáró és Környezetvédő Egyesület</t>
  </si>
  <si>
    <t>Dunaharaszti Környezetbarátok Egyesülete</t>
  </si>
  <si>
    <t>Mozaik Közhasznú Egyesület az Autizmussal Élő Emberekért</t>
  </si>
  <si>
    <t>Dunaharaszti Környezetvédelmi és Kulturális Egyesület</t>
  </si>
  <si>
    <t>Önkéntes Összefogás Dunaharaszti Egyesület (ÖNÖSZ Egyesület)</t>
  </si>
  <si>
    <t>Mozgáskorlátozottak Dunaharaszti Egyesülete</t>
  </si>
  <si>
    <t>Dunaharaszti Katonai Hagyományőrző Egyesület</t>
  </si>
  <si>
    <t>Alkotók Dunaharaszti Egyesülete</t>
  </si>
  <si>
    <t>Dunaharaszti Nőegylet</t>
  </si>
  <si>
    <t>Dunaharaszti Millenniumtelepért Egyesület</t>
  </si>
  <si>
    <t>V. Egyházak közösségi és hitéleti tevékenységének támogatása</t>
  </si>
  <si>
    <t>Dunaharaszti Baptista Gyülekezet</t>
  </si>
  <si>
    <t>Dunaharaszti Református Egyházközség</t>
  </si>
  <si>
    <t>Rákóczi-ligeti Római Katolikus Egyházközség</t>
  </si>
  <si>
    <t>TEÉRTED Baptista Gyülekezet</t>
  </si>
  <si>
    <t>Pesterzsébeti Görögkatolikus Egyház Dunaharaszti Csoportja</t>
  </si>
  <si>
    <t>Dunaharaszti Evangélikus Egyház</t>
  </si>
  <si>
    <t>Pénzeszköz átadás összesen:</t>
  </si>
  <si>
    <t>A10 Dunaharaszti Hagyományőrző Postagalambsport Civil Társaság</t>
  </si>
  <si>
    <t>084031                           Civil szervezetek működési támogatása</t>
  </si>
  <si>
    <t>Biztos bevétel tartalékból átcsoportosítás kitüntető díjakhoz érme és díszdoboz beszerzésre</t>
  </si>
  <si>
    <t>046</t>
  </si>
  <si>
    <t>Megelőlegezési hitel I. negyedévi összegének részgazda-változás miatti átvezetése</t>
  </si>
  <si>
    <t>Időskorúak és rászoruló családok karácsonyi csomagja és rendezvényeik támogatása részgazda-változás miatti átvezetése</t>
  </si>
  <si>
    <t>217</t>
  </si>
  <si>
    <t xml:space="preserve">  +</t>
  </si>
  <si>
    <t>217                                                   Időskorúak és rászoruló családok karácsonyi csomagja és rendezvényeik támogatása</t>
  </si>
  <si>
    <t>202                                               Települési támogatás</t>
  </si>
  <si>
    <t>Időskorúak és rászoruló családok karácsonyi csomagja és rendezvényeik</t>
  </si>
  <si>
    <t>Szivárvány Óvoda rovatok közötti módosítás árnyékoló ponyva beszerzésére</t>
  </si>
  <si>
    <t>Idősek nappali ellátásán rovatok közötti módosítás szerver beszerzésre</t>
  </si>
  <si>
    <t>11/2022. (IV.21.) sz. Oktatási, Művelődési és Sport Bizottság határozata alapján önkormányzati finanszírozás nyári napközis tábor szervezésére</t>
  </si>
  <si>
    <t>2.5</t>
  </si>
  <si>
    <t>Önkormányzati finanszírozás Mese Óvoda és Napsugár Óvoda kertészeti munkálataira</t>
  </si>
  <si>
    <t>169.</t>
  </si>
  <si>
    <t>61/2022. (IV.25.) sz. Kt. határozat alapján Városgazdálkodás tartalékból átcsoportosítás Mindszenty J. u. 16/b. címen található műfűves pálya felújítására</t>
  </si>
  <si>
    <t>170.</t>
  </si>
  <si>
    <t>Útfenntartás rendkívüli kiadásai tartalékból átcsoportosítás Bezerédi Sportparknál mérőhely kiépítésére</t>
  </si>
  <si>
    <t xml:space="preserve">Némedi út parkoló- és járdaépítésről átcsoportosítás Bezerédi Sportparknál leágazó gázvezeték megszüntetésére </t>
  </si>
  <si>
    <t>172.</t>
  </si>
  <si>
    <t xml:space="preserve">  -</t>
  </si>
  <si>
    <t>173.</t>
  </si>
  <si>
    <t>174.</t>
  </si>
  <si>
    <t>11/2022. (IV.21.) sz. Oktatási, Művelődési és Sport Bizottság határozata alapján Nyári napközis tábor kiadásai tartalékból átcsoportosítás Család- és Gyermekjóléti Szolgálat nyári napközis tábor szervezésére</t>
  </si>
  <si>
    <t>175.</t>
  </si>
  <si>
    <t>Helyi közutak fenntartása, rendkívüli síkosságmentesítésről átcsoportosítás Mese Óvoda és Napsugár Óvoda kertészeti munkálataira</t>
  </si>
  <si>
    <t>034</t>
  </si>
  <si>
    <t>045160</t>
  </si>
  <si>
    <t>176.</t>
  </si>
  <si>
    <t>Erdőállomány-kezelésen rovatok közötti módosítás Sport-szigeti parkerdő karbantartására</t>
  </si>
  <si>
    <t>029</t>
  </si>
  <si>
    <t>042220</t>
  </si>
  <si>
    <t>177.</t>
  </si>
  <si>
    <t>Zöldterület-kezelésen rovatok közötti módosítás Némedi úton kialakított zöldterületi sávokba termőföld beszerzésre</t>
  </si>
  <si>
    <t>Zöldterület-kezelésen rovatok közötti módosítás Kegyeleti parkban padok karbantartására</t>
  </si>
  <si>
    <t>178.</t>
  </si>
  <si>
    <t>Temetkezésen rovatok közötti módosítás szerver beszerzésre</t>
  </si>
  <si>
    <t>179.</t>
  </si>
  <si>
    <t>Művészeti Alkotótáboron rovatok közötti módosítás szakmai anyagok beszerzésére</t>
  </si>
  <si>
    <t>063</t>
  </si>
  <si>
    <t>180.</t>
  </si>
  <si>
    <t>Városgazdálkodás tartalékból átcsoportosítás elektromos autó töltőállomás áramdíjára</t>
  </si>
  <si>
    <t>087</t>
  </si>
  <si>
    <t>181.</t>
  </si>
  <si>
    <t>Jelzőrendszeres házi segítségnyújtásra kapott támogatás átvezetés Biztos bevétel tartalékba</t>
  </si>
  <si>
    <t>Dunaharaszti Város Önkormányzat Képviselő-testületének 39/2022. (III.28.) számú határozata: Ingatlanvásárlások e-MAG szervizút kialakításához</t>
  </si>
  <si>
    <t>182.</t>
  </si>
  <si>
    <t>Intézményi ingatlanok különféle karbantartási kerete tartalékból átcsoportosítás Napsugár Óvodában armatúra cserére</t>
  </si>
  <si>
    <t>183.</t>
  </si>
  <si>
    <t>Intézményi ingatlanok különféle karbantartási kerete tartalékból átcsoportosítás Polgármesteri Hivatal B épületében bejárati ajtó beépítésére</t>
  </si>
  <si>
    <t>Polgármesteri Hivatal B épületében ajtó beépítése</t>
  </si>
  <si>
    <t>Önkormányzati finanszírozás Napsugár Óvodában armatúra cserére</t>
  </si>
  <si>
    <t>Felhalmozási célú kölcsön nyújtása munkavállalóknak</t>
  </si>
  <si>
    <t>Solidus Idegennyelv-fejlesztő és Kulturális Egyesület</t>
  </si>
  <si>
    <t>Dunaharaszti Szent István Katolikus Főplébánia Szent Erzsébet Karitász Csoport</t>
  </si>
  <si>
    <t>Dunaharaszti Szent István Katolikus Főplébánia Szent Cecília Kórus</t>
  </si>
  <si>
    <t>Kiemelt közvilágítás létesítése újonnan épült gyalogosátkelőkhöz (előző évi maradvány: 1.073.150,- Ft)</t>
  </si>
  <si>
    <t>Közterület-felügyelet részére informatikai eszköz vásárlás</t>
  </si>
  <si>
    <t>Dunaharaszti Város Önkormányzat Képviselő-testületének 61/2022. (IV.25.) számú határozata: Mindszenty J. u. 16/b. címen található műfüves pálya felújítása</t>
  </si>
  <si>
    <t>Zöld Óvodán rovatok közötti módosítás kerti tó karbantartására</t>
  </si>
  <si>
    <t>Folyóirat-előfizetés visszautalt összegének átvezetése szolgáltatásra</t>
  </si>
  <si>
    <t>082042</t>
  </si>
  <si>
    <t>Gyermekjóléti szolgáltatáson rovatok közötti módosítás számítástechnikai eszközök rendszerfelügyeletére</t>
  </si>
  <si>
    <t>Közművelődési tevékenységen rovatok közötti módosítás számítástechnikai eszközök rendszerfelügyeletére</t>
  </si>
  <si>
    <t>184.</t>
  </si>
  <si>
    <t>Szivárvány és Százszorszép Óvodában szerződésmódosítás miatt rovatok közötti módosítás számítástechnikai eszközök rendszerfelügyeletére</t>
  </si>
  <si>
    <t xml:space="preserve"> </t>
  </si>
  <si>
    <t>185.</t>
  </si>
  <si>
    <t>Parkolóhely-megváltás bevétel átvezetés Biztos bevétel tartalékba</t>
  </si>
  <si>
    <t>186.</t>
  </si>
  <si>
    <t>Közterület-használaton bevételnövelés követeléselőírás miatt (kiadás oldal: Bizonytalan bevétel tartaléka)</t>
  </si>
  <si>
    <t>042</t>
  </si>
  <si>
    <t>187.</t>
  </si>
  <si>
    <t>089</t>
  </si>
  <si>
    <t>171.      188.</t>
  </si>
  <si>
    <t>Anyakönyvi feladatokon bér rovatok módosítása reprezentációs költségekre</t>
  </si>
  <si>
    <t>Étkeztetésen áremelés miatt rovatok közötti módosítás vásárolt élelmezésre</t>
  </si>
  <si>
    <t>23.     24.</t>
  </si>
  <si>
    <t>Gimnáziumi étkeztetésen bevételemelés követeléselőírás miatt</t>
  </si>
  <si>
    <t>Vendéglátás étkeztetésen kerekítési különbözet miatti átvezetés</t>
  </si>
  <si>
    <t>189.</t>
  </si>
  <si>
    <t>2022 áprilisi állami támogatás (szociális ágazati összevont pótlék) átvezetése Ágazati pótlék, bérkompenzáció, személyi juttatás és járulék tartalékba</t>
  </si>
  <si>
    <t>190.</t>
  </si>
  <si>
    <t>Megelőlegezési hitel elszámolás alapján (április havi)</t>
  </si>
  <si>
    <t>191.</t>
  </si>
  <si>
    <t>Kegyeleti parkba padok kihelyezése</t>
  </si>
  <si>
    <t>Zöldterület-kezelésen rovatok közötti módosítás a Kegyeleti parkba padok kihelyezésére</t>
  </si>
  <si>
    <t>61/2022. (IV.25.) sz. Kt. határozat alapján Városgazdálkodás tartalékból átcsoportosítás Mindszenty J. u. 16/b. címen található műfüves pálya felújítására</t>
  </si>
  <si>
    <t>Intézményi ingatlanokkal kapcsolatos tervezések, műszaki ellenőrzések tartalékból átcsoportosítás Család- és Gyermekjóléti Szolgálat új épületének projekt-előkészítésére</t>
  </si>
  <si>
    <t>Intézményi ingatlanokkal kapcsolatos tervezések, műszaki ellenőrzések tartalékból átcsoportosítás Sport-sziget turizmusfejlesztés projekt-előkészítésére</t>
  </si>
  <si>
    <t>Útfenntartás rendkívüli kiadásai tartalékból átcsoportosítás Paál László u. útépítés projekt-előkészítésre</t>
  </si>
  <si>
    <t>Némedi út parkoló- és járdaépítés, valamint Sportpark csapadékvíz-elvezetés kiépítési munkái beruházásokon fordított adózás miatt ÁFA átcsoportosítása befizetendő áfára</t>
  </si>
  <si>
    <t>192.</t>
  </si>
  <si>
    <t>Némedi út parkoló- és járdaépítésről átcsoportosítás Bezerédi Sportparknál ideiglenes vízbekötésre</t>
  </si>
  <si>
    <t>Napelemes menetrendtartók beszerzése (előző évi maradvány: 3.000.000,- Ft)</t>
  </si>
  <si>
    <t>Dunaharaszti Város Önkormányzat Képviselő-testületének 40/2022. (III.28.) számú határozata: 6182 hrsz. ingatlanvásárlás</t>
  </si>
  <si>
    <t>Dunaharaszti Város Önkormányzat Képviselő-testületének 13/2022. (II.1.) sz. Kt. határozata: MÁV-Alsó ingatlanvásárlások</t>
  </si>
  <si>
    <t>39/2022. (III.28.) sz. Kt. határozat alapján ingatlanvásárlás e-Mag szervizút kialakításához melynek forrását a 6. sz. Beruházások tábla Ingatlanvásárlások sora biztosítja 9.697.000,- Ft összegben</t>
  </si>
  <si>
    <t>40/2022. (III.28.) sz. Kt. határozat alapján 6182 hrsz. ingatlanvásárlás, melynek forrását a 6. sz. Beruházások tábla Ingatlanvásárlások sora biztosítja 6.064.000,- Ft összegben</t>
  </si>
  <si>
    <t>016020</t>
  </si>
  <si>
    <r>
      <t xml:space="preserve">91/2021. (XII.20.) sz. Kt. határozat: </t>
    </r>
    <r>
      <rPr>
        <b/>
        <sz val="10"/>
        <rFont val="Garamond"/>
        <family val="1"/>
        <charset val="238"/>
      </rPr>
      <t>KisDuna TV támogatása</t>
    </r>
  </si>
  <si>
    <t>193.</t>
  </si>
  <si>
    <t>17/2022. számú előirányzat-módosítás helyesbítése: Felcserélt részgazdák közötti átvezetés szennyvíz és ivóvíz bérleti díj felhasználáson (előző évi maradvány)</t>
  </si>
  <si>
    <t>194.</t>
  </si>
  <si>
    <t>195.</t>
  </si>
  <si>
    <t>196.</t>
  </si>
  <si>
    <t>Előző évekről hozott bevételi hátralékok forrása tartalékból előző évi maradvány átcsoportosítása Vízi közmű bérleti díj elkülönített számla tartalékra szennyvíz és ivóvíz bérleti díj felhasználásra</t>
  </si>
  <si>
    <t>197.</t>
  </si>
  <si>
    <t>Vízi közmű bérleti díj elkülönített számla tartalékból átcsoportosítás szennyvíz és ivóvíz bérleti díj bevétel után fizetendő áfára</t>
  </si>
  <si>
    <t>198.</t>
  </si>
  <si>
    <t>Városgazdálkodás tartalékból átcsoportosítás ÁFA önellenőrzés befizetésére</t>
  </si>
  <si>
    <t>199.</t>
  </si>
  <si>
    <t>Vízi közmű bérleti díj elkülönített számla tartalékból átcsoportosítás új 24 tantermes iskola szennyvíznyomócső építésének II. ütemére</t>
  </si>
  <si>
    <t>200.</t>
  </si>
  <si>
    <t>Téves utalás és környezetvédelmi bírság bevétel átvezetés Biztos bevétel tartalékba</t>
  </si>
  <si>
    <t>B53</t>
  </si>
  <si>
    <t>B21</t>
  </si>
  <si>
    <t>Önkormányzati finanszírozás Laffert-kúria céljuttatásra és járulékaira</t>
  </si>
  <si>
    <t>Önkormányzati finanszírozás Laffert-kúria és Közművelődési tevékenység céljuttatásra és járulékaira</t>
  </si>
  <si>
    <t>Önkormányzati finanszírozás Szivárvány Óvoda szociális bértámogatásokra</t>
  </si>
  <si>
    <t>Önkormányzati finanszírozás Szivárvány Óvoda céljuttatásra és járulékaira</t>
  </si>
  <si>
    <t>Önkormányzati finanszírozás Szivárvány Óvoda és Százszorszép Óvoda céljuttatásra és járulékaira</t>
  </si>
  <si>
    <t>Önkormányzati finanszírozás céljuttatásra és járulékaira</t>
  </si>
  <si>
    <t>Önkormányzati finanszírozás Hétszínvirág Óvoda és SNI céljuttatásra és járulékaira</t>
  </si>
  <si>
    <t>Önkormányzati finanszírozás Hétszínvirág Óvoda céljuttatásra és járulékaira</t>
  </si>
  <si>
    <t>Önkormányzati finanszírozás Városi Bölcsőde étkeztetés szociális bértámogatásokra</t>
  </si>
  <si>
    <t>Önkormányzati finanszírozás Városi Bölcsőde, tagintézmény és étkeztetés céljuttatásra és járulékaira</t>
  </si>
  <si>
    <t>Városi Bölcsődén és tagintézményen rovatok közötti módosítás szőnyegbérlés díjára és számítógép üzemeltetésre</t>
  </si>
  <si>
    <t>Önkormányzati finanszírozás Mese Óvoda céljuttatásra és járulékaira</t>
  </si>
  <si>
    <t>Önkormányzati finanszírozás Mese Óvoda és Napsugár Óvoda céljuttatásra és járulékaira</t>
  </si>
  <si>
    <t>Önkormányzati finanszírozás Gyermekjóléti szolgáltatás céljuttatásra és járulékaira</t>
  </si>
  <si>
    <t>Önkormányzati finanszírozás Idősek nappali ellátása céljuttatásra és járulékaira</t>
  </si>
  <si>
    <t>Önkormányzati finanszírozás Idősek nappali ellátása, Szociális étkeztetés, Házi segítségnyújtás, Házi jelzőrendszer, Egyéb járóbeteg, EÜ labor, Fizikotherápiás szolgáltatás, Család- és nővédelem egészségügyi gondozás, Ifjúságegészségügyi gondozás, Iskolai intézményi étkeztetés céljuttatásra és járulékaira</t>
  </si>
  <si>
    <t>202.</t>
  </si>
  <si>
    <t>Továbbszámlázáson rovatok közötti módosítás közvetített szolgáltatásokra</t>
  </si>
  <si>
    <t>203.</t>
  </si>
  <si>
    <t>Városi pedagógusok jutalmazási kerete tartalékból átcsoportosítás Önkormányzati igazgatás egyéb külső személyi juttatásokra és járulékaira, valamint Városi Sportcsarnok céljuttatásra és járulékaira</t>
  </si>
  <si>
    <t>204.</t>
  </si>
  <si>
    <t>Városi dolgozók temetési és gyermekszületési támogatása tartalékból átcsoportosítás Városi Bölcsőde és Szivárvány Óvoda szociális bértámogatásokra</t>
  </si>
  <si>
    <t>205.</t>
  </si>
  <si>
    <t>Intézményvezetők jutalmazási kerete tartalékból átcsoportosítás Mese Óvoda, Hétszínvirág Óvoda, Városi Bölcsőde, Szivárvány Óvoda, Területi Gondozási Központ, Városi Könyvtár, Laffert-kúria, Család- és Gyermekjóléti Szolgálat céljuttatásra és járulékaira</t>
  </si>
  <si>
    <t>206.</t>
  </si>
  <si>
    <t>Városi dolgozók jutalom kerete tartalékból átcsoportosítás Területi Gondozási Központ céljuttatásra és járulékaira</t>
  </si>
  <si>
    <t>207.</t>
  </si>
  <si>
    <t>Városi dolgozók jutalom kerete tartalékból átcsoportosítás Városi Könyvtár, Család- és Gyermekjóléti Szolgálat, Mese Óvoda, Városi Bölcsőde, Hétszínvirág Óvoda, Szivárvány Óvoda, József Attila Művelődési Ház céljuttatásra és járulékaira</t>
  </si>
  <si>
    <t>208.</t>
  </si>
  <si>
    <t>Városi dolgozók jutalom kerete tartalékból átcsoportosítás Önkormányzati igazgatás, Városi Piac, Közterületi feladat, Városi Köztemető, Városi Sportcsarnok céljuttatásra és járulékaira</t>
  </si>
  <si>
    <t>209.</t>
  </si>
  <si>
    <t>Sport-sziget turizmusfejlesztése, Család- és Gyermekjóléti Szolgálat új épülete, Szivárvány Óvoda bővítése beruházásokon bekerülési értéknek el nem számolható projektelőkészítési feladatok átvezetése dologi kiadásra</t>
  </si>
  <si>
    <t>210.</t>
  </si>
  <si>
    <t>Paál László útépítés beruházáson bekerülési értéknek el nem számolható projektelőkészítési feladatok átvezetése dologi kiadásra</t>
  </si>
  <si>
    <t>211.</t>
  </si>
  <si>
    <t>Paradicsom-szigeti utak tervezése felújításról helyesbítés útépítésre</t>
  </si>
  <si>
    <t>212.</t>
  </si>
  <si>
    <t>Sportpark járda és várakozósáv építéséről átcsoportosítás Bezerédi Sportpark közüzemi díjaira</t>
  </si>
  <si>
    <t>213.</t>
  </si>
  <si>
    <t>Sportpark járda és várakozósáv építéséről átcsoportosítás Bezerédi Sportparkban gyengeáramú hálózat kiépítésére</t>
  </si>
  <si>
    <t>214.</t>
  </si>
  <si>
    <t>Városgazdálkodás tartalékból átcsoportosítás Budapest-Belgrád vasútvonal felújítás miatti vágányzár okán felmerült új helyi buszjárat biztosítására</t>
  </si>
  <si>
    <t>Helyi tömegközlekedés támogatása (alapfeladat, iskolajárat, Tesco-járat, vonatpótló-járat)</t>
  </si>
  <si>
    <t>215.</t>
  </si>
  <si>
    <t>Intézményi ingatlanok különféle karbantartási kerete tartalékból átcsoportosítás 2491 hrsz-ú ingatlan felmérésére</t>
  </si>
  <si>
    <t>216.</t>
  </si>
  <si>
    <t>Játszóterek eszközfejlesztéséről átvezetés Bezerédi Sportparkban talajvízkút létesítésére</t>
  </si>
  <si>
    <t>217.</t>
  </si>
  <si>
    <t>Útépítési beruházások műszaki ellenőrzéséről átcsoportosítás Fecskefű utca stabilizációjára</t>
  </si>
  <si>
    <t>218.</t>
  </si>
  <si>
    <t>Csapadékvíz-elvezetési tervek, műszaki ellenőrzés, eljárási díjak, engedélyek tartalékból átcsoportosítás Fecskefű utca stabilizációjára</t>
  </si>
  <si>
    <t>219.</t>
  </si>
  <si>
    <t>Útfenntartás rendkívüli kiadásairól átcsoportosítás Fecskefű utca stabilizációjára</t>
  </si>
  <si>
    <t>220.</t>
  </si>
  <si>
    <t>Zöldterület-kezelésről átcsoportosítás Paradicsom-szigeti utcák építésére</t>
  </si>
  <si>
    <t>221.</t>
  </si>
  <si>
    <t>222.</t>
  </si>
  <si>
    <t>Csapadékvíz-beruházások lakossági kérésről átvezetés Klauzál u.-Szent István u. között burkolt árok építésére</t>
  </si>
  <si>
    <t>Klauzál u.-Szent István u. között burkolt árok építése</t>
  </si>
  <si>
    <t>223.</t>
  </si>
  <si>
    <t>093</t>
  </si>
  <si>
    <t>Intézményi ingatlanok különféle karbantartási kerete tartalékból átcsoportosítás Városi Bölcsőde új tagintézményben áram bekötésre</t>
  </si>
  <si>
    <t>Intézményi ingatlanok különféle karbantartási kerete tartalékból átcsoportosítás Városi Bölcsőde új tagintézményben víz- és csatornabekötési terv elkészítésére</t>
  </si>
  <si>
    <t>Dunaharaszti Városi Bölcsőde főintézményben vizesblokk felújítására kapott állami támogatás átvezetés részletezőkódra</t>
  </si>
  <si>
    <t xml:space="preserve">Intézményi ingatlanok különféle karbantartási kerete tartalékból átcsoportosítás Városi Bölcsőde új tagintézményben Elmű-hálózatra történő ideiglenes csatlakozására </t>
  </si>
  <si>
    <t>Intézményi ingatlanok különféle karbantartási kerete tartalékból átcsoportosítás Városi Bölcsőde új tagintézményben ideiglenes fogyasztási mérőhely kiépítésére</t>
  </si>
  <si>
    <t>Intézményi ingatlanok különféle karbantartási kerete tartalékból átcsoportosítás Városi Bölcsőde tagintézményben kukatároló, parkoló, kerítés és kapu építésére</t>
  </si>
  <si>
    <t>Városi Bölcsőde tagintézményben kukatároló, parkoló, kerítés és kapu építés</t>
  </si>
  <si>
    <t>224.</t>
  </si>
  <si>
    <t>225.</t>
  </si>
  <si>
    <t>Intézményi ingatlanok különféle karbantartási kerete tartalékból átcsoportosítás 7844/2,3,5,6, 7846,7848 hrsz-ú ingatlanok kitűzésére</t>
  </si>
  <si>
    <t>226.</t>
  </si>
  <si>
    <t>227.</t>
  </si>
  <si>
    <t>Intézményi ingatlanok különféle karbantartási kerete tartalékból átcsoportosítás Városi Bölcsőde tagintézményben klíma telepítésre</t>
  </si>
  <si>
    <t>Intézményi ingatlanok különféle karbantartási kerete tartalékból átcsoportosítás Városi Bölcsőde tagintézményben füvesítésre és kerti vízellátás kiépítésére</t>
  </si>
  <si>
    <t>228.</t>
  </si>
  <si>
    <t>Intézményi ingatlanok különféle karbantartási kerete tartalékból átcsoportosítás Hétszínvirág Óvoda konyhájában burkolatjavítási munkálatokra</t>
  </si>
  <si>
    <t>229.</t>
  </si>
  <si>
    <t>Tulipán téren gépkocsival kidöntött kandeláber oszlop helyreállítására fizetett lakossági kártérítés átvezetése Biztos bevétel tartalékba</t>
  </si>
  <si>
    <t>230.</t>
  </si>
  <si>
    <t>Utcanévtáblák, gyepmester, városi közkutakon rovatok közötti módosítás Fő úti szökőkút világítás cseréjére</t>
  </si>
  <si>
    <t>231.</t>
  </si>
  <si>
    <t>Bér rovatok módosítása áprilisi bérkönyvelés alapján</t>
  </si>
  <si>
    <t>232.</t>
  </si>
  <si>
    <t>Bezerédi Sportparkon rovatok közötti helyesbítés ideiglenes fogyasztási mérőhely kiépítésére</t>
  </si>
  <si>
    <t>233.</t>
  </si>
  <si>
    <t>Ágazati pótlék, bérkompenzáció, személyi juttatás és járulék tartalékról átcsoportosítás Országgyűlési képviselő-választás bérjárulék kiadásaira</t>
  </si>
  <si>
    <t>234.</t>
  </si>
  <si>
    <t>Megelőlegezési hitel elszámolás alapján (május havi)</t>
  </si>
  <si>
    <t>Önkormányzati finanszírozás Városi Bölcsőde tagintézményben klímatelepítésre</t>
  </si>
  <si>
    <t>Szivárvány Óvodában bér passzív időbeli elhatárolásának feloldása</t>
  </si>
  <si>
    <t>Önkormányzati finanszírozás Hunyadi János Általános Iskola Csatorna-parti ebédlőjében ablakjavításra</t>
  </si>
  <si>
    <t>Intézményi ingatlanok különféle karbantartási kerete tartalékból átcsoportosítás Hunyadi János Általános Iskola Csatorna-parti ebédlőjében ablakjavításra</t>
  </si>
  <si>
    <t>Önkormányzati finanszírozás Hétszínvirág Óvoda konyhájában burkolatjavítási munkálatokra</t>
  </si>
  <si>
    <t>24.          25.</t>
  </si>
  <si>
    <t>26.   27.</t>
  </si>
  <si>
    <t>Önkormányzati finanszírozás Országgyűlési képviselőválasztás bérjárulékaira</t>
  </si>
  <si>
    <t>Népszavazásról és Igazgatásról átcsoportosítás Országgyűlési képviselőválasztás dologi kiadásaira</t>
  </si>
  <si>
    <t>Országgyűlési képviselőválasztáson rovatok közötti módosítás fénymásolópapír beszerzésre</t>
  </si>
  <si>
    <t>Országgyűlési képviselőválasztásra kapott támogatás rovatokra történő felosztása tervsor szerint</t>
  </si>
  <si>
    <t>Országgyűlési képviselőválasztáson rovatok közötti módosítás reprezentációs költségekre</t>
  </si>
  <si>
    <t>Önkormányzati finanszírozás az Országgyűlési képviselőválasztás bérkiegészítésére</t>
  </si>
  <si>
    <t>Mese Óvodában szerződésmódosítás miatti átcsoportosítás számítástechnikai eszközök rendszerfelügyeletére</t>
  </si>
  <si>
    <t>Idősek nappali ellátásán rovatok közötti módosítás vadasparki belépőre</t>
  </si>
  <si>
    <t>Egyéb járóbeteg ellátáson rovatok közötti módosítás közüzemi díjakra</t>
  </si>
  <si>
    <t>87/2022. (V.26.) sz. Kt. határozat alapján a 13/2022. (II.1.) sz. Kt. határozat visszavonása miatt felszabaduló előirányzat átvezetése a 6. számú melléklet Ingatlanvásárlások sorra 12.000.000,- Ft összegben</t>
  </si>
  <si>
    <t>81/2022. (V.26.) sz. Kt. határozat alapján a Szekér utcai játszótér vásárlás többletköltség forrását a 6. számú melléklet Ingatlanvásárlások sora biztosítja 3.500.000,- Ft összegben</t>
  </si>
  <si>
    <t>Ifjúságegészségügyi gondozáson szerződésmódosítás miatti átcsoportosítás számítástechnikai eszközök karbantartására</t>
  </si>
  <si>
    <t>Biztosító által megtérített viharkár átvezetés Szivárvány Óvodába a károk helyreállítási költségeire</t>
  </si>
  <si>
    <t>235.</t>
  </si>
  <si>
    <t>Építési beruházásokhoz tartalékból átcsoportosítás Városi Köztemetőben illemhely kialakítására</t>
  </si>
  <si>
    <t>Temetkezés illemhely kialakítás</t>
  </si>
  <si>
    <t>236.</t>
  </si>
  <si>
    <t>Dunaharaszti-Taksony kerékpárút építés beruházáson rovatok közötti helyesbítés projektelőkészítő feladatokra</t>
  </si>
  <si>
    <t>237.</t>
  </si>
  <si>
    <t>Munkáltatói kölcsön bevételemelés követeléselőírás miatt</t>
  </si>
  <si>
    <t>238.</t>
  </si>
  <si>
    <t>Szivárvány Óvodában történt viharkár miatt biztosítótól kapott kártérítés átvezetés Szivárvány Óvodába a károk helyreállítási költségeire</t>
  </si>
  <si>
    <t>239.</t>
  </si>
  <si>
    <t>Útépítési beruházások műszaki ellenőrzéséről átcsoportosítás Sportpark járda és várakozósáv csapadékvíz-elvezetés műszaki ellenőrzésére</t>
  </si>
  <si>
    <t>Szigetszentmiklós-Tököl SE támogatása</t>
  </si>
  <si>
    <t>240.</t>
  </si>
  <si>
    <t>ÁFA kiadásokról többletátvezetés miatti átcsoportosítás Sportpark járda és várakozósáv csapadékvíz-elvezetés műszaki ellenőrzés áfájára</t>
  </si>
  <si>
    <t>241.</t>
  </si>
  <si>
    <t>Intézményi ingatlanok különféle karbantartási kerete tartalékból átcsoportosítás Festő utcai kisfeszültségű szabadvezetékes hálózatszakasz kiváltására</t>
  </si>
  <si>
    <t>242.</t>
  </si>
  <si>
    <t>Intézményi ingatlanok különféle karbantartási kerete tartalékból átcsoportosítás Városi Bölcsőde tagintézmény épületében vizesblokk felújítási munkálataira</t>
  </si>
  <si>
    <t>151</t>
  </si>
  <si>
    <t>Városi Bölcsőde (Kossuth Lajos utcai) vizesblokk felújítás KÍVÜLI</t>
  </si>
  <si>
    <t>243.</t>
  </si>
  <si>
    <t>244.</t>
  </si>
  <si>
    <t>Városgazdálkodás tartalékból átcsoportosítás Bezerédi Sportpark megvilágításának kiépítésére</t>
  </si>
  <si>
    <t>Bezerédi Sportpark megvilágítása</t>
  </si>
  <si>
    <t>245.</t>
  </si>
  <si>
    <t>Építési beruházásokhoz tartalékból átcsoportosítás Bezerédi Sportpark megvilágításának kiépítésére</t>
  </si>
  <si>
    <t>246.</t>
  </si>
  <si>
    <t>14/2022. (V.25.) sz. Oktatási, Művelődési és Sport Bizottság határozata alapján a Városi civil sport- és kulturális rendezvények kiadásainak valamint DMTK-n kívüli sportegyesületek kiadásainak finanszírozási kerete tartalékból átcsoportosítás Equilor Team Újbuda SE támogatására, Szalai Fanni sporttevékenységének finanszírozására</t>
  </si>
  <si>
    <t xml:space="preserve">14/2022. (V.25.) sz. OMS határozat: Equilor Team Újbuda SE támogatása </t>
  </si>
  <si>
    <t>62/2022. (IV.25.) sz. Kt. határozat: Universe-Strong Kft. támogatása (Piknik Parki Parádé "Tiszta Erős Emberek Nemzetközi Sportversenye")</t>
  </si>
  <si>
    <t>247.</t>
  </si>
  <si>
    <t>Dunaharaszti Sportcsarnokon rovatok közötti módosítás földszinti folyosói ablakok szellőztető vezérlésének kiépítésére</t>
  </si>
  <si>
    <t>248.</t>
  </si>
  <si>
    <t>Bezerédi Sportparkon rovatok közötti módosítás áramdíjra</t>
  </si>
  <si>
    <t>249.</t>
  </si>
  <si>
    <t>Temető fenntartáson rovatok közötti módosítás szikvíz vásárlásra</t>
  </si>
  <si>
    <t>Szivárvány Óvodában rovatok közötti módosítás takarítógép beszerzésre</t>
  </si>
  <si>
    <t>Könyvtári szolgáltatásokon túlteljesítés miatti bevételemelés</t>
  </si>
  <si>
    <t>Finanszírozás módosítás (Szivárvány Óvoda)</t>
  </si>
  <si>
    <t>250.</t>
  </si>
  <si>
    <t>Intézményi ingatlanok különféle karbantartási kerete tartalékból átcsoportosítás Mese Óvodában és Napsugár Óvodában vizesblokk karbantartási munkálataira</t>
  </si>
  <si>
    <t>251.</t>
  </si>
  <si>
    <t>VEKOP-6.1.1-15PT1-2016-00076 "Dunaharaszti Városi Bölcsőde új tagintézményének építése" projekt fenntartási jelentés feladatainak ellátása részletezőkódok közötti helyesbítése</t>
  </si>
  <si>
    <t>171.</t>
  </si>
  <si>
    <t>252.</t>
  </si>
  <si>
    <t>Intézményi ingatlanok különféle karbantartási kerete tartalékból átcsoportosítás Területi Gondozási Központnak a  Földváry u. 15. szám alatti melegítőkonyhában fogyasztási mérőhely átépítésére</t>
  </si>
  <si>
    <t>253.</t>
  </si>
  <si>
    <t>Intézményi ingatlanok különféle karbantartási kerete tartalékból átcsoportosítás Városi Bölcsőde tagintézményében telepített klímákhoz elektromos áramkör bővítésére</t>
  </si>
  <si>
    <t>Városi Bölcsőde tagintézményében füvesítés és kerti vízellátás kiépítése</t>
  </si>
  <si>
    <t>Szivárvány Óvodában rovatok közötti módosítás ugrálóvár beszerzésre</t>
  </si>
  <si>
    <t xml:space="preserve">33. </t>
  </si>
  <si>
    <t>Önkormányzati finanszírozás Földváry u. 15. szám alatti melegítőkonyhában fogyasztási mérőhely átépítésére</t>
  </si>
  <si>
    <t>Önkormányzati finanszírozás Mese Óvodában és Napsugár Óvodában vizesblokk karbantartási munkálataira</t>
  </si>
  <si>
    <t>254.</t>
  </si>
  <si>
    <t>Útépítési beruházások műszaki ellenőrzéséről átcsoportosítás Dunaharaszti-Taksony kerékpárút pályázat kiviteli terveire</t>
  </si>
  <si>
    <t>255.</t>
  </si>
  <si>
    <t>Útépítési beruházások műszaki ellenőrzéséről átcsoportosítás Paál László utca építéséhez kapcsolódó kerékpárosbarát tervre</t>
  </si>
  <si>
    <t>Városi Bölcsőde főintézményben rovatok közötti módosítás dajkaképzés díjára</t>
  </si>
  <si>
    <t>Ifjúságegészségügyi gondozáson rovatok közötti módosítás notebook beszerzésre</t>
  </si>
  <si>
    <t>Dunaharaszti Területi Gondozási Központ (Ifjúságegészségügy)</t>
  </si>
  <si>
    <t>Finanszírozás módosítás (Területi Gondozási Központ)</t>
  </si>
  <si>
    <t>Rendészeten dolgozónak laptop értékesítés bevétele átvezetés informatikai szolgáltatásokra</t>
  </si>
  <si>
    <t>Finanszírozás módosítás (Polgármesteri Hivatal)</t>
  </si>
  <si>
    <t>Országgyűlési képviselőválasztásra kapott támogatás átvezetés bérleti díjra</t>
  </si>
  <si>
    <t>Működési célú támogatások államháztartáson belülről</t>
  </si>
  <si>
    <t>107053 Jelzőrenderes házi segítségnyújtás</t>
  </si>
  <si>
    <t>Állami támogatás</t>
  </si>
  <si>
    <t>B16</t>
  </si>
  <si>
    <t>Kulturális bérfejlesztés 20 % (EMMI)</t>
  </si>
  <si>
    <t>Jelzőrendszeres házi segítségnyújtás támogatása</t>
  </si>
  <si>
    <t>Bursa ösztöndíj visszautalás</t>
  </si>
  <si>
    <t>Taksony Nagyközség Önkormányzata - Orvosi Ügyeleti Szolgálat hozzájárulás</t>
  </si>
  <si>
    <t>Jahn Ferenc Kórház támogatás visszafizetés</t>
  </si>
  <si>
    <t>Országgyűlési választás és népszavazás támogatása</t>
  </si>
  <si>
    <t>Dunaharaszti Német Nemzetiségi Önkormányzat támogatása</t>
  </si>
  <si>
    <t>NEAK támogatás: Család-és nővédelem egészségügyi gondozás</t>
  </si>
  <si>
    <t>NEAK támogatás: Ifjúság-egészségügyi gondozás</t>
  </si>
  <si>
    <t>12/2022. (V.31.) sz. Kt. rendelet alapján a 2021. évi szabad maradvány átvezetése</t>
  </si>
  <si>
    <t>Család- és nővédelem egészségügyi gondozáson bér rovatok módosítása Egészségügyi nap reprezentációs költségeire</t>
  </si>
  <si>
    <t>256.</t>
  </si>
  <si>
    <t>2022 májusi állami támogatás (szociális ágazati összevont pótlék) átvezetése Ágazati pótlék, bérkompenzáció, személyi juttatás és járulék tartalékba</t>
  </si>
  <si>
    <t>257.</t>
  </si>
  <si>
    <r>
      <rPr>
        <strike/>
        <sz val="11"/>
        <color indexed="8"/>
        <rFont val="Garamond"/>
        <family val="1"/>
        <charset val="238"/>
      </rPr>
      <t xml:space="preserve">018010            Önkormányzatok elszámolásai a központi költségvetéssel </t>
    </r>
    <r>
      <rPr>
        <sz val="11"/>
        <color indexed="8"/>
        <rFont val="Garamond"/>
        <family val="1"/>
        <charset val="238"/>
      </rPr>
      <t xml:space="preserve">           066020                                 Város- és községgazdálkodási egyéb szolgáltatás</t>
    </r>
  </si>
  <si>
    <t>12/2022. (V.31.) sz. Kt. rendelet alapján a 2021. évi szabad maradvány felosztása Képviselő-testület rendelkezése tartalékra, Ventona MÁV-buszjárat támogatására, Levendula utcában illegálisan elhelyezett hulladék elszállítására, Energiaárak emelkedése miatti tartalékra, KisDuna Tv támogatására, Városgazdálkodás tartalékra, Ingatlanvásárlásokra és Paál László utca építés önerőre</t>
  </si>
  <si>
    <t>312</t>
  </si>
  <si>
    <t>Energiaárak emelkedése miatti tartalék</t>
  </si>
  <si>
    <t>258.</t>
  </si>
  <si>
    <t>Kulturális ágazatban közfeladatot ellátók 20%-os béremelésére kapott támogatás részletezőkódok közötti helyesbítése</t>
  </si>
  <si>
    <t>095</t>
  </si>
  <si>
    <t>B12</t>
  </si>
  <si>
    <t>12/2022. (V.31.) sz. Kt. rendelet alapján felosztott szabad maradvány</t>
  </si>
  <si>
    <t>József Attila Művelődési Ház 20%-os béremelésre kapott támogatása</t>
  </si>
  <si>
    <t>Dunaharaszti Városi Könyvtár 20%-os béremelésre kapott támogatása</t>
  </si>
  <si>
    <t>260.</t>
  </si>
  <si>
    <t>269.</t>
  </si>
  <si>
    <t>259.</t>
  </si>
  <si>
    <t>Játszóterek eszközfejlesztésén rovatok közötti módosítás Szent István játszótérre játszóeszközök telepítésére</t>
  </si>
  <si>
    <t>261.</t>
  </si>
  <si>
    <t>Településképi bírság bevétel átvezetés Biztos bevétel tartalékba</t>
  </si>
  <si>
    <t>262.     266.</t>
  </si>
  <si>
    <t>Intézményi ingatlanok különféle karbantartási kerete tartalékból átcsoportosítás Szivárvány Óvodában ajtó beépítésre</t>
  </si>
  <si>
    <t>262.      266.</t>
  </si>
  <si>
    <t>Szivárvány Óvodában ajtó beépítés</t>
  </si>
  <si>
    <t>263.</t>
  </si>
  <si>
    <t>Továbbszámlázáson bevételemelés követeléselőírás miatt</t>
  </si>
  <si>
    <t>264.</t>
  </si>
  <si>
    <t>265.</t>
  </si>
  <si>
    <t>Biztos bevétel tartalékból átcsoportosítás Városi Temető dolgozóinak egészségügyi vizsgálatára</t>
  </si>
  <si>
    <t>064</t>
  </si>
  <si>
    <t>074011</t>
  </si>
  <si>
    <t>267.</t>
  </si>
  <si>
    <t>Kábítószer Egyeztető Fórumon rovatok közötti módosítás borítékok beszerzésére</t>
  </si>
  <si>
    <t>097</t>
  </si>
  <si>
    <t>074052</t>
  </si>
  <si>
    <t>268.</t>
  </si>
  <si>
    <t>Kiemelt állami és önkormányzati rendezvényeken rovatok közötti módosítás közalkalmazotti napra asztalbérlésre</t>
  </si>
  <si>
    <t>Közterület-használat, reklámtábla feladaton bevételnövelés követeléselőírás miatt (kiadás oldal: Bizonytalan bevétel tartaléka)</t>
  </si>
  <si>
    <t>188.</t>
  </si>
  <si>
    <t>270.         271.</t>
  </si>
  <si>
    <t>Játszóterek felülvizsgálatáról átcsoportosítás Knézich utcai és Szekér utcai játszóterekre fogyasztásmérő kiépítésére</t>
  </si>
  <si>
    <t>Knézich utcai és Szekér utcai játszótereken fogyasztásmérő kiépítés</t>
  </si>
  <si>
    <t>272.</t>
  </si>
  <si>
    <t>Biztos bevétel tartalékból átcsoportosítás önkormányzati dolgozónak felhalmozási célú kölcsön nyújtására</t>
  </si>
  <si>
    <t>Laffert-kúriával kapcsolatos feladatokon rovatok közötti módosítás SSD tárhely bővítésre</t>
  </si>
  <si>
    <t>Nyári napközis táboron rovatok közötti módosítás szakmai és üzemeltetési anyagok beszerzésére (tisztítószerek, gyógyszerek, játékok stb.)</t>
  </si>
  <si>
    <t>Nyári napközis táboron téves kártyalevonás miatti különbözet technikai átvezetése</t>
  </si>
  <si>
    <t>Hétszínvirág Óvodában bérleti díj bevételemelés követeléselőírás miatt</t>
  </si>
  <si>
    <t>Hétszínvirág Óvodában rovatok közötti módosítás irodaszékek beszerzésére</t>
  </si>
  <si>
    <t>Finanszírozás módosítás (Hétszínvirág Óvoda)</t>
  </si>
  <si>
    <t>Önkormányzati igazgatáson rovatok közötti módosítás 6182 hrsz-ú ingatlan adásvételi szerződés alapján bejegyzett önkormányzati tulajdonjoghoz kapcsolódó igazgatási szolgáltatási díjra</t>
  </si>
  <si>
    <t>Autótechnika átalakítás (előző évi maradvány: 18.986.500,- Ft)</t>
  </si>
  <si>
    <r>
      <t xml:space="preserve">018010 Önkormányzatok elszámolásai a központi költségvetéssel         </t>
    </r>
    <r>
      <rPr>
        <sz val="9"/>
        <rFont val="Garamond"/>
        <family val="1"/>
        <charset val="238"/>
      </rPr>
      <t>066020 Város- és községgazdálkodási egyéb szolgáltatások</t>
    </r>
  </si>
  <si>
    <t>Ágazati pótlék, bérkompenzáció, személyi juttatás és járulék tartalékról átcsoportosítás Országgyűlési képviselőválasztás bérjárulék kiadásaira</t>
  </si>
  <si>
    <t>Támogatások elszámolásán rovatok közötti módosítás szakmai anyagok beszerzésére (papír, írószer, festék stb.)</t>
  </si>
  <si>
    <t>Házi jelzőrendszeren rovatok közötti módosítás internetdíjra</t>
  </si>
  <si>
    <t>Önkormányzati finanszírozás Igazgatás, Adóügyi feladatok, Anyakönyvi feladatok és Rendészet normatív jutalmaira és járulékaira</t>
  </si>
  <si>
    <t>273.</t>
  </si>
  <si>
    <t>Játszóterek felülvizsgálatáról átcsoportosítás Sport-szigeti játszótér fejlesztésére, valamint Knézich utcai és Szekér utcai játszótereken fogyasztásmérő kiépítésére</t>
  </si>
  <si>
    <t>274.</t>
  </si>
  <si>
    <t>Játszóterek felülvizsgálatáról átcsoportosítás játszótereken talajvízkutak telepítésére és meglévő automata öntözőrendszerek átalakítására</t>
  </si>
  <si>
    <t>275.</t>
  </si>
  <si>
    <t>Polgármester rendelkezése tartalékból átcsoportosítás Dunamenti Összművészeti Egyesület támogatására Somló Fesztiválon való részvételhez</t>
  </si>
  <si>
    <t>Dunamenti Összművészeti Egyesület támogatása</t>
  </si>
  <si>
    <t>276.</t>
  </si>
  <si>
    <t>Ágazati pótlék, bérkompenzáció, személyi juttatás és járulék tartalékról átcsoportosítás Polgármesteri Hivatal normatív jutalmakra és járulékaira</t>
  </si>
  <si>
    <t>277.</t>
  </si>
  <si>
    <t>Intézményi ingatlanok különféle karbantartási kerete tartalékból átcsoportosítás Csónakház bővítéséhez szakvélemény készítésére</t>
  </si>
  <si>
    <t>153</t>
  </si>
  <si>
    <t>Sport-sziget turizmusfejlesztése (TOP_PLUSZ-1.1.3-21 pályázat) kívüli</t>
  </si>
  <si>
    <t>Intézményi ingatlanok különféle karbantartási kerete tartalékból átcsoportosítás József Attila Művelődési Ház melléképület károsodott hátsó falának helyreállításához szakvélemény készítésére</t>
  </si>
  <si>
    <t>278.     280.</t>
  </si>
  <si>
    <t>278.    280.</t>
  </si>
  <si>
    <t>Művelődési Ház melléképület hátsó falának felújítása</t>
  </si>
  <si>
    <t>Intézményi ingatlanok különféle karbantartási kerete tartalékból átcsoportosítás József Attila Művelődési Ház melléképület károsodott hátsó falának felújításához szakvélemény készítésére</t>
  </si>
  <si>
    <t>279.</t>
  </si>
  <si>
    <t>Okoszebrák kialakításáról átcsoportosítás Paradicsom-szigeti utcák építéséhez kapcsolódó műszaki ellenőrzésre</t>
  </si>
  <si>
    <t>Útépítések (Paál L. u.-Zágoni u., Paál L. u.-Homoktövis u. között) + tervek</t>
  </si>
  <si>
    <t>281.</t>
  </si>
  <si>
    <t>Bér rovatok módosítása májusi bérkönyvelés alapján</t>
  </si>
  <si>
    <t>282.</t>
  </si>
  <si>
    <t>16/2022. (VI.20.) sz. Oktatási, Művelődési és Sport Bizottság határozata alapján a Civil szervezetek, egyházak támogatása (Művészeti, oktatási, kulturális év közben belépő feladatok) tartalékból átcsoportosítás Petőfi-ligetért Baráti Kör támogatására</t>
  </si>
  <si>
    <t>283.</t>
  </si>
  <si>
    <t>Toldi u.-Táncsics M. u. közötti szakaszon csomópontok átépítéséről átcsoportosítás Némedi úti parkoló, kerékpárút, járda építésére</t>
  </si>
  <si>
    <t>284.</t>
  </si>
  <si>
    <t>Csapadékvíz-beruházások lakossági kérésről átvezetés Evezős utca vízelvezetésének kiépítésére</t>
  </si>
  <si>
    <t>Evezős utca csapadékvíz-elvezetés kiépítése</t>
  </si>
  <si>
    <t>Zöld Óvodán rovatok közötti módosítás kerti tó körüli zöldterület karbantartására</t>
  </si>
  <si>
    <t>Elkülönített SZJA 1%-os számláról átvezetés könyvtári szolgáltatásokra számítógép és spirálozógép beszerzésre</t>
  </si>
  <si>
    <t>33.   34.</t>
  </si>
  <si>
    <t>22.    23.</t>
  </si>
  <si>
    <t>201.</t>
  </si>
  <si>
    <t>285.</t>
  </si>
  <si>
    <t>Vízi közmű bérleti díj elkülönített számla tartalékról átcsoportosítás szennyvíztisztító telep fejlesztéséhez kapcsolódó megvalósíthatósági tanulmány készítésére</t>
  </si>
  <si>
    <t>286.</t>
  </si>
  <si>
    <t>287.</t>
  </si>
  <si>
    <t>Megelőlegezési hitel elszámolás alapján (június havi)</t>
  </si>
  <si>
    <t>288.</t>
  </si>
  <si>
    <t>Továbbszámlázáson rovatok közötti módosítás Sport-szigeten ideiglenes fogyasztási mérőhely kialakítás továbbszámlázására</t>
  </si>
  <si>
    <t>Szivárvány Óvoda SNI rovatok közötti módosítás fejlesztő játékok beszerzésére</t>
  </si>
  <si>
    <t>Szivárvány Óvodában áramdíj-jóváírás átvezetés közüzemi díjakra</t>
  </si>
  <si>
    <t>Vendéglátás étkeztetésen szolgáltatásról technikai átvezetés áfa rovatra</t>
  </si>
  <si>
    <t>289.</t>
  </si>
  <si>
    <t>290.</t>
  </si>
  <si>
    <t>Városi Bölcsőde tagintézményben vizesblokk felújítás pályázati önerő összegéből támogatói okirat alapján átcsoportosítás projektmenedzsment feladatra</t>
  </si>
  <si>
    <t>Dunaharaszti Önkormányzat Képviselő-testületének 2/2022. (II.1.) sz. Kt. határozata: Bölcsőde (Kossuth Lajos utcai) vizesblokk felújítás BELÜLI (önerő: 4.690.164,- Ft, ebből dologi: 117.000,- Ft) (támogatás: 4.690.003,- Ft, ebből dologi: 117.000,- Ft)</t>
  </si>
  <si>
    <t>291.</t>
  </si>
  <si>
    <t>Intézményi ingatlanok különféle karbantartási kerete tartalékból átcsoportosítás 5283/1 és 5283/3 hrsz. között meglévő támfal mellé új támfal kivitelezésére</t>
  </si>
  <si>
    <t>5283/1 és 5283/3 hrsz. között új támfal építése (előző évi maradvány: 200.000,- Ft)</t>
  </si>
  <si>
    <t>292.</t>
  </si>
  <si>
    <t>Állami normatíva előző évi elszámolás alapján keletkező pótigény összegének átvezetése Normatíva felülvizsgálat tartalékba</t>
  </si>
  <si>
    <t>161/2022. könyvelési tétel helyesbítése: Városi Bölcsőde vizesblokk felújítás pályázaton kívülire tévesen könyvelt összeg átvezetése Napsugár Óvodában armatúra csere II. ütemére</t>
  </si>
  <si>
    <t>Költségvetési törvény szerinti számozás</t>
  </si>
  <si>
    <t>Ávr. 111. § a) szerinti önkormányzatot megillető 2021. évi pótlólagos támogatás</t>
  </si>
  <si>
    <t>293.</t>
  </si>
  <si>
    <t>Intézményi ingatlanok különféle karbantartási kerete tartalékból átcsoportosítás Szivárvány Óvodában ajtó beépítéshez tömítőanyag vásárlásra</t>
  </si>
  <si>
    <t>294.</t>
  </si>
  <si>
    <t>Városi Sportcsarnokon bevételemelés követeléselőírás miatt</t>
  </si>
  <si>
    <t>295.</t>
  </si>
  <si>
    <t>Önkormányzati igazgatáson rovatok közötti módosítás adótartozás miatti jelzálog bejegyzésre</t>
  </si>
  <si>
    <t>Laffert-kúriával kapcsolatos feladatokon rovatok közötti módosítás internetdíjra</t>
  </si>
  <si>
    <t>Laffert-kúriával kapcsolatos feladatokon és Közművelődési tevékenységen áramdíj-jóváírás átvezetés közüzemi díjakra</t>
  </si>
  <si>
    <t>Önkormányzati finanszírozás Napsugár Óvodában armatúra csere II. ütemére</t>
  </si>
  <si>
    <t>19.    21.</t>
  </si>
  <si>
    <t>Napsugár Óvodában rovatok közötti módosítás bútor beszerzésre</t>
  </si>
  <si>
    <t>Finanszírozás módosítás (Napsugár Óvoda)</t>
  </si>
  <si>
    <t>Igazgatáson áramdíj-jóváírás átvezetés közüzemi díjakra</t>
  </si>
  <si>
    <t>Állatvédelmi bírság bevétel átvezetés szolgáltatásra</t>
  </si>
  <si>
    <t>Állatvédelmi bírság</t>
  </si>
  <si>
    <t>Városi Bölcsőde főintézményben, tagintézményben és étkeztetésen rovatok közötti módosítás foglalkoztatás-egészségügyi vizsgálatra</t>
  </si>
  <si>
    <t>296.</t>
  </si>
  <si>
    <t>Intézményi ingatlanok különféle karbantartási kerete tartalékból átvezetés Városi Sportcsarnok üzemeltetési anyagokra, korábban ebből a forrásból megelőlegezett földszinti folyosói ablakok szellőztető vezérlésének kiépítése miatt</t>
  </si>
  <si>
    <t>Intézményi ingatlanok különféle karbantartási kerete tartalékból átvezetés Városi Sportcsarnok üzemeltetési anyagokra, korábban ebből a forrásból megelőlegezett földszinti folyosói ablakok szellőztető vezérlésének kiépítésére</t>
  </si>
  <si>
    <t>297.</t>
  </si>
  <si>
    <t>Intézményi ingatlanok különféle karbantartási kerete tartalékból átcsoportosítás Városi Sportcsarnok erősáramú csatlakozás kialakítására</t>
  </si>
  <si>
    <t>298.</t>
  </si>
  <si>
    <t>Intézményi ingatlanok különféle karbantartási kerete tartalékból átcsoportosítás Városi Sportcsarnok villanyszerelési javításokra</t>
  </si>
  <si>
    <t>Iskolai intézményi étkeztetésen rovatok közötti módosítás menüválasztáshoz szükséges kártyák beszerzésére</t>
  </si>
  <si>
    <t>Ifjúságegészségügyi gondozáson rovatok közötti módosítás nyomtató beszerzésre</t>
  </si>
  <si>
    <t>299.</t>
  </si>
  <si>
    <t>Nemzetközi kapcsolatokon rovatok közötti módosítás reprezentációs költségekre</t>
  </si>
  <si>
    <t>059</t>
  </si>
  <si>
    <t>086030</t>
  </si>
  <si>
    <t>300.</t>
  </si>
  <si>
    <t>035</t>
  </si>
  <si>
    <t>052020</t>
  </si>
  <si>
    <t>Zöldterület-kezelésről és Csapadékvíz-beruházások lakossági kérésről átcsoportosítás dunaharaszti vízelvezető csatornáinak és átemelő szivattyútelepeinek üzemeltetésére</t>
  </si>
  <si>
    <t>301.</t>
  </si>
  <si>
    <t>Útfenntartás rendkívüli kiadásairól átcsoportosítás dunaharaszti vízelvezető csatornáinak fenntartására</t>
  </si>
  <si>
    <t>Külterületi hulladék gyűjtéséről átcsoportosítás dunaharaszti vízelvezető csatorna fenntartására</t>
  </si>
  <si>
    <t>031</t>
  </si>
  <si>
    <t>051050</t>
  </si>
  <si>
    <t>304.</t>
  </si>
  <si>
    <t>Intézményi ingatlanok különféle karbantartási kerete tartalékból átcsoportosítás Mese Óvodában burkolatépítésre</t>
  </si>
  <si>
    <t>Mese Óvoda burkolatépítés</t>
  </si>
  <si>
    <t>305.</t>
  </si>
  <si>
    <t>306.</t>
  </si>
  <si>
    <t>2022 júniusi állami támogatás (szociális ágazati összevont pótlék és könyvtári érdekeltségnövelő támogatás) átvezetése Ágazati pótlék, bérkompenzáció, személyi juttatás és járulék tartalékba</t>
  </si>
  <si>
    <t>A költségvetési szerveknél foglalkoztatottak 2021. évi áthúzódó és 2022. évi
kompenzációja</t>
  </si>
  <si>
    <t>307.</t>
  </si>
  <si>
    <t>Kapott kamat átvezetés kamatkiadásokra</t>
  </si>
  <si>
    <t>308.</t>
  </si>
  <si>
    <t>Korábban Biztos bevétel tartalékba átcsoportosított parkolóhely-megváltás összegének átvezetése Parkolóhely-megváltás tartalékba</t>
  </si>
  <si>
    <t>Korábban tévesen Biztos bevétel tartalékba átcsoportosított parkolóhely-megváltás összegének átvezetése Parkolóhely-megváltás tartalékba</t>
  </si>
  <si>
    <t>309.</t>
  </si>
  <si>
    <t>Áramdíj-jóváírás átvezetés közvilágításra</t>
  </si>
  <si>
    <t>310.</t>
  </si>
  <si>
    <t>302.         303.</t>
  </si>
  <si>
    <t>Energiaárak emelkedése miatti tartalékból átcsoportosítás városi közkutak és közterületi kamerák közüzemi díjaira</t>
  </si>
  <si>
    <t>311.</t>
  </si>
  <si>
    <t>Energiaárak emelkedése miatti tartalékból átcsoportosítás Területi Gondozási Központ Orvosi rendelő közüzemi díjaira</t>
  </si>
  <si>
    <t>Nyári napközis tábor ellátási díjak és kerekítési különbözet átvezetése szakmai és üzemeltetési anyagokra</t>
  </si>
  <si>
    <t>Önkormányzati finanszírozás Mese Óvodában homokozószegély bontására és cseréjére</t>
  </si>
  <si>
    <t>Elkülönített SZJA 1%-os számlára kapott kamat átvezetése könyvtári szolgáltatásokra</t>
  </si>
  <si>
    <t>312.</t>
  </si>
  <si>
    <t>90/2022. (VI.27.) sz. Kt. határozat alapján Városgazdálkodás tartalékból átcsoportosítás DH-Főúti Projekt Kft. részére működési támogatásra</t>
  </si>
  <si>
    <t>313.</t>
  </si>
  <si>
    <t>Vagabond Korzó Egyesület által megtérített rendezvényi villamosenergia-fogyasztás átvezetés közvilágításra</t>
  </si>
  <si>
    <t>314.</t>
  </si>
  <si>
    <t>Útfenntartás rendkívüli kiadásairól átcsoportosítás közutak karbantartására</t>
  </si>
  <si>
    <t>315.</t>
  </si>
  <si>
    <t>Intézményi ingatlanok különféle karbantartási kerete tartalékból átcsoportosítás Polgármesteri Hivatal műszaki iroda felújításához anyagok vásárlására</t>
  </si>
  <si>
    <t>Intézményi ingatlanok különféle karbantartási kerete tartalékból átcsoportosítás Polgármesteri Hivatal műszaki iroda helyiségeinek felújításához anyagok vásárlására</t>
  </si>
  <si>
    <t>316.</t>
  </si>
  <si>
    <t>Csapadékvíz-beruházások lakossági kérésről átcsoportosítás Millenniumtelep új lakóövezetében burkolt csapadékvíz-elvezető árkok karbantartására</t>
  </si>
  <si>
    <t>2022. évi népszámlálás feladataira kapott támogatás felosztása együttműködési megállapodás alapján</t>
  </si>
  <si>
    <t>013210</t>
  </si>
  <si>
    <t>Támogatások elszámolásán rovatok közötti módosítás játékok beszerzésére</t>
  </si>
  <si>
    <t>317.     318.</t>
  </si>
  <si>
    <t>Egyéb önkormányzati adóbevételen bevételemelés követeléselőírás miatt (kiadás oldal: Bizonytalan bevétel tartaléka)</t>
  </si>
  <si>
    <t>319.</t>
  </si>
  <si>
    <t>Kiemelt állami és önkormányzati rendezvényeken technikai átcsoportosítás ÁFA rovatra</t>
  </si>
  <si>
    <t>320.</t>
  </si>
  <si>
    <t>321.</t>
  </si>
  <si>
    <t>Közterület-használat, reklámtábla feladaton bevételnövelés követeléselőírás miatt (kiadás oldal: Biztos bevétel tartaléka)</t>
  </si>
  <si>
    <t>322.</t>
  </si>
  <si>
    <t>Intézményi ingatlanok különféle karbantartási kerete tartalékból átcsoportosítás Városi Bölcsőde új tagintézményben gázelosztói csatlakozási díjra</t>
  </si>
  <si>
    <t>Mese Óvodában bérleti díj bevételemelés követeléselőírás miatt</t>
  </si>
  <si>
    <t>184.    201.</t>
  </si>
  <si>
    <t xml:space="preserve">103.    </t>
  </si>
  <si>
    <t>Intézményi ingatlanok különféle karbantartási kerete tartalékból átcsoportosítás Mese Óvodában homokozószegély cserére</t>
  </si>
  <si>
    <t>Intézményi ingatlanok különféle karbantartási kerete tartalékból átcsoportosítás Városi Bölcsőde új tagintézményében gázelosztói csatlakozási díjra</t>
  </si>
  <si>
    <t>Német Nemzetiségi Önkormányzat 22/2022. (II.22) sz. határozata alapján kapott támogatás átvezetés támogatások elszámolása részgazdára</t>
  </si>
  <si>
    <t>22/2022. (II.22.) sz. Német Nemzetiségi Önkormányzat határozata alapján kapott támogatás átvezetés támogatások elszámolása részgazdára</t>
  </si>
  <si>
    <t>Önkormányzati finanszírozás Városi Bölcsőde tagintézmény céljuttatásra és járulékaira</t>
  </si>
  <si>
    <t>9/2022. (IV.21.) sz. Oktatási, Művelődési és Sport Bizottság határozata alapján Szivárvány Óvoda és Százszorszép Óvoda programjaira kapott támogatás átvezetés támogatások elszámolása részgazdára</t>
  </si>
  <si>
    <t>9/2022. (IV.21.) sz. Oktatási, Művelődési és Sport Bizottság határozata alapján programra kapott támogatás átvezetés támogatások elszámolása részgazdára</t>
  </si>
  <si>
    <t>9/2022. (IV.21.) sz. Oktatási, Művelődési és Sport Bizottság határozata alapján Mese Óvoda és Napsugár Óvoda programjaira kapott támogatás átvezetés támogatások elszámolása részgazdára</t>
  </si>
  <si>
    <t>Téves kártyalevonás miatti bevétel átvezetés szolgáltatásra</t>
  </si>
  <si>
    <t>Magyarország 2022. évi központi költségvetéséről szóló 2021. évi XC. törvény 1. melléklet IX. Helyi önkormányzatok támogatásai fejezet 4. pont: 2022. évi iparűzési adókedvezménnyel kapcsolatos önkormányzati támogatás</t>
  </si>
  <si>
    <t>323.</t>
  </si>
  <si>
    <t>Magyarország 2022. évi központi költségvetéséről szóló 2021. évi XC. törvény 1. melléklet IX. Helyi önkormányzatok támogatásai fejezet 4. pont: 2022. évi iparűzési adókedvezménnyel kapcsolatos önkormányzati támogatás átvezetés működés jellegű tartalék V/12. sorára</t>
  </si>
  <si>
    <t>1. számú melléklet IX. Helyi önkormányzatok támogatásai</t>
  </si>
  <si>
    <t xml:space="preserve">2022. évi iparűzési adókedvezménnyel kapcsolatos önkormányzati támogatás </t>
  </si>
  <si>
    <t>1. számú melléklet összesen</t>
  </si>
  <si>
    <t>B111 B112 B1131 B1132 B114 B115 B116</t>
  </si>
  <si>
    <t>Népszámlálás támogatása</t>
  </si>
  <si>
    <t>Dunaharaszti  Város Önkormányzata Képviselő-testületének 6/2022. (II.25.) rendeletének módosítása 2022. április 30-ig</t>
  </si>
  <si>
    <t>90/2022. (VI.27.) sz. Kt. határozat: DH-Főúti Projekt Kft. támogatása</t>
  </si>
  <si>
    <t>16/2022. (VI.20.) sz. OMS határozat: Petőfi-ligetért Baráti Kör támogatása</t>
  </si>
  <si>
    <t>K89</t>
  </si>
  <si>
    <t>K84</t>
  </si>
  <si>
    <t>K86</t>
  </si>
  <si>
    <t>Dunaharaszti  Város Önkormányzata Képviselő-testületének 6/2022. (II.25.) rendeletének módosítása 2022. július 31-ig</t>
  </si>
  <si>
    <t>Dunaharaszti  Város Önkormányzata Képviselő-testületének 6/2022. (II.25.) rendeletének módosítása  2022. július 31-ig</t>
  </si>
  <si>
    <t>324.</t>
  </si>
  <si>
    <t>Intézményi ingatlanok különféle karbantartási kerete tartalékból átcsoportosítás Városi Sportcsarnokban napelem és épületfelügyeleti rendszer tervezésére</t>
  </si>
  <si>
    <t>325.</t>
  </si>
  <si>
    <t>Polgármester rendelkezése tartalékból átcsoportosítás Danubia Lovasház Egyesület támogatására Galgovits Réka Nemzeti Vágtán való részvételére</t>
  </si>
  <si>
    <t>Danubia Lovasház Egyesület támogatása</t>
  </si>
  <si>
    <t>326.</t>
  </si>
  <si>
    <t>Intézményi ingatlanok különféle karbantartási kerete tartalékból átcsoportosítás Városi Sportcsarnokban tűzlétrák gyártására és felszerelésére</t>
  </si>
  <si>
    <t>Sportcsarnok tűzlétrák gyártása és felszerelése</t>
  </si>
  <si>
    <t>327.</t>
  </si>
  <si>
    <t>091</t>
  </si>
  <si>
    <t>Intézményi ingatlanok különféle karbantartási kerete tartalékból átcsoportosítás felnőtt orvosi rendelőben betegtájékoztató rendszer kiépítésére</t>
  </si>
  <si>
    <t>Felnőtt orvosi rendelőben betegtájékoztató rendszer kiépítése</t>
  </si>
  <si>
    <t>328.</t>
  </si>
  <si>
    <t>Intézményi ingatlanok különféle karbantartási kerete tartalékból átcsoportosítás II. Rákóczi Ferenc Általános Iskolában napközis tábor alatt megrongálódott füstzáró ajtó biztonsági üvegének cseréjére</t>
  </si>
  <si>
    <t>329.</t>
  </si>
  <si>
    <t>Útépítési beruházások műszaki ellenőrzéséről és okoszebrák kialakításáról átcsoportosítás helyi közutak fenntartására</t>
  </si>
  <si>
    <t>330.</t>
  </si>
  <si>
    <t>Helyi közutak fenntartására rovatok közötti módosítás</t>
  </si>
  <si>
    <t>331.</t>
  </si>
  <si>
    <t>Intézményi ingatlanok különféle karbantartási kerete tartalékból átcsoportosítás Napsugár Óvodában mosogató cserére</t>
  </si>
  <si>
    <t>332.</t>
  </si>
  <si>
    <t>333.</t>
  </si>
  <si>
    <t>Intézményi ingatlanok különféle karbantartási kerete tartalékból átcsoportosítás Szivárvány Óvodában gázkészülék karbantartására</t>
  </si>
  <si>
    <t>Intézményi ingatlanok különféle karbantartási kerete tartalékból átcsoportosítás Szivárvány Óvodában gázkészülék javítására és szolár karbantartásra</t>
  </si>
  <si>
    <t>334.</t>
  </si>
  <si>
    <t>Intézményi ingatlanok különféle karbantartási kerete tartalékból átcsoportosítás Polgármesteri Hivatal műszaki irodában klímatelepítésre</t>
  </si>
  <si>
    <t>335.</t>
  </si>
  <si>
    <t>Intézményi ingatlanok különféle karbantartási kerete tartalékból átcsoportosítás Laffert-kúriában nyílászárók felújításához üveg beszerzésre</t>
  </si>
  <si>
    <t>Laffert-kúria nyílászárók felújítása (üveg beszerzés is) (előző évi maradvány: 7.623.810,- Ft)</t>
  </si>
  <si>
    <t>336.</t>
  </si>
  <si>
    <t>Intézményi ingatlanok különféle karbantartási kerete tartalékból átcsoportosítás Polgármesteri Hivatal műszaki irodában klíma karbantartására</t>
  </si>
  <si>
    <t>337.</t>
  </si>
  <si>
    <t>237/a.</t>
  </si>
  <si>
    <t>347.</t>
  </si>
  <si>
    <t>A3 mederburkolás pályázat fel nem használt összegének visszautalásán technikai rovatmódosítás Magyar Államkincstár javítási útmutatója alapján</t>
  </si>
  <si>
    <t>126</t>
  </si>
  <si>
    <t>052080                   Szennyvízcsatorna építése, fenntartása, üzemeltetése</t>
  </si>
  <si>
    <t>338.</t>
  </si>
  <si>
    <t>Intézményi ingatlanok különféle karbantartási kerete tartalékból átcsoportosítás Városi Bölcsőde főintézményben klímatelepítéshez elektromos hálózat bővítésére</t>
  </si>
  <si>
    <t>339.</t>
  </si>
  <si>
    <t>Intézményi ingatlanok különféle karbantartási kerete tartalékból átcsoportosítás Városi Bölcsőde főintézményben klímatelepítésre</t>
  </si>
  <si>
    <t>340.</t>
  </si>
  <si>
    <t>Intézményi ingatlanok különféle karbantartási kerete tartalékból átcsoportosítás Orvosi Rendelőbe tapintható térkép beszerzésére</t>
  </si>
  <si>
    <t>Felnőtt orvosi rendelőben tapintható térkép beszerzés</t>
  </si>
  <si>
    <t>341.</t>
  </si>
  <si>
    <t>Intézményi ingatlanok különféle karbantartási kerete tartalékból átcsoportosítás Napsugár Óvodában armatúra csere III. ütemére</t>
  </si>
  <si>
    <t>342.</t>
  </si>
  <si>
    <t>Városi Bölcsőde tagintézményben vizesblokk felújítás pályázaton belül rovatok közötti módosítás projektmenedzsment feladatokra</t>
  </si>
  <si>
    <t>343.</t>
  </si>
  <si>
    <t>Intézményi ingatlanok különféle karbantartási kerete tartalékból átcsoportosítás Mese Óvodában hőközpont felújítás tervezésére</t>
  </si>
  <si>
    <t>Mese Óvoda hőközpont felújítás</t>
  </si>
  <si>
    <t>344.</t>
  </si>
  <si>
    <t>Intézményi ingatlanok különféle karbantartási kerete tartalékból átcsoportosítás Mese Óvodában klímatelepítéshez elektromos hálózat bővítésére</t>
  </si>
  <si>
    <t>Városi  Bölcsődében klímatelepítéshez elektromos hálózatbővítés</t>
  </si>
  <si>
    <t>345.</t>
  </si>
  <si>
    <t>Intézményi ingatlanok különféle karbantartási kerete tartalékból átcsoportosítás Mese Óvodában klímatelepítésre</t>
  </si>
  <si>
    <t>346.</t>
  </si>
  <si>
    <t>Intézményi ingatlanok különféle karbantartási kerete tartalékból átcsoportosítás Gyermekorvosi Rendelőben tisztasági festésre</t>
  </si>
  <si>
    <t>348.</t>
  </si>
  <si>
    <t>Bér rovatok módosítása júniusi bérkönyvelés alapján</t>
  </si>
  <si>
    <t>262.</t>
  </si>
  <si>
    <t>349.</t>
  </si>
  <si>
    <t>Helyi közutak fenntartásán rovatok közötti módosítás Dunaharaszti közútjainak üzemeltetéséhez kapcsolódó műszaki ellenőrzésére</t>
  </si>
  <si>
    <t>350.</t>
  </si>
  <si>
    <t>Csapadékvíz-belvíz üzemeltetésen rovatok közötti módosítás nyílt és zárt csapadékvíz-elvezető rendszerek műszaki ellenőrzésére</t>
  </si>
  <si>
    <t>351.</t>
  </si>
  <si>
    <t>Temető fenntartáson és Temetkezésen rovatok közötti módosítás kamerarendszer bővítésére</t>
  </si>
  <si>
    <t xml:space="preserve">1. </t>
  </si>
  <si>
    <t>Temető fenntartás kamerarendszer bővítés</t>
  </si>
  <si>
    <t>Temetkezés kamerarendszer bővítés</t>
  </si>
  <si>
    <t>352.    353.</t>
  </si>
  <si>
    <t>B25</t>
  </si>
  <si>
    <t>Dunaharaszti-Taksony kerékpárút építésre kapott támogatás (TOP_PLUSZ-1.2.1-21-PT1-2022-00013)</t>
  </si>
  <si>
    <t>266.</t>
  </si>
  <si>
    <t>354.</t>
  </si>
  <si>
    <t>Szennyvíztisztító telep bővítéséhez kapcsolódó megvalósíthatósági tanulmány részgazdák közötti helyesbítése</t>
  </si>
  <si>
    <t>Szennyvíztisztító telep bővítés</t>
  </si>
  <si>
    <t>355.</t>
  </si>
  <si>
    <t>Városgazdálkodás tartalékból átcsoportosítás Szivárvány Óvodában fektetőágyak és kültéri játékok beszerzésére</t>
  </si>
  <si>
    <t>356.</t>
  </si>
  <si>
    <t>201/2022. könyvelési tétel helyesbítése: Vízi közmű bérleti díj tartalékból Szennyvíztisztító telep bővítésére átcsoportosított összeg módosítás Városgazdálkodás tartalékra</t>
  </si>
  <si>
    <t>357.</t>
  </si>
  <si>
    <t>Csapadékvíz-beruházások lakossági kérésről átcsoportosítás Csokonai utcai csapadékvíz-elvezetésre</t>
  </si>
  <si>
    <t>Damjanich u. orvosi rendelő csapadékvíz-elvezetése</t>
  </si>
  <si>
    <t>Csokonai utca csapadékvíz-elvezetés</t>
  </si>
  <si>
    <t>270.</t>
  </si>
  <si>
    <t>358.</t>
  </si>
  <si>
    <t>Csapadékvíz-beruházások lakossági kérésről átcsoportosítás Bezerédi Sportpark állandó vízbekötésére</t>
  </si>
  <si>
    <t>271.</t>
  </si>
  <si>
    <t>359.</t>
  </si>
  <si>
    <t>360.</t>
  </si>
  <si>
    <t>Rendőrségi feladatokon rovatok közötti módosítás számítógép monitor beszerzésre</t>
  </si>
  <si>
    <t>050</t>
  </si>
  <si>
    <t>Rendőrség eszközbeszerzés</t>
  </si>
  <si>
    <t>361.</t>
  </si>
  <si>
    <t>Nemzetközi kapcsolatokon rovatok közötti módosítás altdorfi utazáshoz reptérig történő szállítás díjára</t>
  </si>
  <si>
    <t>140                       Dunaharaszti-Taksony kerékpárút építés BELÜLI (TOP_PLUSZ-1.2.1-21-PT1-2022-00013)</t>
  </si>
  <si>
    <r>
      <t xml:space="preserve">107060                                      Egyes szociális pénzbeli és természetbeni ellátások, támogatások  </t>
    </r>
    <r>
      <rPr>
        <sz val="10"/>
        <color indexed="8"/>
        <rFont val="Garamond"/>
        <family val="1"/>
        <charset val="238"/>
      </rPr>
      <t>018030                      Támogatási célú finanszírozási műveletek</t>
    </r>
  </si>
  <si>
    <t>Önkormányzati finanszírozás Szivárvány Óvodában gázkészülék javítására és szolár karbantartására</t>
  </si>
  <si>
    <t>Önkormányzati finanszírozás Szivárvány Óvodában gázkészülék karbantartására</t>
  </si>
  <si>
    <t>Önkormányzati finanszírozás Szivárvány Óvodában fektetőágyak és kültéri játékok beszerzésére</t>
  </si>
  <si>
    <t>Önkormányzati finanszírozás virágládák beszerzésére és virágok beültetésére</t>
  </si>
  <si>
    <t>Önkormányzati finanszírozás Napsugár Óvodában mosogató cserére</t>
  </si>
  <si>
    <t>Önkormányzati finanszírozás Napsugár Óvodában armatúra csere III. ütemére</t>
  </si>
  <si>
    <t>Önkormányzati finanszírozás Mese Óvodában klímatelepítésre</t>
  </si>
  <si>
    <t>Napsugár Óvodában beruházási rovatok közötti módosítás lombszívó, fűnyíró, komposztláda beszerzésére</t>
  </si>
  <si>
    <t>41.     42.</t>
  </si>
  <si>
    <t>Igazgatáson rovatok közötti módosítás adó- és számviteli tanácsadásra</t>
  </si>
  <si>
    <t>Országgyűlési képviselőválasztáson rovatok közötti módosítás választási iratok megsemmisítésére</t>
  </si>
  <si>
    <t>Egészségügyi laboron rovatok közötti módosítás veszélyes hulladék elszállítására</t>
  </si>
  <si>
    <t>Önkormányzati finanszírozás Városi Bölcsőde főintézményben klímatelepítésre</t>
  </si>
  <si>
    <t>362.</t>
  </si>
  <si>
    <t>Városgazdálkodás tartalékból átcsoportosítás Szennyvíztisztító telep fejlesztéséhez kapcsolódó vízjogi létesítési engedélyeztetésre</t>
  </si>
  <si>
    <t xml:space="preserve"> - </t>
  </si>
  <si>
    <t>363.</t>
  </si>
  <si>
    <t>364.</t>
  </si>
  <si>
    <t>2022 májusi felmérésben megállapított éves pótelőirányzat átvezetése Normatíva felülvizsgálat tartalékba</t>
  </si>
  <si>
    <t>*1.2..1.1.</t>
  </si>
  <si>
    <t>365.</t>
  </si>
  <si>
    <t>Magyarország 2022. évi központi költségvetéséről szóló 2021. évi XC. törvény 1. melléklet IX. Helyi önkormányzatok támogatásai fejezet 4. pont: 2022. évi iparűzési adókedvezménnyel kapcsolatos önkormányzati támogatás II. ütem átvezetés működés jellegű tartalék V/12. sorára</t>
  </si>
  <si>
    <t>278.</t>
  </si>
  <si>
    <t>366.</t>
  </si>
  <si>
    <t>Megelőlegezési hitel elszámolás alapján (július havi)</t>
  </si>
  <si>
    <t>367.</t>
  </si>
  <si>
    <t>Dunaharaszti Sportcsarnokon bér rovatok módosítása reprezentációs költségekre</t>
  </si>
  <si>
    <t>280.</t>
  </si>
  <si>
    <t>368.</t>
  </si>
  <si>
    <t>Külterületi hulladék gyűjtéséről átcsoportosítás Levendula utcai ingatlanon illegálisan elhelyezett hulladék elszállítására</t>
  </si>
  <si>
    <t>369.</t>
  </si>
  <si>
    <t>Biztos bevétel tartalékból átcsoportosítás kutyakennel és kutyatáp beszerzésre</t>
  </si>
  <si>
    <t>Kutyakennel beszerzés</t>
  </si>
  <si>
    <t>370.       371.</t>
  </si>
  <si>
    <t>Játszóterek eszközfejlesztéséről átvezetés Bezerédi játszótérre függőhíd elem pótlására és Szekér utcai játszótérre napvitorla beszerzésére</t>
  </si>
  <si>
    <t>Csontváry utcai játszótér villanyóra-szekrény kiépítés</t>
  </si>
  <si>
    <t>Szekér utcai játszótér napvitorla beszerzés</t>
  </si>
  <si>
    <t>Szent István utcai játszótér eszközfejlesztése</t>
  </si>
  <si>
    <t>372.</t>
  </si>
  <si>
    <t>Energiaárak emelkedése miatti tartalékból átcsoportosítás Bezerédi Sportpark közüzemi díjaira</t>
  </si>
  <si>
    <t>373.</t>
  </si>
  <si>
    <t>Energiaárak emelkedése miatti tartalékból átcsoportosítás Területi Gondozási Központ egyéb járóbeteg ellátás közüzemi díjaira</t>
  </si>
  <si>
    <t>374.</t>
  </si>
  <si>
    <t>Művészeti Alkotótáboron rovatok közötti módosítás vendégművészek elszállásolására</t>
  </si>
  <si>
    <t>375.</t>
  </si>
  <si>
    <t>Parkolóhely-megváltás bevétel átvezetés Parkolóhely-megváltás tartalékba</t>
  </si>
  <si>
    <t>Szivárvány Óvodában rovatok közötti módosítás kávéfőző beszerzésre</t>
  </si>
  <si>
    <t>Iskolai intézményi étkeztetésen rovatok közötti módosítás notebook beszerzésre</t>
  </si>
  <si>
    <t>Gimnáziumi étkeztetésen ÁFA visszatérítés átvezetés levonható áfára</t>
  </si>
  <si>
    <t>Nyári napközi étkeztetésen bevételemelés követeléselőírás miatt</t>
  </si>
  <si>
    <t>018</t>
  </si>
  <si>
    <t>Önkormányzati finanszírozás egyéb járóbeteg ellátás közüzemi díjaira</t>
  </si>
  <si>
    <t>8/2022. könyvelési tétel helyesbítése: számítógép és spirálozógép beszerzésére fordított összeg visszavezetése könyvtári szolgáltatásról elkülönített SZJA 1%-os számlára</t>
  </si>
  <si>
    <t>9/2022. könyvelési tétel helyesbítése: kapott kamat összegének visszavezetése könyvtári szolgáltatásról elkülönített SZJA 1%-os számlára</t>
  </si>
  <si>
    <t>Dunaharaszti-Taksony kerékpárút építésre kapott támogatás átvezetés részletezőkódra (TOP_PLUSZ-1.2.1-21-PT1-2022-00013)</t>
  </si>
  <si>
    <t>201/2022. könyvelési tétel helyesbítése: Vízi közmű bérleti díj tartalék módosítás Városgazdálkodás tartalékra Szennyvíztisztító telep fejlesztéséhez kapcsolódó megvalósíthatósági tanulmányra</t>
  </si>
  <si>
    <t>Mese Óvoda SNI rovatok közötti módosítás szállítási költségre</t>
  </si>
  <si>
    <t>2022 július havi állami támogatás (szociális ágazati összevont pótlék) átvezetése Ágazati pótlék, bérkompenzáció, személyi juttatás és járulék tartalékba</t>
  </si>
  <si>
    <t>Zöldterület-kezelésről átcsoportosítás Laffert-kúriában virágládák beszerzésére és virágok beültetésére</t>
  </si>
  <si>
    <t>Önkormányzati finanszírozás Polgármesteri Hivatal műszaki irodában klíma karbantartására</t>
  </si>
  <si>
    <t>Önkormányzati finanszírozás Polgármesteri Hivatal műszaki iroda klímatelepítésére</t>
  </si>
  <si>
    <t>Dunaharaszti Szivárvány Óvoda faburkolatú oromfal homlokzatának felújítása (előző évi maradvány: 18.743.098,- Ft)</t>
  </si>
  <si>
    <t>Rozmaring utca csapadékvíz-elvezetés</t>
  </si>
  <si>
    <t>376.</t>
  </si>
  <si>
    <t>Közterület-használat, reklámtábla feladaton bevételemelés követeléselőírás miatt (kiadási oldal: Biztos bevétel tartaléka)</t>
  </si>
  <si>
    <t>377.</t>
  </si>
  <si>
    <t>Városgazdálkodás tartalékból átcsoportosítás Sport-szigeti teniszpályára napelem telepítésre</t>
  </si>
  <si>
    <t>Sport-szigeti teniszpálya napelem telepítés</t>
  </si>
  <si>
    <t>Elkülönített SZJA 1%-os számlán rovatok közötti módosítás bankköltségre</t>
  </si>
  <si>
    <t>Könyvtári szolgáltatásokon rovatok közötti módosítás bérleti díjakra</t>
  </si>
  <si>
    <t>Nyári napközis tábor ellátási díjak bevételeinek átvezetése vásárolt élelmezésre és előadások költségeire</t>
  </si>
  <si>
    <t>Dunaharaszti Városi Bölcsőde főintézményben vizesblokk felújítására kapott állami támogatás</t>
  </si>
  <si>
    <t>Laffert-kúriával kapcsolatos feladatokon bér egyenlegének rendezése kerekítési különbözet miatt</t>
  </si>
  <si>
    <t>378.</t>
  </si>
  <si>
    <t>Intézményi ingatlanok különféle karbantartási kerete tartalékból átcsoportosítás Baktay téren elektromos áram teljesítménybővítésre</t>
  </si>
  <si>
    <t>013210              Átfogó tervezési és statisztikai szolgáltatások</t>
  </si>
  <si>
    <t>013210            Átfogó tervezési és statisztikai szolgáltatások</t>
  </si>
  <si>
    <t>379.</t>
  </si>
  <si>
    <t>Intézményi ingatlanok különféle karbantartási kerete tartalékból átcsoportosítás Városi Sportcsarnokban szekrény gyártására és irodai bútorok karbantartására</t>
  </si>
  <si>
    <t>Sportcsarnok elektromos szellőztetés és erősáramú csatlakozás kiépítése (előző évi maradvány: 2.509.520,- Ft)</t>
  </si>
  <si>
    <t>Sportcsarnok szekrény gyártása</t>
  </si>
  <si>
    <t>380.</t>
  </si>
  <si>
    <t>Fekvőrendőr, pollerek kihelyezéséről átcsoportosítás Százszorszép Óvoda előtti parkoló térburkolására</t>
  </si>
  <si>
    <t>381.</t>
  </si>
  <si>
    <t>Intézményi ingatlanok különféle karbantartási kerete tartalékból átcsoportosítás Városi Bölcsőde főintézményben nyílászárók karbantartására</t>
  </si>
  <si>
    <t>382.</t>
  </si>
  <si>
    <t>383.</t>
  </si>
  <si>
    <t>Intézményi ingatlanok különféle karbantartási kerete tartalékból átcsoportosítás felnőtt orvosi rendelőbe mosogatós szekrény gyártására</t>
  </si>
  <si>
    <t>384.</t>
  </si>
  <si>
    <t>"Várossá válás" ünnepségről átvezetés Baktay téren elektromos hálózat bővítésére</t>
  </si>
  <si>
    <t>025</t>
  </si>
  <si>
    <t>Baktay téren elektromos hálózat bővítése</t>
  </si>
  <si>
    <t>Zöldterület-kezelésen rovatok közötti módosítás Baktay téren padok karbantartására</t>
  </si>
  <si>
    <t>Intézményi ingatlanok különféle karbantartási kerete tartalékból átcsoportosítás Baktay téren elektromos hálózat bővítésére</t>
  </si>
  <si>
    <t>385.</t>
  </si>
  <si>
    <t>Intézményi ingatlanok különféle karbantartási kerete tartalékból átcsoportosítás Polgármesteri Hivatal műszaki irodájába lélegző vakolat beszerzésére</t>
  </si>
  <si>
    <t>Polgármesteri Hivatal B épületben helyiségek felújítása</t>
  </si>
  <si>
    <t>386.</t>
  </si>
  <si>
    <t>Intézményi ingatlanok különféle karbantartási kerete tartalékból átcsoportosítás Bezerédi Sportpark talajvizsgálati jelentésére</t>
  </si>
  <si>
    <t>387.</t>
  </si>
  <si>
    <t>Intézményi ingatlanok különféle karbantartási kerete tartalékból átcsoportosítás Polgármesteri Hivatal műszaki iroda parkettázására</t>
  </si>
  <si>
    <t>388.</t>
  </si>
  <si>
    <t>Civil szervezetek támogatásán kormányzati funkciók közötti helyesbítés</t>
  </si>
  <si>
    <t>389.</t>
  </si>
  <si>
    <t>Városgazdálkodás tartalékból átcsoportosítás Szekér utcai játszótérre fém drótkötélpálya telepítésére</t>
  </si>
  <si>
    <t>Szekér utcai játszótér fém drótkötélpálya telepítés</t>
  </si>
  <si>
    <t>390.</t>
  </si>
  <si>
    <t>Szelektív hulladékgyűjtésről átcsoportosítás Dunaharaszti Város Önkormányzata tulajdonában lévő Levendula utcai ingatlanra kerítés építésre</t>
  </si>
  <si>
    <t>032</t>
  </si>
  <si>
    <t>051020</t>
  </si>
  <si>
    <t>Levendula utcai ingatlanra kerítésépítés</t>
  </si>
  <si>
    <t>302.</t>
  </si>
  <si>
    <t>391.</t>
  </si>
  <si>
    <t>Városgazdálkodás tartalékból átcsoportosítás Sport-szigeti játszótér eszközfejlesztésére</t>
  </si>
  <si>
    <t>303.</t>
  </si>
  <si>
    <t>392.</t>
  </si>
  <si>
    <t>Energiaárak emelkedése miatti tartalékból átcsoportosítás közvilágítás áramdíjára</t>
  </si>
  <si>
    <t>393.</t>
  </si>
  <si>
    <t>Egyéb adóbevételek teljesült összegének átvezetése Bizonytalan bevétel tartalékból Biztos bevétel tartalékba</t>
  </si>
  <si>
    <t>394.</t>
  </si>
  <si>
    <t>Biztos bevétel tartalékból átcsoportosítás kiemelt állami és önkormányzati rendezvényekre</t>
  </si>
  <si>
    <t>395.</t>
  </si>
  <si>
    <t>Önkormányzati gondnokságon rovatok közötti módosítás mobiltelefon előfizetési díjára</t>
  </si>
  <si>
    <t>Önkormányzati finanszírozás Városi Bölcsőde főintézményben nyílászárók karbantartására</t>
  </si>
  <si>
    <t>171/2022. könyvelési tétel helyesbítése: Földváry u. 15. szám alatti melegítőkonyhában fogyasztási mérőhely átépítésére adott összeg karbantartásról átvezetés szolgáltatásra</t>
  </si>
  <si>
    <t>396.</t>
  </si>
  <si>
    <t>Városi Sportcsarnokon rovatok közötti módosítás irányfény és utánvilágító rendszer karbantartására</t>
  </si>
  <si>
    <t>Idősek nappali ellátásáról átcsoportosítás Szociális étkeztetésre svédtálak beszerzésére</t>
  </si>
  <si>
    <t>Bér rovatok módosítása júliusi bérkönyvelés alapján</t>
  </si>
  <si>
    <t>397.</t>
  </si>
  <si>
    <t>398.</t>
  </si>
  <si>
    <t>Intézményi ingatlanok különféle karbantartási kerete tartalékból átcsoportosítás Városi Bölcsőde új tagintézmény áramdíjára</t>
  </si>
  <si>
    <t>Önkormányzati finanszírozás Polgármesteri Hivatal műszaki irodába festék vásárlásra</t>
  </si>
  <si>
    <t>Igazgatáson rovatok közötti módosítás felhalmozási célú visszatérítendő támogatásra</t>
  </si>
  <si>
    <t>Rendészeten rovatok közötti módosítás internetdíjra</t>
  </si>
  <si>
    <t>Munkaruha fel nem használt összegének átcsoportosítása "Zöld Szív" rendezvény szervezésére</t>
  </si>
  <si>
    <t>Hétszínvirág Óvodában rovatok közötti módosítás szőnyeg és kapucsengő beszerzésre</t>
  </si>
  <si>
    <t>Zöld Óvodán rovatok közötti módosítás kerti tó körüli zöldterület karbantartására és reprezentációs költségekre</t>
  </si>
  <si>
    <t>399.</t>
  </si>
  <si>
    <t>Beruházások, felújítások műszaki ellenőrzés tartalékból átcsoportosítás Bezerédi játszótéren karbantartási munkálatokra</t>
  </si>
  <si>
    <t>400.</t>
  </si>
  <si>
    <t>57.        58.</t>
  </si>
  <si>
    <t>Iskolai intézményi étkeztetésen rovatok közötti módosítás díjhátralékok behajtásához kapcsolódó eljárási díjakra</t>
  </si>
  <si>
    <t>401.</t>
  </si>
  <si>
    <t>Útépítési tervek, műszaki ellenőrzések, eljárási díjak tartalékból átcsoportosítás Parti sétány és tanösvény projekthez kapcsolódó információs rendszer természetvédelmi szakértői anyagának elkészítésére</t>
  </si>
  <si>
    <t>402.</t>
  </si>
  <si>
    <t>Intézményi ingatlanok különféle karbantartási kerete tartalékból átcsoportosítás Gyermekorvosi Rendelő hátsó bejárati ajtó renoválására</t>
  </si>
  <si>
    <t>403.</t>
  </si>
  <si>
    <t>Intézményi ingatlanok különféle karbantartási kerete tartalékból átcsoportosítás gyermekorvosi rendelőben klíma karbantartásra</t>
  </si>
  <si>
    <t>404.</t>
  </si>
  <si>
    <t>Polgármester rendelkezése tartalékból átcsoportosítás Merlin Ház Képességfejlesztő és Tehetséggondozó Nonprofit Kft. támogatására bérleti díjra</t>
  </si>
  <si>
    <t>Merlin Ház Képességfejlesztő és Tehetséggondozó Nonprofit Kft. támogatása</t>
  </si>
  <si>
    <t>405.</t>
  </si>
  <si>
    <t>Intézményi ingatlanok különféle karbantartási kerete tartalékból átcsoportosítás Polgármesteri Hivatal műszaki irodába festék vásárlásra</t>
  </si>
  <si>
    <t>317.</t>
  </si>
  <si>
    <t>406.</t>
  </si>
  <si>
    <t>141                       Dunaharaszti-Taksony kerékpárút építés KÍVÜLI (TOP_PLUSZ-1.2.1-21-PT1-2022-00013)</t>
  </si>
  <si>
    <t>141                      Dunaharaszti-Taksony kerékpárút építés KÍVÜLI (TOP_PLUSZ-1.2.1-21-PT1-2022-00013)</t>
  </si>
  <si>
    <t>318.</t>
  </si>
  <si>
    <t>407.</t>
  </si>
  <si>
    <t>Lekötött betétre kapott kamat átvezetés Energiaárak emelkedése miatti tartalékba</t>
  </si>
  <si>
    <t>408.</t>
  </si>
  <si>
    <t>Energiaárak emelkedése miatti tartalékból átcsoportosítás elektromos autó töltőállomás áramdíjára</t>
  </si>
  <si>
    <t>409.</t>
  </si>
  <si>
    <t>Energiaárak emelkedése miatti tartalékból átcsoportosítás Területi Gondozási Központ Egészségügyi labor és Iskolai intézményi étkeztetés áramdíjára</t>
  </si>
  <si>
    <t>Önkormányzati finanszírozás Egészségügyi labor és Iskolai intézményi étkeztetés áramdíjára</t>
  </si>
  <si>
    <t>410.</t>
  </si>
  <si>
    <t>Vashulladék értékesítéséből származó bevételből átcsoportosítás vashulladék szállítási költségére</t>
  </si>
  <si>
    <t>411.</t>
  </si>
  <si>
    <t>100/2022. (VIII.23.) sz. Kt. határozat alapján vashulladék értékesítéséből származó bevételből átcsoportosítás Baktay Ervin Gimnázium Pro Almamater Alapítvány részére felhalmozási célú támogatás nyújtására</t>
  </si>
  <si>
    <t>100/2022. (VIII.23.) sz. Kt. határozat: Baktay Ervin Gimnázium Pro Almamater Alapítvány támogatása</t>
  </si>
  <si>
    <t>412.</t>
  </si>
  <si>
    <t>"BÚCSÚ" rendezvény bevétel átvezetés Kiemelt állami és önkormányzati rendezvényre</t>
  </si>
  <si>
    <t>Városi Piac bevételemelés követeléselőírás miatt</t>
  </si>
  <si>
    <t>414.</t>
  </si>
  <si>
    <t>Intézményi ingatlanok különféle karbantartási kerete tartalékból átcsoportosítás Polgármesteri Hivatal műszaki irodában mennyezeti lámpák cseréjére</t>
  </si>
  <si>
    <t>Önkormányzati finanszírozás Polgármesteri Hivatal műszaki irodában mennyezeti lámpák cseréjére</t>
  </si>
  <si>
    <t>415.</t>
  </si>
  <si>
    <t>Közterületfelbontási munkálatok nem megfelelő elvégzése miatt Dunaharaszti Város Önkormányzata által elvégzett munkák megtérített összegének visszavezetése korábban Csapadékvíz-beruházások lakossági kérésről megelőlegezett forrásra</t>
  </si>
  <si>
    <t>Ifjúságegészségügyi gondozáson rovatok közötti módosítás falra szerelhető magasságmérő beszerzésre</t>
  </si>
  <si>
    <t>416.</t>
  </si>
  <si>
    <t>Művészeti Alkotótábor rovatok közötti módosítása árnyékoló beszerzésre és kiállításmegnyitóra</t>
  </si>
  <si>
    <t>417.</t>
  </si>
  <si>
    <t>Megelőlegezési hitel elszámolás alapján (augusztus havi)</t>
  </si>
  <si>
    <t>418.</t>
  </si>
  <si>
    <t>"Ismeretterjesztő zenei oktatás sorozat" pályázatra kapott állami támogatás átvezetés részletezőkódra</t>
  </si>
  <si>
    <t xml:space="preserve">006                             EMET NKA ("Ismeretterjesztő zenei oktatás sorozat" pályázat) támogatás </t>
  </si>
  <si>
    <t>József Attila Művelődési Ház</t>
  </si>
  <si>
    <t>EMET NKA ("Ismeretterjesztő zenei oktatás sorozat") pályázat támogatás</t>
  </si>
  <si>
    <t>Nyári napközis tábor étkeztetésen bevételemelés követeléselőírás miatt</t>
  </si>
  <si>
    <t>Iskolai intézményi étkeztetés szolgáltatásról átcsoportosítás Nyári napközis tábor vásárolt élelmezésre</t>
  </si>
  <si>
    <t>419.</t>
  </si>
  <si>
    <t>Csapadékvíz-beruházások lakossági kérésről átcsoportosítás Alsó-Duna sor közműkiépítés utáni burkolatjavítási munkálataira</t>
  </si>
  <si>
    <t>Támogatások elszámolásán rovatok közötti módosítás fejlesztő játékok beszerzésére</t>
  </si>
  <si>
    <t>420.</t>
  </si>
  <si>
    <t>Vízi közmű bérleti díj elkülönített számla tartalékból átcsoportosítás Alsó-Duna sor ivóvíz kiváltására</t>
  </si>
  <si>
    <t xml:space="preserve">Vízi közmű bérleti díj elkül. szla (kiadási oldala 069, 070 részgazda) </t>
  </si>
  <si>
    <t>Étkeztetésen bevételemelés követeléselőírás miatt</t>
  </si>
  <si>
    <t>Laffert-kúriával kapcsolatos feladatokon rovatok közötti módosítás reklámköltségekre</t>
  </si>
  <si>
    <t>Közművelődési tevékenységen bevételemelés követeléselőírás miatt</t>
  </si>
  <si>
    <t>421.</t>
  </si>
  <si>
    <t>Anyakönyvi feladatokon rovatok közötti módosítás irodai fém szekrények felújítására</t>
  </si>
  <si>
    <t>Továbbszámlázáson kerekítésből adódó különbözet technikai átvezetése</t>
  </si>
  <si>
    <t xml:space="preserve"> 111</t>
  </si>
  <si>
    <t>2022 augusztus havi állami támogatás (szociális ágazati összevont pótlék) átvezetése Ágazati pótlék, bérkompenzáció, személyi juttatás és járulék tartalékba</t>
  </si>
  <si>
    <t>"Várossá válás" ünnepségen rovatok közötti módosítás lézervágott dekorációra</t>
  </si>
  <si>
    <t>Dunaharaszti  Város Önkormányzata Képviselő-testületének 6/2022. (II.25.) rendeletének módosítása 2022. szeptember 30-ig</t>
  </si>
  <si>
    <t>Dunaharaszti  Város Önkormányzata Képviselő-testületének 6/2022. (II.25.) rendeletének módosítása  2022. szeptember 30-ig</t>
  </si>
  <si>
    <t>Polgármester rendelkezése tartalékból átcsoportosítás Dunaharaszti Judo Club támogatására</t>
  </si>
  <si>
    <t>422.    444.</t>
  </si>
  <si>
    <t>Dunaharaszti Judo Club támogatása</t>
  </si>
  <si>
    <t>423.</t>
  </si>
  <si>
    <t>424.</t>
  </si>
  <si>
    <t>Intézményi ingatlanokkal kapcsolatos tervezések, műszaki ellenőrzések tartalékból átcsoportosítás Fő úti támfal építéséhez és Százszorszép Óvoda átalakításhoz költségbecslés készítésére</t>
  </si>
  <si>
    <t>425.</t>
  </si>
  <si>
    <t>Intézményi ingatlanok különféle karbantartási kerete tartalékból átcsoportosítás Hétszínvirág Óvodába klíma beszerzésre</t>
  </si>
  <si>
    <t>426.</t>
  </si>
  <si>
    <t>Útépítési tervek, műszaki ellenőrzések, eljárási díjak tartalékból átcsoportosítás Dózsa Gy. út-Klapka Gy. u.-Baktay E. u. kereszteződésében okoszebra kialakítására</t>
  </si>
  <si>
    <t>427.</t>
  </si>
  <si>
    <t>Törvény által kötelezően kifizetendő jubileumi jutalom tartalékból átcsoportosítás Területi Gondozási Központ egyéb járóbeteg ellátáson be nem tervezett jubileumi jutalomra</t>
  </si>
  <si>
    <t>428.      429.</t>
  </si>
  <si>
    <t>Bér rovatok módosítása augusztusi bérkönyvelés alapján</t>
  </si>
  <si>
    <t>430.</t>
  </si>
  <si>
    <t xml:space="preserve">Intézményi ingatlanok különféle karbantartási kerete tartalékból átcsoportosítás Polgármesteri Hivatal műszaki irodában armatúrák cseréjére </t>
  </si>
  <si>
    <t>431.</t>
  </si>
  <si>
    <t>Intézményi ingatlanok különféle karbantartási kerete tartalékból átcsoportosítás Polgármesteri Hivatal főépületében kültéri klíma javítására</t>
  </si>
  <si>
    <t>432.</t>
  </si>
  <si>
    <t>Intézményi ingatlanok különféle karbantartási kerete tartalékból átcsoportosítás II. Rákóczi Ferenc Általános Iskola konyhájába melegvíztároló beszerzésre</t>
  </si>
  <si>
    <t>433.</t>
  </si>
  <si>
    <t>22/2022. (IX.22.) sz. OMS határozat alapján a Városi civil sport- és kulturális rendezvények kiadásainak valamint DMTK-n kívüli sportegyesületek kiadásainak finanszírozási kerete tartalékból átcsoportosítás Szigetszentmiklósi Kick-Box Sportegyesület támogatására</t>
  </si>
  <si>
    <t xml:space="preserve">22/2022. (IX.22.) sz. OMS határozat: Szigetszentmiklósi Kick-Box Sportegyesület támogatása </t>
  </si>
  <si>
    <t>434.</t>
  </si>
  <si>
    <t>23/2022. (IX.22.) sz. OMS határozat alapján a Városi civil sport- és kulturális rendezvények kiadásainak valamint DMTK-n kívüli sportegyesületek kiadásainak finanszírozási kerete tartalékból átcsoportosítás Bódis Formation Sportegyesület támogatására</t>
  </si>
  <si>
    <t>23/2022. (IX.22.) sz. OMS határozat: Bódis Formation Sportegyesület támogatása</t>
  </si>
  <si>
    <t>435.</t>
  </si>
  <si>
    <t>24/2022. (IX.22.) sz. OMS határozat alapján a Városi civil sport- és kulturális rendezvények kiadásainak valamint DMTK-n kívüli sportegyesületek kiadásainak finanszírozási kerete tartalékból átcsoportosítás Budaörsi Labda Egylet támogatására</t>
  </si>
  <si>
    <t>24/2022. (IX.22.) sz. OMS határozat: Budaörsi Labda Egylet támogatása</t>
  </si>
  <si>
    <t>436.</t>
  </si>
  <si>
    <t>25/2022. (IX.22.) sz. OMS határozat alapján Civil szervezetek, egyházak támogatása tartalékból átcsoportosítás Dunaharaszti Nagycsaládos Egyesület támogatására</t>
  </si>
  <si>
    <t>24/2022. (IX.22.) sz. OMS határozat alapján Városi civil sport- és kulturális rendezvények kiadásainak valamint DMTK-n kívüli sportegyesületek kiadásainak finanszírozási kerete tartalékból átcsoportosítás Budaörsi Labda Egylet támogatására</t>
  </si>
  <si>
    <t>23/2022. (IX.22.) sz. OMS határozat alapján Városi civil sport- és kulturális rendezvények kiadásainak valamint DMTK-n kívüli sportegyesületek kiadásainak finanszírozási kerete tartalékból átcsoportosítás Bódis Formation Sportegyesület támogatására</t>
  </si>
  <si>
    <t>22/2022. (IX.22.) sz. OMS határozat alapján Városi civil sport- és kulturális rendezvények kiadásainak valamint DMTK-n kívüli sportegyesületek kiadásainak finanszírozási kerete tartalékból átcsoportosítás Szigetszentmiklósi Kick-Box Sportegyesület támogatására</t>
  </si>
  <si>
    <t>25/2022. (IX.22.) sz. OMS határozat: Dunaharaszti Nagycsaládos Egyesület támogatása</t>
  </si>
  <si>
    <t>437.</t>
  </si>
  <si>
    <t>20/2022. (IX.22.) sz. OMS határozat alapján Városi civil sport- és kulturális rendezvények kiadásainak valamint DMTK-n kívüli sportegyesületek kiadásainak finanszírozási kerete tartalékból átcsoportosítás városi diákösztöndíj céljára</t>
  </si>
  <si>
    <t>037</t>
  </si>
  <si>
    <t>438.</t>
  </si>
  <si>
    <t>439.</t>
  </si>
  <si>
    <t>Intézményi ingatlanokkal kapcsolatos tervezések, műszaki ellenőrzések tartalékból átcsoportosítás Városi Bölcsőde új tagintézmény építéséhez kapcsolódó talajvizsgálati jelentésre</t>
  </si>
  <si>
    <t>440.</t>
  </si>
  <si>
    <t>Útépítési tervek, műszaki ellenőrzések, eljárási díjak tartalékból átcsoportosítás Bezerédi Sportparknál fogyasztási mérőhely áthelyezésére</t>
  </si>
  <si>
    <t>441.</t>
  </si>
  <si>
    <t>352.</t>
  </si>
  <si>
    <t>442.</t>
  </si>
  <si>
    <t>Intézményi ingatlanok különféle karbantartási kerete tartalékból átcsoportosítás Sport-szigeti tábor építéséhez kapcsolódó költségbecslésre</t>
  </si>
  <si>
    <t>353.</t>
  </si>
  <si>
    <t>443.</t>
  </si>
  <si>
    <t>József Attila Művelődési Ház károsodott faláról készült szakvélemény technikai helyesbítése felújítás rovatról szolgáltatásra</t>
  </si>
  <si>
    <t>Rendészeten rovatok közötti módosítás Panda licensz díjára</t>
  </si>
  <si>
    <t>Önkormányzati finanszírozás Egyéb járóbeteg ellátáson be nem tervezett jubileumi jutalomra</t>
  </si>
  <si>
    <t>Idősek nappali ellátásán rovatok közötti módosítás továbbképzés díjára</t>
  </si>
  <si>
    <t>Önkormányzati finanszírozás klíma telepítésre</t>
  </si>
  <si>
    <t>Önkormányzati finanszírozás II. Rákóczi Ferenc Általános Iskola konyhájába melegvíztároló beszerzésre</t>
  </si>
  <si>
    <t>Önkormányzati finanszírozás Polgármesteri Hivatal műszaki irodában armatúrák cseréjére</t>
  </si>
  <si>
    <t>Önkormányzati finanszírozás Polgármesteri Hivatal főépületében kültéri klíma javítására</t>
  </si>
  <si>
    <t>445.</t>
  </si>
  <si>
    <t>322/2022. előirányzat-módosítás helyesbítése: Baktay Ervin Gimnázium Pro Almamater Alapítvány részére nyújtott felhalmozási célú támogatás részgazdák és rovatok közötti módosítása</t>
  </si>
  <si>
    <r>
      <rPr>
        <strike/>
        <sz val="10"/>
        <rFont val="Garamond"/>
        <family val="1"/>
        <charset val="238"/>
      </rPr>
      <t xml:space="preserve">317 </t>
    </r>
    <r>
      <rPr>
        <sz val="10"/>
        <rFont val="Garamond"/>
        <family val="1"/>
        <charset val="238"/>
      </rPr>
      <t xml:space="preserve">   306</t>
    </r>
  </si>
  <si>
    <r>
      <rPr>
        <strike/>
        <sz val="10"/>
        <rFont val="Garamond"/>
        <family val="1"/>
        <charset val="238"/>
      </rPr>
      <t>K84</t>
    </r>
    <r>
      <rPr>
        <sz val="10"/>
        <rFont val="Garamond"/>
        <family val="1"/>
        <charset val="238"/>
      </rPr>
      <t xml:space="preserve">    K89</t>
    </r>
  </si>
  <si>
    <t>446.</t>
  </si>
  <si>
    <t>Intézményi ingatlanok különféle karbantartási kerete tartalékból átcsoportosítás Városi Könyvtárban armatúrák cseréjére</t>
  </si>
  <si>
    <t>447.</t>
  </si>
  <si>
    <t>Intézményi ingatlanok különféle karbantartási kerete tartalékból átcsoportosítás Rendészeti Iroda bejárati lépcső és járda javítási munkálataira</t>
  </si>
  <si>
    <t>448.</t>
  </si>
  <si>
    <t>Intézményi ingatlanok különféle karbantartási kerete tartalékból átcsoportosítás Gyermekorvosi Rendelő fertőző részlegének festésére</t>
  </si>
  <si>
    <t>Intézményi ingatlanok különféle karbantartási kerete tartalékból átcsoportosítás Gyermekorvosi Rendelőben klíma karbantartásra</t>
  </si>
  <si>
    <t>449.</t>
  </si>
  <si>
    <t>Intézményi ingatlanok különféle karbantartási kerete tartalékból átcsoportosítás Gyermekorvosi Rendelőben korlát cserére</t>
  </si>
  <si>
    <t>450.</t>
  </si>
  <si>
    <t>Választott tisztségviselők rovatok közötti módosítása reprezentációs költségekre</t>
  </si>
  <si>
    <t>451.</t>
  </si>
  <si>
    <t>Szivárvány Óvoda szakmai szolgáltatás rovatra tervezett TSMT képzés díj technikai átvezetése Százszorszép Óvodában dolgozó tandíjára</t>
  </si>
  <si>
    <t>Önkormányzati finanszírozás Gyermekorvosi Rendelő fertőző részlegének festésére</t>
  </si>
  <si>
    <t>Önkormányzati finanszírozás felnőtt Orvosi Rendelőbe mosogatós szekrény gyártására</t>
  </si>
  <si>
    <t>Önkormányzati finanszírozás Gyermekorvosi Rendelő hátsó bejárati ajtó renoválására</t>
  </si>
  <si>
    <t>Önkormányzati finanszírozás Gyermekorvosi Rendelőben klíma karbantartásra</t>
  </si>
  <si>
    <t>Felnőtt Orvosi Rendelő rovatok közötti módosítása mosogató bekötésre</t>
  </si>
  <si>
    <t>Önkormányzati finanszírozás felnőtt Orvosi Rendelő közüzemi díjaira</t>
  </si>
  <si>
    <t>Önkormányzati finanszírozás Gyermekorvosi Rendelő tisztasági festésére</t>
  </si>
  <si>
    <t>Intézményi ingatlanok különféle karbantartási kerete tartalékból átcsoportosítás felnőtt Orvosi Rendelőben betegtájékoztató rendszer kiépítésére</t>
  </si>
  <si>
    <t>Intézményi ingatlanok különféle karbantartási kerete tartalékból átcsoportosítás felnőtt Orvosi Rendelőbe tapintható térkép beszerzésére</t>
  </si>
  <si>
    <t>Intézményi ingatlanok különféle karbantartási kerete tartalékból átcsoportosítás felnőtt Orvosi Rendelőbe mosogatós szekrény gyártására</t>
  </si>
  <si>
    <t>Energiaárak emelkedése miatti tartalékból átcsoportosítás Területi Gondozási Központ felnőtt Orvosi Rendelő közüzemi díjaira</t>
  </si>
  <si>
    <t>Önkormányzati finanszírozás Gyermekorvosi Rendelőben korlát cserére</t>
  </si>
  <si>
    <t>Idősek nappali ellátása, Szociális étkeztetés és Házi segítségnyújtás rovatok közötti módosítása foglalkozás egészségügyi alkalmassági vizsgálatra</t>
  </si>
  <si>
    <t>Házi jelzőrendszer rovatok közötti módosítása vércukormérő tesztcsík beszerzésre</t>
  </si>
  <si>
    <t>Család- és nővédelem egészségügyi gondozáson rovatok közötti módosítás védőnők épületében takarítás, biztosítás, őrzés díjára</t>
  </si>
  <si>
    <t>Önkormányzati finanszírozás Rendészeti Iroda bejárati lépcső és járda karbantartására</t>
  </si>
  <si>
    <t>Önkormányzati finanszírozás armatúrák cseréjére</t>
  </si>
  <si>
    <t>452.</t>
  </si>
  <si>
    <t>Önkormányzati igazgatáson rovatok közötti módosítás adóbehajtás végrehajtási díjaira</t>
  </si>
  <si>
    <t>453.</t>
  </si>
  <si>
    <t>Csapadékvíz-beruházások lakossági kérésről átcsoportosítás burkolt árkok helyreállítására (Csendes u., Csengeri u., Homok u.)</t>
  </si>
  <si>
    <t>Burkolt árkok helyreállítása (Csendes u., Csengeri u., Homok u.)</t>
  </si>
  <si>
    <t>454.</t>
  </si>
  <si>
    <t>Városgazdálkodás tartalékból átcsoportosítás Bezerédi Sportpark játszótérre játékok beszerzésére</t>
  </si>
  <si>
    <t>Bezerédi Sportpark játszótér eszközfejlesztés</t>
  </si>
  <si>
    <t>455.</t>
  </si>
  <si>
    <t>Sportpark melletti közterületen járda és várakozósáv építés projekten fordított áfa kötelezettség miatti technikai átcsoportosítás előzetes áfáról befizetendő áfára</t>
  </si>
  <si>
    <t>456.</t>
  </si>
  <si>
    <t>457.</t>
  </si>
  <si>
    <t>458.</t>
  </si>
  <si>
    <t>Ivóvíz bérleti díj felhasználáson rovatok közötti módosítás Pillangó utcában víznyomócső építésére</t>
  </si>
  <si>
    <t>459.</t>
  </si>
  <si>
    <t>Sport-szigeti játszótér eszközfejlesztésén rovatok közötti technikai átcsoportosítás</t>
  </si>
  <si>
    <t>460.</t>
  </si>
  <si>
    <t>Választott tisztségviselők és Önkormányzati igazgatás bér rovatok módosítása reprezentációs költségekre</t>
  </si>
  <si>
    <t>Hétszínvirág Óvodában rovatok közötti módosítás gyógypedagógiai feladatok ellátására</t>
  </si>
  <si>
    <t>Laffert-kúriával kapcsolatos feladatok és Közművelődési tevékenység rovatok közötti módosítása honlap karbantartásra</t>
  </si>
  <si>
    <t>Laffert-kúriával kapcsolatos feladatokon rovatok közötti módosítás foglalkozás-egészségügyi alkalmassági vizsgálatra</t>
  </si>
  <si>
    <t>Közművelődési tevékenységen rovatok közötti módosítás számítógép beszerzésre</t>
  </si>
  <si>
    <t>31.      32.</t>
  </si>
  <si>
    <t>Mese Óvoda rovatok közötti módosítása kazán javításra és székek kárpitozására</t>
  </si>
  <si>
    <t>Elkülönített SZJA 1%-os számlán rovatok közötti módosítás forgalmi különdíjra</t>
  </si>
  <si>
    <t>Idősek nappali ellátásán rovatok közötti módosítás forgalmi különdíjra</t>
  </si>
  <si>
    <t>370.</t>
  </si>
  <si>
    <t>461.</t>
  </si>
  <si>
    <t>Megelőlegezési hitel elszámolás alapján (szeptember havi)</t>
  </si>
  <si>
    <t>371.</t>
  </si>
  <si>
    <t>462.</t>
  </si>
  <si>
    <t>2022 szeptemberi állami támogatás (szociális ágazati összevont pótlék) átvezetés Ágazati pótlék, bérkompenzáció, személyi juttatás és járulék tartalékba</t>
  </si>
  <si>
    <t>2021. évi felajánlott SZJA 1%-os kiutalás átvezetés részgazdára</t>
  </si>
  <si>
    <t>463.</t>
  </si>
  <si>
    <t>Vagyongazdálkodási kiadásokról átcsoportosítás vagyonkezelésbe átadott ingatlanok üzemeltetési díjára</t>
  </si>
  <si>
    <t>464.</t>
  </si>
  <si>
    <t>Energiaárak emelkedése miatti tartalékból átcsoportosítás Városi Piac közüzemi díjaira</t>
  </si>
  <si>
    <t>465.</t>
  </si>
  <si>
    <t>Intézményi ingatlanok különféle karbantartási kerete tartalékból átcsoportosítás Laffert-kúriában nyílászárók felújításához üveg beszerzés II. ütemére</t>
  </si>
  <si>
    <t>466.</t>
  </si>
  <si>
    <t>Intézményi ingatlanok különféle karbantartási kerete tartalékból átcsoportosítás Városi Sportcsarnokban tűzlétra biztonsági lezárására és acél közlekedő gyártására</t>
  </si>
  <si>
    <t>467.</t>
  </si>
  <si>
    <t>Önkormányzati adóbevételek átvezetése Biztos bevételek (teljesült összeg) és Bizonytalan bevételek (nem teljesült összeg) tartalékba</t>
  </si>
  <si>
    <t>468.</t>
  </si>
  <si>
    <t>Kinizsi utcai víznyomócső-építés műszaki ellenőrzése</t>
  </si>
  <si>
    <t>Csapadékvíz-beruházások lakossági kérésről átcsoportosítás Kinizsi u. víznyomócső-építéséhez kapcsolódó műszaki ellenőrzésre</t>
  </si>
  <si>
    <t>469.</t>
  </si>
  <si>
    <t>Napsugár Óvodában rovatok közötti módosítás csúszda és kalandpálya beszerzésre</t>
  </si>
  <si>
    <t>470.</t>
  </si>
  <si>
    <t>Intézményi ingatlanok különféle karbantartási kerete tartalékból átcsoportosítás Fő úti támfal építésének többletköltségeire</t>
  </si>
  <si>
    <t>Igazgatásról átcsoportosítás Anyakönyvi feladatokra tűzbiztos iratszekrények és irodaszékek beszerzésére</t>
  </si>
  <si>
    <t>Idősek nappali ellátásán bevételemelés követeléselőírás miatt</t>
  </si>
  <si>
    <t>471.</t>
  </si>
  <si>
    <t>Visszautalt igazgatási szolgáltatási díj és közüzemi díj jóváírás átvezetés Biztos bevétel tartalékba</t>
  </si>
  <si>
    <t>472.</t>
  </si>
  <si>
    <t>Várossá válás ünnepségen rovatok közötti módosítás előadóművészeti tevékenységre</t>
  </si>
  <si>
    <t>473.</t>
  </si>
  <si>
    <t>Dunaharaszti Sportcsarnok rovatok közötti módosítása hőszivattyú karbantartására</t>
  </si>
  <si>
    <t>474.</t>
  </si>
  <si>
    <t>Sport-szigeti játszótér eszközfejlesztéséről átcsoportosítás Sport-szigetre ping-pong asztal telepítésére</t>
  </si>
  <si>
    <t>065</t>
  </si>
  <si>
    <t>Sport-szigetre ping-pong asztal telepítés</t>
  </si>
  <si>
    <t>Szennyvíz bérleti díj felhasználáson rovatok közötti módosítás Kinizsi u. és Somogyváry u. közötti szakaszon víznyomócső építésére</t>
  </si>
  <si>
    <t>Intézményi ingatlanokkal kapcsolatos tervezések, műszaki ellenőrzések tartalékból átcsoportosítás Városi Bölcsőde új tagintézmény építéséhez kapcsolódó költségvetésre</t>
  </si>
  <si>
    <t>Intézményi ingatlanokkal kapcsolatos tervezések, műszaki ellenőrzések tartalékból átcsoportosítás Család- és Gyermekjóléti Szolgálat új épület építéséhez kapcsolódó költségbecslésre</t>
  </si>
  <si>
    <t>Intézményi ingatlanokkal kapcsolatos tervezések, műszaki ellenőrzések tartalékból átcsoportosítás Fő úti támfal építéséhez és Százszorszép Óvoda átalakításhoz költségbecslésre</t>
  </si>
  <si>
    <t>Adóügyi feladatokon rovatok közötti módosítás postaköltségre</t>
  </si>
  <si>
    <t>141</t>
  </si>
  <si>
    <t>Dunaharaszti-Taksony kerékpárút építése pályázaton KÍVÜLI (TOP_PLUSZ-1.2.1-21-PT1-2022-00013)</t>
  </si>
  <si>
    <t>Ebből:                                    Európai Uniós feladatok eredeti előirányzat                                  (140. részletezőkód)</t>
  </si>
  <si>
    <t>Ebből:                                    Európai Uniós feladatok módosított előirányzat                                  (140. részletezőkód)</t>
  </si>
  <si>
    <t>Európai Uniós feladatok eredeti előirányzat                           (140. részgazda)</t>
  </si>
  <si>
    <t>Európai Uniós feladatok módosított előirányzat                           (140. részgazda)</t>
  </si>
  <si>
    <t>475.</t>
  </si>
  <si>
    <t>40/2022. (III.28.) sz. Kt. határozat alapján 6182. hrsz. (Levendula u. 55/A.) ingatlanvásárlás elővásárlási jog miatti meghiúsulása kapcsán kapott bevétel átvezetése 6. sz. melléklet Ingatlanvásárlások sorra</t>
  </si>
  <si>
    <t>476.</t>
  </si>
  <si>
    <t>Intézményi ingatlanok különféle karbantartási kerete tartalékból átcsoportosítás Laffert-kúriában nyílászárók felújításának többletköltségeire</t>
  </si>
  <si>
    <t>477.</t>
  </si>
  <si>
    <t>Városi dolgozók jutalom kerete tartalékból átcsoportosítás Városi ösztöndíj és Időskorúak, valamint rászoruló családok karácsonyi csomagja céljára</t>
  </si>
  <si>
    <t>478.</t>
  </si>
  <si>
    <t>Intézményi ingatlanok különféle karbantartási kerete tartalékból átcsoportosítás Hétszínvirág Óvodában klímatelepítéshez elektromos hálózat bővítésére</t>
  </si>
  <si>
    <t>Hétszínvirág Óvoda klímatelepítéshez elektromos hálózatbővítés</t>
  </si>
  <si>
    <t>479.</t>
  </si>
  <si>
    <t>Polgármester rendelkezése tartalékból átcsoportosítás Dunaharaszti Judo Club Sportegyesület támogatására</t>
  </si>
  <si>
    <t>XI. Város- és község-gazdálkodási egyéb szolgáltatások</t>
  </si>
  <si>
    <t>VI. Támogatási célú finanszírozási műveletek</t>
  </si>
  <si>
    <t>480.</t>
  </si>
  <si>
    <t>Intézményi ingatlanok különféle karbantartási kerete tartalékból átcsoportosítás Dunaharaszti Százszorszép Óvodában villámhárító rendszer karbantartására</t>
  </si>
  <si>
    <t>481.</t>
  </si>
  <si>
    <t>Intézményi ingatlanok különféle karbantartási kerete tartalékból átcsoportosítás Polgármesteri Hivatal műszaki irodájában nyílászárók karbantartására</t>
  </si>
  <si>
    <t>482.</t>
  </si>
  <si>
    <t>Intézményi ingatlanok különféle karbantartási kerete tartalékból átcsoportosítás Gyermekorvosi Rendelőben mosogató szekrény gyártására és meglévő szekrény átépítésére</t>
  </si>
  <si>
    <t>483.</t>
  </si>
  <si>
    <t>Közterületi feladatokon rovatok közötti módosítás III. negyedévi cégautóadóra</t>
  </si>
  <si>
    <t>484.</t>
  </si>
  <si>
    <t>Dunaharaszti Sportcsarnok rovatok közötti módosítása mobiltelefonok előfizetési díjára</t>
  </si>
  <si>
    <t>485.</t>
  </si>
  <si>
    <t>Parkolóhely-megváltás számla</t>
  </si>
  <si>
    <t>486.</t>
  </si>
  <si>
    <t>Városi piacon bevételemelés követeléselőírás miatt</t>
  </si>
  <si>
    <t xml:space="preserve">Önkormányzati finanszírozás Százszorszép Óvodában villámhárító rendszer karbantartására </t>
  </si>
  <si>
    <t>Szivárvány Óvodában és Százszorszép Óvodában rovatok közötti módosítás mobiltelefonok beszerzésére</t>
  </si>
  <si>
    <t>Önkormányzati finanszírozás Gyermekorvosi Rendelőben mosogatószekrény gyártására és meglévő szekrény átépítésére</t>
  </si>
  <si>
    <t>Önkormányzati finanszírozás Dunaharaszti Polgármesteri Hivatal műszaki irodában nyílászárók karbantartására</t>
  </si>
  <si>
    <t>487.</t>
  </si>
  <si>
    <t>30/2022. (X.20.) sz. OMS határozat alapján a 23/2022. (IX.22.) sz. OMS határozat módosítása: Bódis Formation Sportegyesület támogatása helyett Chrobák Motorsport Egyesület támogatása Mohai Márk Ármin sporttevékenységéhez</t>
  </si>
  <si>
    <t>30/2022. (X.20.) sz. OMS határozat: Chrobák Motorsport Egyesület támogatása</t>
  </si>
  <si>
    <t>488.</t>
  </si>
  <si>
    <t>29/2022. (X.20.) sz. OMS határozat alapján II. Rákóczi Ferenc Általános Iskola támogatásának módosítása PC hangfalak vásárlására</t>
  </si>
  <si>
    <t>29/2022. (X.20.) sz. OMS határozat: II. Rákóczi Ferenc Általános Iskola támogatásának módosítása PC hangfalak beszerzésére</t>
  </si>
  <si>
    <t>489.</t>
  </si>
  <si>
    <t>31/2022. (X.20.) sz. OMS határozat alapján Városi civil sport- és kulturális rendezvények kiadásainak valamint DMTK-n kívüli sportegyesületek kiadásainak finanszírozási kerete tartalékból átcsoportosítás Szigetszentmiklósi Kick-Box SE támogatására</t>
  </si>
  <si>
    <t>490.</t>
  </si>
  <si>
    <t>Intézményi ingatlanok különféle karbantartási kerete tartalékból átcsoportosítás Városi Könyvtárban armatúracsere II. ütemére</t>
  </si>
  <si>
    <t>Önkormányzati finanszírozás armatúracsere II. ütemére</t>
  </si>
  <si>
    <t>491.</t>
  </si>
  <si>
    <t>Intézményi ingatlanok különféle karbantartási kerete tartalékból átcsoportosítás Sport-szigeti napközis tábor építéséhez kapcsolódó épületgépészeti tervekre</t>
  </si>
  <si>
    <t>492.</t>
  </si>
  <si>
    <t>Intézményi ingatlanok különféle karbantartási kerete tartalékból átcsoportosítás Városi Bölcsőde új tagintézményében víz- és csatornabekötési tervekre</t>
  </si>
  <si>
    <t>493.</t>
  </si>
  <si>
    <t>Intézményi ingatlanok különféle karbantartási kerete tartalékból átcsoportosítás önkormányzati intézmények villámvédelmi szabványossági felülvizsgálatára</t>
  </si>
  <si>
    <t>494.</t>
  </si>
  <si>
    <t>Energiaárak emelkedése miatti tartalékból átcsoportosítás Városi Temető, Városi Sportcsarnok és helyi tömegközlekedés közüzemi díjaira</t>
  </si>
  <si>
    <t>129/2022. (X.24.) sz. Kt. határozat: Dunaharaszti Területi Gondozási Központ bővítésére 2534/1 hrsz-ú ingatlanrész megvásárlása, melynek forrását a 6. számú melléklet "Ingatlanvásárlások" sora biztosítja 3.996.878,- Ft összegben</t>
  </si>
  <si>
    <t>Dunaharaszti Város Önkormányzat Képviselő-testületének 129/2022. (X.24.) számú határozata: Dunaharaszti Területi Gondozási Központ bővítésére 2534/1 hrsz-ú ingatlanrész vásárlás</t>
  </si>
  <si>
    <t>Dunaharaszti Város Önkormányzat Képviselő-testületének 130/2022. (X.24.) számú határozata: Dunaharaszti Területi Gondozási Központ bővítésére 6793/10 hrsz-ú ingatlanrész vásárlás</t>
  </si>
  <si>
    <t>495.</t>
  </si>
  <si>
    <t>Biztos bevétel tartalékból átcsoportosítás RSD Parti Sáv Önkormányzati Társulás tagdíjára, valamint Művészeti Alkotótábor eszközök, meghívók céljára</t>
  </si>
  <si>
    <t>496.</t>
  </si>
  <si>
    <t>Intézményi ingatlanok különféle karbantartási kerete tartalékból átcsoportosítás Polgármesteri Hivatal műszaki irodájában laminált padló cserére</t>
  </si>
  <si>
    <t>497.</t>
  </si>
  <si>
    <t>498.</t>
  </si>
  <si>
    <t>Bér rovatok módosítása szeptemberi bérkönyvelés alapján</t>
  </si>
  <si>
    <t>499.</t>
  </si>
  <si>
    <t xml:space="preserve">Megelőlegezési hitel elszámolás alapján (október havi) </t>
  </si>
  <si>
    <t>500.</t>
  </si>
  <si>
    <t>Intézményi ingatlanok különféle karbantartási kerete tartalékból átcsoportosítás Városi Bölcsőde új tagintézmény építéséhez kapcsolódó műszaki ellenőrzésre</t>
  </si>
  <si>
    <t>501.</t>
  </si>
  <si>
    <t>Intézményi ingatlanok különféle karbantartási kerete tartalékból átcsoportosítás Polgármesteri Hivatalban armatúrák cseréjére</t>
  </si>
  <si>
    <t>502.</t>
  </si>
  <si>
    <t>Intézményi ingatlanok különféle karbantartási kerete tartalékból átcsoportosítás Polgármesteri Hivatalban műszaki iroda felújításához festék vásárlásra</t>
  </si>
  <si>
    <t>503.</t>
  </si>
  <si>
    <t>Intézményi ingatlanok különféle karbantartási kerete tartalékból átcsoportosítás Városi Bölcsőde új tagintézmény építéséhez kapcsolódó kiviteli tervek módosítására</t>
  </si>
  <si>
    <t>413.</t>
  </si>
  <si>
    <t>504.</t>
  </si>
  <si>
    <t>99/2021. (XII.20.) sz. Kt. határozat Dunaharaszti Városi Bölcsőde új tagintézmény PM_BOLCSODEFEJLESZTES_2019/20,  BELÜLI (2022. évi pályázati forrás 480.000.000,- Ft (ebből: 102.047.244,- Ft dologi), saját forrás 213.046.447,- Ft (ebből: 33.062.585,- Ft dologi))</t>
  </si>
  <si>
    <t>505.</t>
  </si>
  <si>
    <t>Intézményi ingatlanok különféle karbantartási kerete tartalékból átcsoportosítás Városi Bölcsőde új tagintézmény építéséhez kapcsolódó kiviteli tervdokumentáció többletpéldányaira</t>
  </si>
  <si>
    <t>506.</t>
  </si>
  <si>
    <t>Intézményi ingatlanok különféle karbantartási kerete tartalékból átcsoportosítás Család- és Gyermekjóléti Szolgálatban kazán karbantartásra</t>
  </si>
  <si>
    <t>Önkormányzati finanszírozás kazán karbantartásra</t>
  </si>
  <si>
    <t>Önkormányzati finanszírozás Dunaharaszti Polgármesteri Hivatal műszaki irodában laminált padló cserére</t>
  </si>
  <si>
    <t>Igazgatáson rovatok közötti módosítás cégautóadóra</t>
  </si>
  <si>
    <t xml:space="preserve">  +/-</t>
  </si>
  <si>
    <t>Mese Óvodában rovatok közötti módosítás kiküldetés kiadásaira</t>
  </si>
  <si>
    <t>Ifjúságegészségügyi gondozáson rovatok közötti módosítás hulladékszállításra, takarításra és biztosítási díjra</t>
  </si>
  <si>
    <t>Önkormányzati finanszírozás Dunaharaszti Polgármesteri Hivatalban armatúra cserére</t>
  </si>
  <si>
    <t>507.</t>
  </si>
  <si>
    <t>Intézményi ingatlanok különféle karbantartási kerete tartalékból átcsoportosítás Polgármesteri Hivatalban tűzjelző rendszer telepítésére</t>
  </si>
  <si>
    <t>508.</t>
  </si>
  <si>
    <t>Intézményi ingatlanok különféle karbantartási kerete tartalékból átcsoportosítás Mese Óvodában napelemmel támogatott hőszivattyús hőtermelés műszaki és gazdaságossági vizsgálatára</t>
  </si>
  <si>
    <t>Önkormányzati finanszírozás Mese Óvodában napelemmel támogatott hőszivattyús hőtermelés műszaki és gazdaságossági vizsgálatára</t>
  </si>
  <si>
    <t>Önkormányzati finanszírozás Dunaharaszti Polgármesteri Hivatalban tűzjelző rendszer kiépítésére</t>
  </si>
  <si>
    <t>Szivárvány Óvodában rovatok közötti módosítás asztal beszerzésre</t>
  </si>
  <si>
    <t>Szivárvány Óvodában rovatok közötti módosítás Panda vírusirtóra és internetdíjra</t>
  </si>
  <si>
    <t>Százszorszép Óvodában rovatok közötti módosítás telefondíjra</t>
  </si>
  <si>
    <t>Gyermekjóléti szolgáltatáson rovatok közötti módosítás Panda vírusirtóra</t>
  </si>
  <si>
    <t>509.</t>
  </si>
  <si>
    <t>Biztos bevétel tartalékból átcsoportosítás óvodások fogászati gondozásának többletköltségére</t>
  </si>
  <si>
    <t>510.</t>
  </si>
  <si>
    <t>Temetkezésen készletértékesítésen bevételemelés követeléselőírás miatt</t>
  </si>
  <si>
    <t xml:space="preserve"> 6</t>
  </si>
  <si>
    <t>Óvodai, iskolai, gimnáziumi és vendéglátás étkeztetésen visszatérített áfa átvezetése előzetesen felszámított áfára</t>
  </si>
  <si>
    <t>Idősek nappali ellátásán, szociális, óvodai, iskolai és gimnáziumi étkeztetésen bevételemelés követeléselőírás miatt</t>
  </si>
  <si>
    <t>511.</t>
  </si>
  <si>
    <t>61/2022. (IV.25.) sz. Kt. határozat alapján Mindszenty J. u. 16/b. címen található műfüves pálya felújításán kerekítés miatti technikai rovatmódosítás</t>
  </si>
  <si>
    <t>512.</t>
  </si>
  <si>
    <t>61/2022. (IV.25.) sz. Kt. határozat alapján Mindszenty J. u. 16/b. címen található műfüves pálya felújításáról átvezetés Magyar Labdarúgó Szövetség támogatására a felújítás kivitelezésére</t>
  </si>
  <si>
    <t>318</t>
  </si>
  <si>
    <t>318                               Magyar Labdarúgó Szövetség műfüves pálya felújítás támogatás</t>
  </si>
  <si>
    <t>61/2022. (IV.25.) sz. Kt. határozat: Magyar Labdarúgó Szövetség támogatása műfüves pálya felújítására</t>
  </si>
  <si>
    <t>422.</t>
  </si>
  <si>
    <t>513.</t>
  </si>
  <si>
    <t>NEAK finanszírozás átvezetés szolgáltatásra</t>
  </si>
  <si>
    <t>514.</t>
  </si>
  <si>
    <t>Energiaárak emelkedése miatti tartalékból átcsoportosítás Gyermekorvosi Rendelő közüzemi díjaira</t>
  </si>
  <si>
    <t>Önkormányzati finanszírozás Gyermekorvosi Rendelő közüzemi díjaira</t>
  </si>
  <si>
    <t>515.</t>
  </si>
  <si>
    <t>028</t>
  </si>
  <si>
    <t>Fásítási programról átcsoportosítás Bezerédi Sportparknál kamerarendszer és WIFI kiépítésére</t>
  </si>
  <si>
    <t>Rendészeten rovatok közötti módosítás szikvíz beszerzésre</t>
  </si>
  <si>
    <t>Városi Bölcsőde új tagintézmény építés kiviteli szerződésében foglalt fordított áfa kötelezettség miatt előzetesen felszámított áfáról átcsoportosítás fizetendő áfára</t>
  </si>
  <si>
    <t>516.</t>
  </si>
  <si>
    <t>517.</t>
  </si>
  <si>
    <t>Várossá válás ünnepségen rovatok közötti módosítás előadóművészeti tevékenységre és vízdíjra</t>
  </si>
  <si>
    <t>Idősek nappali ellátásán ELMŰ Hálózati Kft-től kapott kötbér átvezetés szolgáltatásra</t>
  </si>
  <si>
    <t>35.      37.</t>
  </si>
  <si>
    <t>518.</t>
  </si>
  <si>
    <t>Önkormányzati adóbevételek átvezetése Biztos bevétel tartalékba</t>
  </si>
  <si>
    <t>Igazgatáson és Anyakönyvi feladatokon rovatok közötti módosítás jogtár beszerzésre</t>
  </si>
  <si>
    <t>Rendészeten megtérített gépjármű elszállítás átvezetés szolgáltatásra</t>
  </si>
  <si>
    <t>130/2022. (X.24.) sz. Kt. határozat: Dunaharaszti Területi Gondozási Központ bővítésére 6793/10 hrsz-ú ingatlanrész megvásárlása, melynek forrását a 6. számú melléklet "Ingatlanvásárlások" sora biztosítja 6.732.042,- Ft összegben</t>
  </si>
  <si>
    <t>428.</t>
  </si>
  <si>
    <t>519.</t>
  </si>
  <si>
    <t>2022 október havi állami támogatás (szociális ágazati összevont pótlék) átvezetés Ágazati pótlék, bérkompenzáció, személyi juttatás és járulék tartalékba</t>
  </si>
  <si>
    <t>Könyvtári szolgáltatásokon rovatok közötti módosítás irodaszer beszerzésre</t>
  </si>
  <si>
    <t>Laffert-kúriával kapcsolatos feladatokon rovatok közötti módosítás kültéri kamera beszerzésre</t>
  </si>
  <si>
    <t>Hétszínvirág Óvodán rovatok közötti módosítás internetdíjra</t>
  </si>
  <si>
    <t>Rendészeten rovatok közötti módosítás műszaki vizsgára</t>
  </si>
  <si>
    <t>Zöld Óvodán rovatok közötti módosítás kertészeti munkákra, valamint "Zöld Szív" rendezvényen környezetvédelmi bemutatóra és kávégép bérlésre</t>
  </si>
  <si>
    <t>Támogatások elszámolásán rovatok közötti módosítás népviseleti ingek beszerzésére</t>
  </si>
  <si>
    <t>Közművelődési tevékenységen áramdíj-jóváírás átvezetés reklámköltségekre</t>
  </si>
  <si>
    <t>Közművelődési tevékenységen bér rovatok módosítása reprezentációs költségekre</t>
  </si>
  <si>
    <t>Közművelődési tevékenységen rovatok közötti módosítás monitor beszerzésre</t>
  </si>
  <si>
    <t>Laffert-kúriával kapcsolatos feladatokon téves bankkártyalevonás miatti különbözet átvezetése szolgáltatásra</t>
  </si>
  <si>
    <t>Étkeztetésen és Városi Bölcsőde tagintézményén bevételemelés követeléselőírás miatt</t>
  </si>
  <si>
    <t>082091                             Közművelődés- közösségi és társadalmi részvétel fejlesztése         082094                  Közművelődés-kulturális alapú gazdaságfejlesztés</t>
  </si>
  <si>
    <t>082044                                  Könyvtári szolgáltatások             082094                  Közművelődés-kulturális alapú gazdaságfejlesztés</t>
  </si>
  <si>
    <t>082091                             Közművelődés- közösségi és társadalmi részvétel fejlesztése       082094                  Közművelődés-kulturális alapú gazdaságfejlesztés</t>
  </si>
  <si>
    <t>082044                                  Könyvtári szolgáltatások               082094                  Közművelődés-kulturális alapú gazdaságfejlesztés</t>
  </si>
  <si>
    <t>082094</t>
  </si>
  <si>
    <t>429.</t>
  </si>
  <si>
    <t>520.</t>
  </si>
  <si>
    <t>2022. évi népszámlálás tartalékból átcsoportosítás Dunaharaszti Polgármesteri Hivatal Adóügyi feladatok és Igazgatás normatív jutalmaira és járulékaira</t>
  </si>
  <si>
    <t>Önkormányzati finanszírozás Adóügyi feladatokon és Igazgatáson normatív jutalmakra és járulékaira</t>
  </si>
  <si>
    <t>521.</t>
  </si>
  <si>
    <t>Intézményi ingatlanok különféle karbantartási kerete tartalékból átcsoportosítás Napsugár Óvodában armatúracsere IV. ütemére</t>
  </si>
  <si>
    <t>Önkormányzati finanszírozás Napsugár Óvodában armatúracsere IV. ütemére</t>
  </si>
  <si>
    <t>522.</t>
  </si>
  <si>
    <t>Erdőállomány kezelés és fenntartásról átcsoportosítás fák ültetésére a Hősök terére</t>
  </si>
  <si>
    <t>523.</t>
  </si>
  <si>
    <t>Fásítási programról átcsoportosítás fakivágási munkálatokra a Hősök terén</t>
  </si>
  <si>
    <t>524.</t>
  </si>
  <si>
    <t>Utcanévtáblák, gyepmester, városi közkutak feladatról átcsoportosítás Sport-szigeti játszótéren eszközök telepítésére</t>
  </si>
  <si>
    <t>525.</t>
  </si>
  <si>
    <t>Csapadékvíz-elvezetés tervezésekről és Csapadékvíz-beruházások lakossági kérésről átcsoportosítás Domb u.-Csengeri u. kereszteződésében vízelvezetés kiépítésére</t>
  </si>
  <si>
    <t>Csapadékvíz-elvezetés tervezések</t>
  </si>
  <si>
    <t>Domb u.-Csengeri u. közötti csapadékvíz-elvezetés</t>
  </si>
  <si>
    <t>526.</t>
  </si>
  <si>
    <t>Útépítési tervek, műszaki ellenőrzés, eljárási díjak, engedélyek tartalékból átcsoportosítás gyalogjárda felújítására (Nádor u.-Földváry u.- Temető u.)</t>
  </si>
  <si>
    <t>Gyalogjárda felújítások (Nádor u.-Földváry u.-Temető u.)</t>
  </si>
  <si>
    <t>527.</t>
  </si>
  <si>
    <t>Szelektív hulladékgyűjtésről átcsoportosítás Dunaharaszti területén illegálisan elhelyezett építési-bontási hulladékok elszállítására</t>
  </si>
  <si>
    <t>528.</t>
  </si>
  <si>
    <t>Intézményi ingatlanok különféle karbantartási kerete tartalékból átcsoportosítás Laffert-kúriában tűzjelző központ cserére</t>
  </si>
  <si>
    <t>43.       44.</t>
  </si>
  <si>
    <t>Önkormányzati finanszírozás Laffert-kúriában tűzjelző központ cserére</t>
  </si>
  <si>
    <t>529.</t>
  </si>
  <si>
    <t>Temető fenntartáson és Temetkezésen bevételemelés követeléselőírás miatt</t>
  </si>
  <si>
    <t>530.</t>
  </si>
  <si>
    <t>Dunaharaszti Hírek és információs kiadványokon bevételemelés követeléselőírás miatt</t>
  </si>
  <si>
    <t>531.</t>
  </si>
  <si>
    <t>532.</t>
  </si>
  <si>
    <t>Biztos bevétel tartalékból átcsoportosítás közkutak, okoszebrák, közterületi kamerák és közvilágítás áramdíjára</t>
  </si>
  <si>
    <t>Százszorszép Óvoda előtti parkoló térburkolása (Táncsics M. u.)</t>
  </si>
  <si>
    <t>533.</t>
  </si>
  <si>
    <t>534.</t>
  </si>
  <si>
    <t>Lomtalanítás és köztéri szemétgyűjtésről átcsoportosítás Dózsa Gy. út-Baktay tér sarkán kialakított okoszebra burkolatjavítási munkálataira</t>
  </si>
  <si>
    <t>Útépítési és kerékpárút-építési tervekről átcsoportosítás Dózsa Gy. út-Baktay tér sarkán kialakított okoszebra elektromos áram ellátására</t>
  </si>
  <si>
    <t>444.</t>
  </si>
  <si>
    <t>535.</t>
  </si>
  <si>
    <t>Polgármester rendelkezése tartalékból átcsoportosítás Vagabond Korzó Egyesület támogatására</t>
  </si>
  <si>
    <t>536.</t>
  </si>
  <si>
    <t>József Attila Művelődési Házban napelemes új betápláló mérőhely kialakítása</t>
  </si>
  <si>
    <t>537.</t>
  </si>
  <si>
    <t>Új 24 tantermes iskola szennyvíznyomócső építésén részletezőkódok közötti technikai helyesbítés fordított áfakötelezettség miatt</t>
  </si>
  <si>
    <t>538.</t>
  </si>
  <si>
    <t>Intézményi ingatlanok különféle karbantartási kerete tartalékból átcsoportosítás Mese Óvodába napelem és hőszivattyú telepítésre elektromos hálózatbővítés</t>
  </si>
  <si>
    <t>Mese Óvoda klímatelepítéshez, napelemhez, hőszivattyúhoz elektromos hálózatbővítés</t>
  </si>
  <si>
    <t>539.</t>
  </si>
  <si>
    <t>36/2022. (XI.24.) sz. Oktatási, Művelődési és Sport Bizottság határozata alapján a Városi civil sport- és kulturális rendezvények kiadásainak valamint DMTK-n kívüli sportegyesületek kiadásainak finanszírozási kerete tartalékból átcsoportosítás Mese Óvoda részére támogatás nyújtására karácsonyi játékok vásárlására</t>
  </si>
  <si>
    <t>36/2022. (XI.24.) sz. OMS határozat alapján Mese Óvoda részére támogatás nyújtása karácsonyi játékok vásárlására</t>
  </si>
  <si>
    <t>540.</t>
  </si>
  <si>
    <t>37/2022. (XI.24.) sz. Oktatási, Művelődési és Sport Bizottság határozata alapján a Városi civil sport- és kulturális rendezvények kiadásainak valamint DMTK-n kívüli sportegyesületek kiadásainak finanszírozási kerete tartalékból átcsoportosítás Hétszínvirág Óvoda részére támogatás nyújtására karácsonyi játékok vásárlására</t>
  </si>
  <si>
    <t>37/2022. (XI.24.) sz. OMS határozat alapján Hétszínvirág Óvoda részére támogatás nyújtására karácsonyi játékok vásárlására</t>
  </si>
  <si>
    <t>541.</t>
  </si>
  <si>
    <t>38/2022. (XI.24.) sz. Oktatási, Művelődési és Sport Bizottság határozata alapján a Városi civil sport- és kulturális rendezvények kiadásainak valamint DMTK-n kívüli sportegyesületek kiadásainak finanszírozási kerete tartalékból átcsoportosítás Szivárvány Óvoda részére támogatás nyújtására karácsonyi játékok vásárlására</t>
  </si>
  <si>
    <t>38/2022. (XI.24.) sz. OMS határozat alapján Szivárvány Óvoda részére támogatás nyújtása karácsonyi játékok vásárlására</t>
  </si>
  <si>
    <t>542.</t>
  </si>
  <si>
    <t>Polgármester rendelkezése tartalékból átcsoportosítás Dunaharaszti Ifjúsági Egyesület jótékonysági rendezvényének támogatására</t>
  </si>
  <si>
    <t>Dunaharaszti Ifjúsági Egyesület támogatása</t>
  </si>
  <si>
    <t>543.</t>
  </si>
  <si>
    <t>Városi dolgozók temetési és gyermekszületési támogatás tartalékból átcsoportosítás Városi Bölcsőde étkeztetésre szociális bértámogatásra</t>
  </si>
  <si>
    <t>Önkormányzati finanszírozás Városi Bölcsőde étkeztetésre szociális bértámogatásra</t>
  </si>
  <si>
    <t>544.</t>
  </si>
  <si>
    <t>Fekvőrendőrök és pollerek kihelyezéséről átcsoportosítás okoszebra (Fő út 89.) karbantartására</t>
  </si>
  <si>
    <t>545.</t>
  </si>
  <si>
    <t>Bér rovatok módosítása októberi bérkönyvelés alapján</t>
  </si>
  <si>
    <t>Közvetített szolgáltatásokon bevételemelés áramdíjak továbbszámlázásához</t>
  </si>
  <si>
    <t>Hétszínvirág Óvodán rovatok közötti módosítás festményszárító és szőnyegek beszerzésére</t>
  </si>
  <si>
    <t>546.</t>
  </si>
  <si>
    <t>Erdőállomány kezelés és fenntartásról átcsoportosítás közterületi fák ápolására</t>
  </si>
  <si>
    <t>547.</t>
  </si>
  <si>
    <t>Dunaharaszti-Taksony kerékpárút építésén rovatok közötti módosítás TOP_PLUSZ-1.2.1-21-PT1-2022-00013 projekt projektmenedzsment feladatainak megbízási díjára</t>
  </si>
  <si>
    <t>548.</t>
  </si>
  <si>
    <t>Szelektív hulladékgyűjtésről átcsoportosítás Szekér utcai és Bezerédi játszótér karbantartására</t>
  </si>
  <si>
    <t>549.</t>
  </si>
  <si>
    <t>Közterületi feladatokról átcsoportosítás karácsonyi díszvilágítás feladatra LED kültéri fényfüzér beszerzésre</t>
  </si>
  <si>
    <t>550.</t>
  </si>
  <si>
    <t>Önkormányzati finanszírozás közüzemi díjakra</t>
  </si>
  <si>
    <t>Önkormányzati finanszírozás megemelkedett földgáz díjára</t>
  </si>
  <si>
    <t>551.</t>
  </si>
  <si>
    <t>Energiaárak emelkedése miatti tartalékból átcsoportosítás Család- és Gyermekjóléti Szolgálat és Hétszínvirág Óvoda közüzemi díjaira</t>
  </si>
  <si>
    <t>552.</t>
  </si>
  <si>
    <t>Magyarország 2021. évi központi költségvetéséről szóló 2020. évi XC. törvény 3. melléklet 6.3: huszonötezer főnél nem nagyobb lakosságszámú önkormányzatok kieső iparűzési adóbevétele miatti kiegészítő támogatás</t>
  </si>
  <si>
    <t>A huszonötezer főnél nem nagyobb lakosságszámú települési önkormányzatok támogatása (3. melléklet 2.1.6.3.k) alpont (Évközi új előirányzat, a 3. számú melléklet: a helyi önkormányzatok működési célú kiegészítő támogatásai része) átvezetés működési jellegű tartalék V/13. sorára</t>
  </si>
  <si>
    <t>553.</t>
  </si>
  <si>
    <t>Ágazati pótlék, bérkompenzáció, személyi juttatás és járulék tartalékból átcsoportosítás Választott tisztségviselők bér és járulék céljára</t>
  </si>
  <si>
    <t>554.</t>
  </si>
  <si>
    <t>555.</t>
  </si>
  <si>
    <t>Erdőállomány kezelésről átcsoportosítás Városi Temető területén fák ültetésére</t>
  </si>
  <si>
    <t>556.</t>
  </si>
  <si>
    <t>95/2022. (XI.10.) sz. Szociális és Egészségügyi Bizottság határozata alapján rendkívüli települési támogatásról átcsoportosítás EpiPen Junior anafilaxiás sokk sürgősségi kezelésére szolgáló injekciók beszerzésére</t>
  </si>
  <si>
    <t>557.</t>
  </si>
  <si>
    <t>Mese Óvodában rovatok közötti módosítás mosógép javítására</t>
  </si>
  <si>
    <t>Házi jelzőrendszeren, Orvosi rendelőn, Óvodai, iskolai, gimnáziumi étkeztetésen bevételemelés követeléselőírás miatt</t>
  </si>
  <si>
    <t>558.</t>
  </si>
  <si>
    <t>MÁV Zrt-nek értékesített ingatlan bevétele átvezetés Biztos bevétel tartalékba</t>
  </si>
  <si>
    <t>MÁV Zrt. részére értékesített ingatlan</t>
  </si>
  <si>
    <t>559.</t>
  </si>
  <si>
    <t>Polgármesteri Hivatalban villámcsapás miatt meghibásodott kültéri klímák megtérített kárának átvezetése Biztos bevétel tartalékba</t>
  </si>
  <si>
    <t>Napsugár Óvodában rovatok közötti módosítás infra hőmérő, piknik asztalok és terelőkúpok beszerzésére</t>
  </si>
  <si>
    <t>560.</t>
  </si>
  <si>
    <t>Polgármester rendelkezése tartalékból átcsoportosítás Dunaharaszti Önkéntes Tűzoltó Egyesület támogatására elsősegélynyújtó hátizsák beszerzésére</t>
  </si>
  <si>
    <t>Dunaharaszti Önkéntes Tűzoltó Egyesület támogatása</t>
  </si>
  <si>
    <t>561.      562.</t>
  </si>
  <si>
    <t>Erdőállomány kezelésen rovatok közötti módosítás Sport-szigeti parkerdő kaszálására</t>
  </si>
  <si>
    <t>Szivárvány Óvodában rovatok közötti módosítás számítógép és infra hőmérő beszerzésre</t>
  </si>
  <si>
    <t>Finanszírozás módosítás (Százszorszép Óvoda)</t>
  </si>
  <si>
    <t>Idősek nappali ellátásán rovatok közötti módosítás irodaszerek, üzemanyag beszerzésre és autógumi cserére</t>
  </si>
  <si>
    <t>Gyermekjóléti szolgáltatáson rovatok közötti módosítás továbbképzés díjára</t>
  </si>
  <si>
    <t>Gyermekjóléti szolgáltatásról átcsoportosítás továbbszámla ÁFA rovatra</t>
  </si>
  <si>
    <t>Könyvtári szolgáltatásokon rovatok közötti módosítás notebook beszerzésre</t>
  </si>
  <si>
    <t>563.</t>
  </si>
  <si>
    <t>Energiaárak emelkedése miatti tartalékból átcsoportosítás Dunaharaszti Városi Bölcsőde tagintézmény közüzemi díjaira</t>
  </si>
  <si>
    <t>Könyvtári szolgáltatásokon rovatok közötti módosítás ARCANUM Adatbázis beszerzésre</t>
  </si>
  <si>
    <t>Városi Bölcsőde tagintézményben rovatok közötti módosítás szőnyegbérlés többletköltségére</t>
  </si>
  <si>
    <t>Önkormányzati finanszírozás Városi Bölcsőde tagintézmény közüzemi díjaira</t>
  </si>
  <si>
    <t>Százszorszép Óvodában áramdíj-jóváírás átvezetés közüzemi díjra</t>
  </si>
  <si>
    <t>564.</t>
  </si>
  <si>
    <t>Zöldterület-kezelésen áfa rovatról technikai átcsoportosítás szolgáltatásra</t>
  </si>
  <si>
    <t>Zöldterület-kezelésen rovatok közötti módosítás rendezvényekre zászlók beszerzésére</t>
  </si>
  <si>
    <t>Rendezvényekre zászlók beszerzése</t>
  </si>
  <si>
    <t>565.</t>
  </si>
  <si>
    <t>Parti sétány és tanösvény pályázaton belüli és kívüli rész közötti technikai módosítás</t>
  </si>
  <si>
    <t>46.     47.</t>
  </si>
  <si>
    <t>35/2022. könyvelési tétel helyesbítése: Laffert-kúriában tűzjelző központ cseréje karbantartásról módosítás beruházásra</t>
  </si>
  <si>
    <t>Finanszírozás módosítás (József Attila Művelődési Ház)</t>
  </si>
  <si>
    <t>566.</t>
  </si>
  <si>
    <t>157/2022. (XI.28.) sz. Kt. határozat alapján 6039/61. hrsz. ingatlanértékesítés bevétele átvezetés Biztos bevétel tartalékba</t>
  </si>
  <si>
    <t>157/2022. (XI.28.) sz. Kt. határozat: 6039/61. hrsz. ingatlan értékesítése</t>
  </si>
  <si>
    <t>567.</t>
  </si>
  <si>
    <t>158/2022. (XI.28.) sz. Kt. határozat alapján 3766. hrsz. ingatlanértékesítés tervezett bevételének átvezetése Bizonytalan bevétel tartalékba</t>
  </si>
  <si>
    <t>158/2022. (XI.28.) sz. Kt. határozat: 3766. hrsz. ingatlan értékesítése</t>
  </si>
  <si>
    <t>568.</t>
  </si>
  <si>
    <t>569.</t>
  </si>
  <si>
    <t>155/2022. (XI.28.) sz. Kt. határozat alapján Intézményi ingatlanok különféle karbantartási kerete tartalékból átcsoportosítás Városi Sportcsarnok napelemrendszer kiépítésére</t>
  </si>
  <si>
    <t>155/2022. (XI.28.) sz. Kt. határozat alapján Építési beruházásokhoz tartalékból átcsoportosítás Városi Sportcsarnok napelemrendszer kiépítésére</t>
  </si>
  <si>
    <t>Sportcsarnok napelem-és épületfelügyeleti rendszer kiépítése</t>
  </si>
  <si>
    <t>570.</t>
  </si>
  <si>
    <t>155/2022. (XI.28.) sz. Kt. határozat alapján Építési beruházásokhoz tartalékból átcsoportosítás Orvosi Rendelő napelemrendszer kiépítésére</t>
  </si>
  <si>
    <t>Felnőtt orvosi rendelőben napelemrendszer kiépítés</t>
  </si>
  <si>
    <t>571.</t>
  </si>
  <si>
    <t>Lakossági járdaépítésről átcsoportosítás fák kivágása és gallyazása lakossági kérésre</t>
  </si>
  <si>
    <t>572.</t>
  </si>
  <si>
    <t>Zöldterület-kezelésen rovatok közötti módosítás Árnyas u.-Napsugár u. közötti szakaszon kaszálásra</t>
  </si>
  <si>
    <t>573.</t>
  </si>
  <si>
    <t>Intézményi ingatlanok különféle karbantartási kerete tartalékból átcsoportosítás Városi Sportcsarnokban fűtés tágulási tartály cserére és zuhanyzók javítására</t>
  </si>
  <si>
    <t>574.</t>
  </si>
  <si>
    <t>Dunaharaszti Sportcsarnok rovatok közötti módosítása hő- és füstelvezetők ismételt üzembe helyezésére</t>
  </si>
  <si>
    <t>575.</t>
  </si>
  <si>
    <t>Intézményi ingatlanok különféle karbantartási kerete tartalékból átcsoportosítás Mese Óvodában hőközpont felújítás tervezői költségbecslésére</t>
  </si>
  <si>
    <t>576.</t>
  </si>
  <si>
    <t>Lomtalanítás és köztéri szemétgyűjtésen rovatok közötti módosítás kültéri hulladékgyűjtők cseréjére</t>
  </si>
  <si>
    <t>577.</t>
  </si>
  <si>
    <t>578.</t>
  </si>
  <si>
    <t>35/2022. (XI.24.) sz. OMS határozat alapján Civil szervezetek, egyházak támogatása (Művészeti, oktatási, kulturális év közben belépő feladatok) tartalékból átcsoportosítás Dunaharaszti Kisharang Református Óvoda támogatására</t>
  </si>
  <si>
    <t>303</t>
  </si>
  <si>
    <t>303                                    Egyházak eszközfejlesztésének támogatása      Dunaharaszti Kisharang Református Óvoda támogatása</t>
  </si>
  <si>
    <t>35/2022. (XI.24.) sz. OMS határozat: Dunaharaszti Kisharang Református Óvoda támogatása JBL hangszórók beszerzésére</t>
  </si>
  <si>
    <t>XII. Egyházak közösségi és hitéleti tevékenységének támogatása</t>
  </si>
  <si>
    <t>35/2022. (XI.24.) sz. OMS határozat: Dunaharaszti Kisharang Református Óvoda támogatása</t>
  </si>
  <si>
    <t>Támogatások elszámolásán rovatok közötti módosítás üzemeltetési anyagok beszerzésére (dekorkarton, ragasztó, organza anyag stb.)</t>
  </si>
  <si>
    <t>Laffert-kúriával kapcsolatos feladatokon rovatok közötti módosítás infra hőmérők, billentyűzet, fejhallgató és feliratozógép beszerzésre</t>
  </si>
  <si>
    <t>48.   51.</t>
  </si>
  <si>
    <t>Közművelődési tevékenységen bérleti díjakon bevételemelés követeléselőírás miatt</t>
  </si>
  <si>
    <t>Adóügyi feladatokon rovatok közötti módosítás postaköltségre és telefondíjra</t>
  </si>
  <si>
    <t>579.</t>
  </si>
  <si>
    <t>580.</t>
  </si>
  <si>
    <t>Választott tisztségviselőkön bér rovatok módosítása reprezentációs költségekre</t>
  </si>
  <si>
    <t>581.</t>
  </si>
  <si>
    <t>Intézményi ingatlanok különféle karbantartási kerete tartalékból átcsoportosítás Városi Könyvtárban armatúracsere III. ütemére</t>
  </si>
  <si>
    <t>Önkormányzati finanszírozás armatúracsere III. ütemére</t>
  </si>
  <si>
    <t>Önkormányzati finanszírozás Napsugár Óvodában armatúracsere V. ütemére</t>
  </si>
  <si>
    <t>582.</t>
  </si>
  <si>
    <t>Intézményi ingatlanok különféle karbantartási kerete tartalékból átcsoportosítás Napsugár Óvodában armatúracsere V. ütemére</t>
  </si>
  <si>
    <t>583.</t>
  </si>
  <si>
    <t>Intézményi ingatlanok különféle karbantartási kerete tartalékból átcsoportosítás Laffert-kúria fűtési energiafelhasználásának csökkentését célzó megoldásokra</t>
  </si>
  <si>
    <t>Önkormányzati finanszírozás Laffert-kúria fűtési energiafelhasználás csökkentését célzó megoldásokra</t>
  </si>
  <si>
    <t>584.</t>
  </si>
  <si>
    <t>Intézményi ingatlanok különféle karbantartási kerete tartalékból átcsoportosítás Városi Bölcsőde új tagintézmény vízbekötés előlegére</t>
  </si>
  <si>
    <t>585.</t>
  </si>
  <si>
    <t>Áramdíj-jóváírás átvezetés Energiaárak emelkedése miatti tartalékba</t>
  </si>
  <si>
    <t>76.   77.</t>
  </si>
  <si>
    <t>Dolgozóknak értékesített eszközök bevételének átvezetése beruházásra</t>
  </si>
  <si>
    <t>Dolgozóknak értékesített eszközök</t>
  </si>
  <si>
    <t>Anyakönyvi feladatokon bevételemelés követeléselőírás miatt</t>
  </si>
  <si>
    <t>Rendészeten munkaruha visszautalt összegének átvezetése üzemeltetési anyagokra</t>
  </si>
  <si>
    <t>586.</t>
  </si>
  <si>
    <t>2022 november havi állami támogatás (szociális ágazati összevont pótlék) átvezetés Ágazati pótlék, bérkompenzáció, személyi juttatás és járulék tartalékba</t>
  </si>
  <si>
    <t>587.</t>
  </si>
  <si>
    <t>Bezerédi Sportpark építésén pályázaton belüli és kívüli részgazdák közötti technikai átcsoportosítás</t>
  </si>
  <si>
    <t xml:space="preserve">Bezerédi Sportpark (pályázaton kívüli) </t>
  </si>
  <si>
    <t>Bezerédi Sportpark építése (támogatás: 329.992.608,- Ft, ebből fordított ÁFA 104.744.111,- Ft)</t>
  </si>
  <si>
    <t>Intézményi ingatlanok különféle karbantartási kerete tartalékból átcsoportosítás József Attila Művelődési Házban napelemes új betápláló mérőhely kialakítására</t>
  </si>
  <si>
    <t>Étkeztetésen, Városi Bölcsőde főintézményen és tagintézményen bevételemelés követeléselőírás miatt</t>
  </si>
  <si>
    <t>Százszorszép Óvodában rovatok közötti módosítás infra hőmérő beszerzésre</t>
  </si>
  <si>
    <t>6182. hrsz. Levendula utca 55/A. ingatlan értékesítése (40/2022. (III.28.) sz. Kt. határozat alapján ingatlanvásárlás elővásárlási jog miatti meghiúsulása)</t>
  </si>
  <si>
    <t>Dunaharaszti  Város Önkormányzata Képviselő-testületének 6/2022. (II.25.) rendeletének módosítása 2022. december 31-ig</t>
  </si>
  <si>
    <t>Dunaharaszti  Város Önkormányzata Képviselő-testületének 6/2022. (II.25.) rendeletének módosítása  2022. december 31-ig</t>
  </si>
  <si>
    <t>Bér rovatok módosítása novemberi bérkönyvelés alapján</t>
  </si>
  <si>
    <t>Bér rovatok módosítása  novemberi bérkönyvelés alapján</t>
  </si>
  <si>
    <t>80.   81.    82.</t>
  </si>
  <si>
    <t>588.</t>
  </si>
  <si>
    <t>589.</t>
  </si>
  <si>
    <t>Intézményi ingatlanok különféle karbantartási kerete tartalékból átcsoportosítás Városi Bölcsőde új tagintézmény építéséhez talajvizsgálatra</t>
  </si>
  <si>
    <t>590.</t>
  </si>
  <si>
    <t>Lakossági járdaépítésről átcsoportosítás közterületi fák ápolására</t>
  </si>
  <si>
    <t>591.   592.</t>
  </si>
  <si>
    <t xml:space="preserve">Intézményi ingatlanok különféle karbantartási kerete tartalékból átcsoportosítás Városi Bölcsőde új tagintézmény építéséhez gázterv elkészítésére </t>
  </si>
  <si>
    <t>591.        592.</t>
  </si>
  <si>
    <t>593.</t>
  </si>
  <si>
    <t>Intézményi ingatlanok különféle karbantartási kerete tartalékból átcsoportosítás Városi Bölcsőde új tagintézmény alapozásának áttervezésére</t>
  </si>
  <si>
    <t>Intézményi ingatlanok különféle karbantartási kerete tartalékból átcsoportosítás Hunyadi János Általános Iskola konyhájában gázmérőcsere tervezésre</t>
  </si>
  <si>
    <t>Biztos bevétel tartalékból átcsoportosítás magasságkorlátozó kapu telepítésére a Bláthy Ottó utcába</t>
  </si>
  <si>
    <t>Magasságkorlátozó kapu telepítés a Bláthy Ottó utcába</t>
  </si>
  <si>
    <t>Intézményi ingatlanok különféle karbantartási kerete tartalékból átcsoportosítás Hunyadi János Általános Iskola konyhájában gázmérőhely átalakítására</t>
  </si>
  <si>
    <t>Intézményi ingatlanok különféle karbantartási kerete tartalékból átcsoportosítás Hunyadi János Általános Iskola konyhájában gázmérőhely átalakítás tervezésre</t>
  </si>
  <si>
    <t>Biztos bevétel tartalékból átcsoportosítás e-közmű rendszer üzemeltetésére</t>
  </si>
  <si>
    <t>6.     7.</t>
  </si>
  <si>
    <t>Intézményi ingatlanok különféle karbantartási kerete tartalékból átcsoportosítás Rendőrség kazáncsere tervezésére</t>
  </si>
  <si>
    <t>Rendőrség kazáncsere</t>
  </si>
  <si>
    <t>8.     10.</t>
  </si>
  <si>
    <t>Intézményi ingatlanok különféle karbantartási kerete tartalékból átcsoportosítás Család- és Gyermekjóléti Szolgálat kazáncsere tervezésére</t>
  </si>
  <si>
    <t>8.      10.</t>
  </si>
  <si>
    <t>6.    7.</t>
  </si>
  <si>
    <t>Család- és Gyermekjóléti Szolgálat kazáncsere</t>
  </si>
  <si>
    <t>Intézményi ingatlanok különféle karbantartási kerete tartalékból átcsoportosítás Polgármesteri Hivatal kazáncsere tervezésére</t>
  </si>
  <si>
    <t>Polgármesteri Hivatal kazáncsere</t>
  </si>
  <si>
    <t>Intézményi ingatlanok különféle karbantartási kerete tartalékból átcsoportosítás Hétszínvirág Óvoda kazáncsere tervezésére</t>
  </si>
  <si>
    <t>Hétszínvirág Óvoda kazáncsere</t>
  </si>
  <si>
    <t>Városgazdálkodás tartalékból átcsoportosítás 7759 hrsz. területen tereprendezési munkálatokra</t>
  </si>
  <si>
    <t>Útépítési tervek, műszaki ellenőrzés, eljárási díjak, engedélyek tartalékból átcsoportosítás 7759 hrsz. területen tereprendezési munkálatokra</t>
  </si>
  <si>
    <t>Sportpark járda és várakozósávról, Kiemelt közvilágítás létesítése újonnan épült gyalogátkelőkhöz feladatról, Lakossági járdaépítésről, Fekvőrendőrökről, Kültéri hulladékgyűjtésről átcsoportosítás 7759 hrsz. területen tereprendezési munkálatokra</t>
  </si>
  <si>
    <t>Fekvőrendőrök és pollerek kihelyezéséről átcsoportosítás gravitációs csapadékvíz-elvezető rendszer kiépítésére a Somogyváry-Bezerédi u. között</t>
  </si>
  <si>
    <t>Gravitációs csapadékvíz-elvezető rendszer kiépítése a Somogyváry-Bezerédi u. között</t>
  </si>
  <si>
    <t>Útépítési és kerékpárút-építési tervekről, Szennyvíz beruházások saját forrásról, Ivóvíz beruházások saját forrásból, Fekvőrendőrökről, Toldi-Táncsics u. közötti szakaszon csomópontok átépítéséről, Csapadékvíz-elvezetés tervezésekről átcsoportosítás Duna utcában fakadó vizek bekötésére meglévő zárt csatornába</t>
  </si>
  <si>
    <t>Utcanévtáblák, gyepmester, városi közkutak feladatról átcsoportosítás Bezerédi Sportpark tájékoztató táblákra</t>
  </si>
  <si>
    <t>Fásítási programról, Szelektív hulladékgyűjtésről, Köztéri hulladékgyűjtők beszerzéséről átcsoportosítás fák kivágási és gallyazási munkálataira lakossági kérésre</t>
  </si>
  <si>
    <t>Intézményi ingatlanok különféle karbantartási kerete tartalékból átcsoportosítás Mese Óvodában LED armatúracsere IV. ütemére</t>
  </si>
  <si>
    <t>Önkormányzati finanszírozás Mese Óvodában armatúracsere I. ütemére</t>
  </si>
  <si>
    <t>Intézményi ingatlanok különféle karbantartási kerete tartalékból átcsoportosítás Mese Óvodában armatúracsere I. ütemére</t>
  </si>
  <si>
    <t>Gyermekjóléti szolgáltatáson rovatok közötti módosítás pszichológiai ellátásra</t>
  </si>
  <si>
    <t>1.        2.</t>
  </si>
  <si>
    <t>Hétszínvirág Óvoda és SNI rovatok közötti módosítása mozgásfejlesztő játék beszerzésre</t>
  </si>
  <si>
    <t>Intézményi ingatlanok különféle karbantartási kerete tartalékból átcsoportosítás felnőtt Orvosi Rendelőben keletkezett gépészeti kár helyreállítására</t>
  </si>
  <si>
    <t>Önkormányzati finanszírozás felnőtt Orvosi Rendelőben gépészeti kár helyreállítására</t>
  </si>
  <si>
    <t>Intézményi ingatlanok különféle karbantartási kerete tartalékból átcsoportosítás felnőtt Orvosi Rendelő ügyeleti gépkocsitároló karbantartási munkálataira</t>
  </si>
  <si>
    <t>Önkormányzati finanszírozás felnőtt Orvosi Rendelő gépkocsitároló épület karbantartására</t>
  </si>
  <si>
    <t>Városi dolgozók temetési és gyermekszületési támogatás tartalékból átcsoportosítás Szivárvány Óvodába szociális bértámogatásra</t>
  </si>
  <si>
    <t>Önkormányzati finanszírozás Szivárvány Óvodába szociális bértámogatásra</t>
  </si>
  <si>
    <t>Intézményi ingatlanok különféle karbantartási kerete tartalékból átcsoportosítás Területi Gondozási Központ karbantartási munkálataira</t>
  </si>
  <si>
    <t>Gyermekjóléti szolgáltatáson rovatok közötti  módosítás telefondíjra</t>
  </si>
  <si>
    <t>Önkormányzati finanszírozás Területi Gondozási Központ karbantartási munkálataira</t>
  </si>
  <si>
    <t>Hétszínvirág Óvodában rovatok közötti módosítás mobil- és analógtelefon beszerzésre</t>
  </si>
  <si>
    <t>Intézményi ingatlanok különféle karbantartási kerete tartalékból átcsoportosítás Sport-szigeti napközis tábor tervezői költségbecslés készítésére</t>
  </si>
  <si>
    <t>Biztos bevétel tartalékból átcsoportosítás Pillangó utcában víznyomócső építésére és Kinizsi-Somogyvári utcában szennyvíznyomócső építésére korábban szennyvíz és ivóvíz bérleti díj tárgyévi forrásából megelőlegezett összegének visszavezetésére</t>
  </si>
  <si>
    <t>069                              Szennyvíz közműfejlesztési hozzájárulás felhasználás 2022. év (Szennyvíz)</t>
  </si>
  <si>
    <t>069                           Szennyvíz közműfejlesztési hozzájárulás felhasználás 2022. év (Szennyvíz)</t>
  </si>
  <si>
    <t>070                             Szennyvíz közműfejlesztési hozzájárulás felhasználás 2022. év                 (Ivóvíz)</t>
  </si>
  <si>
    <t>070                         Szennyvíz közműfejlesztési hozzájárulás felhasználás 2022. év                 (Ivóvíz)</t>
  </si>
  <si>
    <t>Szennyvíz közműfejlesztési hozzájárulás felhasználás 2022. év (Szennyvíz)</t>
  </si>
  <si>
    <t>Szennyvíz közműfejlesztési hozzájárulás felhasználás 2022. év (Ivóvíz)</t>
  </si>
  <si>
    <t>Biztos bevétel tartalékból átcsoportosítás Piknik park fenntartására</t>
  </si>
  <si>
    <t>Intézményi ingatlanok különféle karbantartási kerete tartalékból átcsoportosítás Területi Gondozási Központban meglévő szaletli átalakítására</t>
  </si>
  <si>
    <t>Intézményi ingatlanok különféle karbantartási kerete tartalékból átcsoportosítás Területi Gondozási Központban gazdasági bejárat és kerítés kialakítására</t>
  </si>
  <si>
    <t>Területi Gondozási Központ szaletli átalakítás, gazdasági bejárat és kerítés kialakítás</t>
  </si>
  <si>
    <t>Dunaharaszti-Taksony kerékpárút építéséről projektelőkészítő tanulmány és kiviteli tervek korábban más forrásból megelőlegezett összegének átvezetése Biztos bevétel tartalékba</t>
  </si>
  <si>
    <t>Dunaharaszti-Taksony kerékpárút építése (előző évi maradvány: 781.050,- Ft) (TOP_PLUSZ-1.2.1-21-PT1-2022-00013 támogatás: 49.565.206,- Ft, ebből dologi: 8.146.942,- Ft)</t>
  </si>
  <si>
    <t>Intézményi ingatlanok különféle karbantartási kerete tartalékból átcsoportosítás Városi Bölcsőde új tagintézmény vízbekötésére</t>
  </si>
  <si>
    <t>Intézményi ingatlanok különféle karbantartási kerete tartalékból átcsoportosítás Polgármesteri Hivatal műszaki irodában mennyezeti és oldalvakolat javítási munkálataira</t>
  </si>
  <si>
    <t>Önkormányzati finanszírozás műszaki iroda mennyezeti és oldalvakolat javítási munkálataira</t>
  </si>
  <si>
    <t>Választott tisztségviselőkön rovatok közötti módosítás reprezentációs költségekre</t>
  </si>
  <si>
    <t>Mentési pont rovatok közötti módosítása őrzés díjára</t>
  </si>
  <si>
    <t>076</t>
  </si>
  <si>
    <t>072440</t>
  </si>
  <si>
    <t>Mese Óvodában rovatok közötti módosítás telefondíjra</t>
  </si>
  <si>
    <t>Étkeztetésen rovatok közötti módosítás közlekedési bírságra</t>
  </si>
  <si>
    <t>Elkülönített SZJA 1%-os számlán rovatok közötti módosítás laminálógép és vágógép beszerzésre</t>
  </si>
  <si>
    <t>Zöld Óvodán rovatok közötti módosítás kerti tó téliesítésére és zöldterület karbantartására</t>
  </si>
  <si>
    <t>EMET NKA ("Ismeretterjesztő zenei oktatás sorozat" pályázat) támogatáson kerekítési különbözet miatti technikai módosítás</t>
  </si>
  <si>
    <t>Szivárvány Óvodában rovatok közötti módosítás internetdíjra és telefondíjra</t>
  </si>
  <si>
    <t>Szivárvány Óvodában rovatok közötti módosítás ásványvíz beszerzésre és gázkészülék javításra</t>
  </si>
  <si>
    <t>Család- és nővédelem egészségügyi gondozáson rovatok közötti módosítás közüzemi díjakra</t>
  </si>
  <si>
    <t>Energiaárak emelkedése miatti tartalékból átcsoportosítás felnőtt Orvosi Rendelő közüzemi díjaira</t>
  </si>
  <si>
    <t>Biztosító által Laffert-kúriában keletkezett viharkár megtérített összegének átvezetése Biztos bevétel tartalékba</t>
  </si>
  <si>
    <t xml:space="preserve"> + </t>
  </si>
  <si>
    <t>Hulladékgazdálkodási bírság bevételének átvezetése Biztos bevétel tartalékba</t>
  </si>
  <si>
    <t>Környezetvédelmi bírság, Településképi bírság, Hulladékgazdálkodási bírság</t>
  </si>
  <si>
    <t xml:space="preserve">Megelőlegezési hitel (nulladik havi) átvezetés Normatíva felülvizsgálat tartalékba </t>
  </si>
  <si>
    <t>Parti sétány és tanösvény (belüli) (támogatás: 43.997.512,- Ft) (önerő: 4.999.996,- Ft)</t>
  </si>
  <si>
    <t>Nem lakáscélú önkormányzati ingatlanokon bevételemelés követeléselőírás miatt</t>
  </si>
  <si>
    <t>Lakásgazdálkodással kapcsolatos feladatokon bevételemelés követeléselőírás miatt</t>
  </si>
  <si>
    <t>Taksony Nagyközség Polgármesteri Hivatal orvosi ügyeleti hozzájárulásán kerekítési különbözet miatti technikai módosítás</t>
  </si>
  <si>
    <t>313</t>
  </si>
  <si>
    <t>Választott tisztségviselőkön rovatok közötti módosítás mobilinternet díjára és üzemanyagra</t>
  </si>
  <si>
    <t>Biztos bevétel tartalékból átcsoportosítás településterv megalapozó vizsgálatának elkészítésére</t>
  </si>
  <si>
    <t>Önkormányzati igazgatáson rovatok közötti módosítás adventi koszorúra</t>
  </si>
  <si>
    <t>Városi Sportcsarnok bér rovatok módosítása reprezentációs költségekre</t>
  </si>
  <si>
    <t>Bezerédi Sportpark pályázaton belül épület rovatról átcsoportosítás gép, berendezés rovatra számlamegbontás alapján</t>
  </si>
  <si>
    <t>2022 december havi állami támogatás (szociális ágazati összevont pótlék) átvezetés Ágazati pótlék, bérkompenzáció, személyi juttatás és járulék tartalékba</t>
  </si>
  <si>
    <t>2022 december havi állami támogatás (októberi felmérés eredménye) átvezetés Normatíva felülvizsgálat tartalékba</t>
  </si>
  <si>
    <t>2022 december havi állami támogatás (2022. évi bérintézkedések támogatása októberi felmérés mutatói alapján számított különbözete) átvezetés Ágazati pótlék, bérkompenzáció, személyi juttatás és járulék tartalékba</t>
  </si>
  <si>
    <t>Szivárvány Óvodában rovatok közötti módosítás termosztát beszerzésre</t>
  </si>
  <si>
    <t>54.     61.</t>
  </si>
  <si>
    <t>Vagyongazdálkodási kiadásokon rovatok közötti módosítás energetikai tanácsadásra</t>
  </si>
  <si>
    <t>"Fut a Haraszti" civil szervezet által fel nem használt támogatás visszautalt összegének átvezetése Energiaárak emelkedése miatti tartalékba</t>
  </si>
  <si>
    <t>Idősek nappali ellátásán dogozónak értékesített eszközből származó bevétel átvezetés beruházásra</t>
  </si>
  <si>
    <t>Területi Gondozási Központ</t>
  </si>
  <si>
    <t>Dolgozónak értékesített eszköz</t>
  </si>
  <si>
    <t>Szociális, óvodai, iskolai és gimnáziumi étkeztetésen bevételemelés követeléselőírás miatt</t>
  </si>
  <si>
    <t>Támogatások elszámolásán rovatok közötti módosítás játékok vásárlására</t>
  </si>
  <si>
    <t>Laffert-kúriával kapcsolatos feladatokon rovatok közötti módosítás pénzkazetta, fogyasztásmérő, hangszóró és szkenner beszerzésre</t>
  </si>
  <si>
    <t>Adóbehajtás bevétel átvezetés Biztos bevétel tartalékba</t>
  </si>
  <si>
    <t>Készletértékesítés többletbevétel átvezetés szolgáltatásra</t>
  </si>
  <si>
    <t>Étkeztetésen és Városi Bölcsőde főintézményen bevételemelés követeléselőírás miatt</t>
  </si>
  <si>
    <t>Igazgatáson rovatok közötti módosítás IJR rendeletek szerkesztésére, építész tervező program frissítésére, konyhai eszközök és másolópapír beszerzésére</t>
  </si>
  <si>
    <t>Anyakönyvi feladatokon rovatok közötti módosítás asztali lámpa beszerzésre</t>
  </si>
  <si>
    <t>Igazgatáson, Adóügyi feladatokon, Anyakönyvi feladatokon és Rendészeten gázdíj-jóváírás átvezetés szolgáltatásra</t>
  </si>
  <si>
    <t>Dolgozóknak értékesített eszköz bevételének átvezetése beruházásra</t>
  </si>
  <si>
    <t>Temető fenntartáson túlteljesítés miatti bevételnövelés</t>
  </si>
  <si>
    <t>2022. évi népszámlálás feladataira kapott támogatás II. ütem felosztása együttműködési megállapodás alapján</t>
  </si>
  <si>
    <t>Közüzemi díj jóváírás átvezetés Biztos bevétel tartalékba</t>
  </si>
  <si>
    <t>Lomtalanításról és Zöldterület-kezelésről átcsoportosítás rágcsálóirtásra és üzemeltetési anyagok áfájára</t>
  </si>
  <si>
    <t xml:space="preserve">3307/6. hrsz. Batthyány utca 2. szám alatti ingatlan értékesítése </t>
  </si>
  <si>
    <t>134                        Fő út 35. Gyermekorvosi rendelő pályázat BELÜLI (előző évi maradvány: 330.331,- Ft)</t>
  </si>
  <si>
    <t>148                       Parti sétány és tanösvény BELÜLI</t>
  </si>
  <si>
    <t>Temető fenntartáson és Temetkezésen rovatok közötti módosítás telefondíjra, honlapszerkesztésre és villanyszerelési munkálatokra</t>
  </si>
  <si>
    <t>DMTK működési támogatásról átcsoportosítás felhalmozási támogatásra számlaelszámolás alapján</t>
  </si>
  <si>
    <t>561.</t>
  </si>
  <si>
    <t>Intézményi ingatlanok különféle karbantartási kerete tartalékból átcsoportosítás Városi Bölcsőde új tagintézmény kerttervezésére</t>
  </si>
  <si>
    <t>Kulturális ágazatban közfeladatot ellátók 20%-os béremelésére kapott támogatás részgazdák közötti technikai helyesbítése</t>
  </si>
  <si>
    <t>082094        Közművelődés-kulturális alapú gazdaságfejlesztés</t>
  </si>
  <si>
    <t>005                                    Kulturális bérfejlesztés támogatása 682/2021. (XII.6.) Korm. r.</t>
  </si>
  <si>
    <t>005                                Kulturális bérfejlesztés támogatása 682/2021. (XII.6.) Korm. r.</t>
  </si>
  <si>
    <t>007                                    Kulturális bérfejlesztés támogatása 682/2021. (XII.6.) Korm. r.</t>
  </si>
  <si>
    <t>007                              Kulturális bérfejlesztés támogatása 682/2021. (XII.6.) Korm. r.</t>
  </si>
  <si>
    <t>562.</t>
  </si>
  <si>
    <t>Nettó állami finanszírozás és bérkönyvelés kerekítési különbözetének átvezetése Biztos bevétel tartalékba</t>
  </si>
  <si>
    <t>Temető fenntartáson rovatok közötti módosítás parcellajelző táblák beszerzésére</t>
  </si>
  <si>
    <t xml:space="preserve">Adóügyi feladatokon rovatok közötti módosítás postaköltségre </t>
  </si>
  <si>
    <t>Biztos bevétel tartalékból átcsoportosítás befizetendő áfára</t>
  </si>
  <si>
    <t>Polgármester rendelkezése tartalékból átcsoportosítás Terembura Szerepkör támogatására</t>
  </si>
  <si>
    <t>Terembura Szerepkör támogatása</t>
  </si>
  <si>
    <t>Szennyvíz és ivóvíz bérleti díj felhasználáson bevételek év végi rendezése</t>
  </si>
  <si>
    <t>Temető fenntartáson és Temetkezésen bevételek év végi rendezése</t>
  </si>
  <si>
    <t>Városi piacon bevételek év végi rendezése</t>
  </si>
  <si>
    <t>Továbbszámlázáson és önkormányzati adókon bevételek év végi rendezése (kiadás oldal: Biztos bevétel tartaléka)</t>
  </si>
  <si>
    <t>Ingatlanértékesítésen bevételek év végi rendezése (kiadás oldal: Biztos bevétel tartaléka)</t>
  </si>
  <si>
    <t>77.      78.</t>
  </si>
  <si>
    <t>Közterület-használat, reklámtábla feladaton bevételek év végi rendezése (kiadás oldal: Biztos bevétel tartaléka)</t>
  </si>
  <si>
    <t>77.       78.</t>
  </si>
  <si>
    <t>Önkormányzati adóbevételek átvezetése Bizonytalan bevételek tartalékba és Környezetvédelmi számla tartalékba (talajterhelési bírság)</t>
  </si>
  <si>
    <t>Laffert-kúriával kapcsolatos feladatokon rovatok közötti módosítás közüzemi díjakra</t>
  </si>
  <si>
    <t>Bér rovatok módosítása decemberi hóközi bérkönyvelés alapján</t>
  </si>
  <si>
    <t>6.         7.</t>
  </si>
  <si>
    <t>Hétszínvirág Óvodában rovatok közötti módosítás bérek év végi rendezésére</t>
  </si>
  <si>
    <t>Sport-szigetre telepített ping-pong asztal beruházás rovatok közötti technikai helyesbítés</t>
  </si>
  <si>
    <t>2021. évi pótlólagos állami támogatás átvezetés Biztos bevétel tartalékba</t>
  </si>
  <si>
    <t>Függő bér év végi rendezése (kiadás oldal: Biztos bevétel tartaléka)</t>
  </si>
  <si>
    <t>Óvodai intézményi étkeztetésen rovatok közötti módosítás vásárolt élelmezésre</t>
  </si>
  <si>
    <t>4.        5.</t>
  </si>
  <si>
    <t>Mese Óvodán bevételek év végi rendezése</t>
  </si>
  <si>
    <t>Bevételek év végi rendezése</t>
  </si>
  <si>
    <t>3.       4.</t>
  </si>
  <si>
    <t>11.          12.</t>
  </si>
  <si>
    <t>Iskolai intézményi étkeztetésről átcsoportosítás Nyári napközi étkeztetésre függő bevételek év végi rendezésére</t>
  </si>
  <si>
    <t>Dunaharaszti Kisharang Református Óvoda támogatás fel nem használt felhalmozási összegének átvezetése működésre</t>
  </si>
  <si>
    <t>Új 24 tantermes iskola szennyvíznyomócső építésén részletezőkódok közötti technikai helyesbítés feljegyzés alapján</t>
  </si>
  <si>
    <t>Korrekciós tétel</t>
  </si>
  <si>
    <t>Maradvány</t>
  </si>
  <si>
    <t>2021. évi pénzmaradvány</t>
  </si>
  <si>
    <t>2022. évi bizonyos 36-os számlák forgalma</t>
  </si>
  <si>
    <t>FORGALOM</t>
  </si>
  <si>
    <t>korrigált pénzmaradvány</t>
  </si>
  <si>
    <t>előző évi nyitó</t>
  </si>
  <si>
    <t>előző évi korrekciós tételt</t>
  </si>
  <si>
    <t xml:space="preserve">TOP_PLUSZ-1.2.1-21-PT1-2022-00013: Dunaharaszti-Taksony kerékpárút építése </t>
  </si>
  <si>
    <t>BMÖGF/1166/2021.  „Bezerédi Szabadidő- és Sportpark kialakítása; tanösvény kialakítása megvalósítása)”</t>
  </si>
  <si>
    <t xml:space="preserve">BMÖFT/1-6/2022.
 Dunaharaszti Városi Bölcsőde fejlesztése (vizesblokk felújítás)
</t>
  </si>
  <si>
    <t>2022. évben várható/befolyt támogatási összeg</t>
  </si>
  <si>
    <r>
      <t xml:space="preserve"> </t>
    </r>
    <r>
      <rPr>
        <b/>
        <sz val="10"/>
        <rFont val="Garamond"/>
        <family val="1"/>
        <charset val="238"/>
      </rPr>
      <t xml:space="preserve"> Bezerédi Szabadidő- és Sportpark kialakítása, tanösvény kialakítása megvalósítása</t>
    </r>
    <r>
      <rPr>
        <sz val="10"/>
        <rFont val="Garamond"/>
        <family val="1"/>
        <charset val="238"/>
      </rPr>
      <t xml:space="preserve"> BMÖGF/1166/2021.</t>
    </r>
  </si>
  <si>
    <t>2021</t>
  </si>
  <si>
    <r>
      <t xml:space="preserve">Dunaharaszti-Taksony kerékpárút építése </t>
    </r>
    <r>
      <rPr>
        <sz val="10"/>
        <rFont val="Garamond"/>
        <family val="1"/>
        <charset val="238"/>
      </rPr>
      <t xml:space="preserve">TOP_PLUSZ-1.2.1-21-PT1-2022-00013 </t>
    </r>
  </si>
  <si>
    <t>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</si>
</sst>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0\ &quot;Ft&quot;;\-#,##0\ &quot;Ft&quot;"/>
    <numFmt numFmtId="44" formatCode="_-* #,##0.00\ &quot;Ft&quot;_-;\-* #,##0.00\ &quot;Ft&quot;_-;_-* &quot;-&quot;??\ &quot;Ft&quot;_-;_-@_-"/>
    <numFmt numFmtId="43" formatCode="_-* #,##0.00\ _F_t_-;\-* #,##0.00\ _F_t_-;_-* &quot;-&quot;??\ _F_t_-;_-@_-"/>
    <numFmt numFmtId="164" formatCode="00"/>
    <numFmt numFmtId="165" formatCode="\ ##########"/>
    <numFmt numFmtId="166" formatCode="_-* #,##0\ _F_t_-;\-* #,##0\ _F_t_-;_-* \-??\ _F_t_-;_-@_-"/>
    <numFmt numFmtId="167" formatCode="_-* #,##0\ _F_t_-;\-* #,##0\ _F_t_-;_-* &quot;-&quot;??\ _F_t_-;_-@_-"/>
    <numFmt numFmtId="168" formatCode="_-* #,##0.0\ _F_t_-;\-* #,##0.0\ _F_t_-;_-* &quot;-&quot;??\ _F_t_-;_-@_-"/>
    <numFmt numFmtId="169" formatCode="#,##0\ &quot;Ft&quot;"/>
    <numFmt numFmtId="170" formatCode="_-* #,##0\ &quot;Ft&quot;_-;\-* #,##0\ &quot;Ft&quot;_-;_-* &quot;-&quot;??\ &quot;Ft&quot;_-;_-@_-"/>
    <numFmt numFmtId="171" formatCode="#,##0.00_ ;\-#,##0.00\ "/>
    <numFmt numFmtId="172" formatCode="#,##0.0_ ;\-#,##0.0\ "/>
    <numFmt numFmtId="173" formatCode="#,###"/>
    <numFmt numFmtId="174" formatCode="#,##0\ _F_t"/>
    <numFmt numFmtId="175" formatCode="#,##0_ ;\-#,##0\ "/>
  </numFmts>
  <fonts count="102"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2"/>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Arial CE"/>
      <charset val="238"/>
    </font>
    <font>
      <sz val="12"/>
      <color indexed="8"/>
      <name val="Garamond"/>
      <family val="1"/>
      <charset val="238"/>
    </font>
    <font>
      <b/>
      <sz val="12"/>
      <color indexed="8"/>
      <name val="Garamond"/>
      <family val="1"/>
      <charset val="238"/>
    </font>
    <font>
      <sz val="12"/>
      <name val="Garamond"/>
      <family val="1"/>
      <charset val="238"/>
    </font>
    <font>
      <b/>
      <sz val="12"/>
      <name val="Garamond"/>
      <family val="1"/>
      <charset val="238"/>
    </font>
    <font>
      <sz val="10"/>
      <name val="Garamond"/>
      <family val="1"/>
      <charset val="238"/>
    </font>
    <font>
      <b/>
      <sz val="10"/>
      <name val="Garamond"/>
      <family val="1"/>
      <charset val="238"/>
    </font>
    <font>
      <b/>
      <sz val="11"/>
      <name val="Garamond"/>
      <family val="1"/>
      <charset val="238"/>
    </font>
    <font>
      <sz val="11"/>
      <name val="Garamond"/>
      <family val="1"/>
      <charset val="238"/>
    </font>
    <font>
      <b/>
      <sz val="14"/>
      <name val="Garamond"/>
      <family val="1"/>
      <charset val="238"/>
    </font>
    <font>
      <b/>
      <i/>
      <sz val="12"/>
      <color indexed="8"/>
      <name val="Garamond"/>
      <family val="1"/>
      <charset val="238"/>
    </font>
    <font>
      <i/>
      <sz val="12"/>
      <color indexed="8"/>
      <name val="Garamond"/>
      <family val="1"/>
      <charset val="238"/>
    </font>
    <font>
      <b/>
      <i/>
      <sz val="12"/>
      <name val="Garamond"/>
      <family val="1"/>
      <charset val="238"/>
    </font>
    <font>
      <sz val="10"/>
      <name val="Arial"/>
      <family val="2"/>
      <charset val="238"/>
    </font>
    <font>
      <b/>
      <sz val="10"/>
      <name val="Arial"/>
      <family val="2"/>
      <charset val="238"/>
    </font>
    <font>
      <sz val="8"/>
      <color indexed="8"/>
      <name val="Arial"/>
      <family val="2"/>
      <charset val="238"/>
    </font>
    <font>
      <b/>
      <sz val="10"/>
      <name val="Arial"/>
      <family val="2"/>
      <charset val="238"/>
    </font>
    <font>
      <sz val="11"/>
      <color indexed="8"/>
      <name val="Garamond"/>
      <family val="1"/>
      <charset val="238"/>
    </font>
    <font>
      <b/>
      <sz val="11"/>
      <color indexed="8"/>
      <name val="Garamond"/>
      <family val="1"/>
      <charset val="238"/>
    </font>
    <font>
      <sz val="8"/>
      <name val="Arial CE"/>
      <charset val="238"/>
    </font>
    <font>
      <sz val="12"/>
      <name val="Arial CE"/>
      <charset val="238"/>
    </font>
    <font>
      <sz val="11"/>
      <color indexed="8"/>
      <name val="Calibri"/>
      <family val="2"/>
      <charset val="238"/>
    </font>
    <font>
      <sz val="12"/>
      <color indexed="53"/>
      <name val="Garamond"/>
      <family val="1"/>
      <charset val="238"/>
    </font>
    <font>
      <b/>
      <sz val="13"/>
      <name val="Garamond"/>
      <family val="1"/>
      <charset val="238"/>
    </font>
    <font>
      <b/>
      <sz val="10"/>
      <name val="Arial CE"/>
      <charset val="238"/>
    </font>
    <font>
      <sz val="12"/>
      <color indexed="17"/>
      <name val="Garamond"/>
      <family val="1"/>
      <charset val="238"/>
    </font>
    <font>
      <sz val="12"/>
      <color indexed="10"/>
      <name val="Garamond"/>
      <family val="1"/>
      <charset val="238"/>
    </font>
    <font>
      <sz val="10"/>
      <name val="Times New Roman CE"/>
      <charset val="238"/>
    </font>
    <font>
      <sz val="10"/>
      <color indexed="8"/>
      <name val="Garamond"/>
      <family val="1"/>
      <charset val="238"/>
    </font>
    <font>
      <b/>
      <sz val="10"/>
      <color indexed="8"/>
      <name val="Garamond"/>
      <family val="1"/>
      <charset val="238"/>
    </font>
    <font>
      <b/>
      <i/>
      <sz val="10"/>
      <name val="Garamond"/>
      <family val="1"/>
      <charset val="238"/>
    </font>
    <font>
      <i/>
      <sz val="10"/>
      <name val="Garamond"/>
      <family val="1"/>
      <charset val="238"/>
    </font>
    <font>
      <b/>
      <sz val="14"/>
      <color indexed="8"/>
      <name val="Garamond"/>
      <family val="1"/>
      <charset val="238"/>
    </font>
    <font>
      <b/>
      <i/>
      <sz val="11"/>
      <color indexed="8"/>
      <name val="Garamond"/>
      <family val="1"/>
      <charset val="238"/>
    </font>
    <font>
      <i/>
      <sz val="11"/>
      <color indexed="8"/>
      <name val="Garamond"/>
      <family val="1"/>
      <charset val="238"/>
    </font>
    <font>
      <sz val="14"/>
      <color indexed="8"/>
      <name val="Garamond"/>
      <family val="1"/>
      <charset val="238"/>
    </font>
    <font>
      <sz val="14"/>
      <name val="Garamond"/>
      <family val="1"/>
      <charset val="238"/>
    </font>
    <font>
      <sz val="14"/>
      <name val="Arial CE"/>
      <charset val="238"/>
    </font>
    <font>
      <b/>
      <sz val="9"/>
      <name val="Garamond"/>
      <family val="1"/>
      <charset val="238"/>
    </font>
    <font>
      <i/>
      <sz val="12"/>
      <name val="Garamond"/>
      <family val="1"/>
      <charset val="238"/>
    </font>
    <font>
      <i/>
      <sz val="10"/>
      <name val="Arial CE"/>
      <charset val="238"/>
    </font>
    <font>
      <b/>
      <i/>
      <sz val="10"/>
      <name val="Times New Roman CE"/>
      <family val="1"/>
      <charset val="238"/>
    </font>
    <font>
      <b/>
      <sz val="11"/>
      <name val="Arial CE"/>
      <family val="2"/>
      <charset val="238"/>
    </font>
    <font>
      <sz val="8"/>
      <name val="Arial CE"/>
      <family val="2"/>
      <charset val="238"/>
    </font>
    <font>
      <sz val="9"/>
      <name val="Arial CE"/>
      <family val="2"/>
      <charset val="238"/>
    </font>
    <font>
      <b/>
      <sz val="8"/>
      <name val="Arial CE"/>
      <family val="2"/>
      <charset val="238"/>
    </font>
    <font>
      <sz val="10"/>
      <name val="Arial CE"/>
      <family val="2"/>
      <charset val="238"/>
    </font>
    <font>
      <sz val="7"/>
      <name val="Arial CE"/>
      <family val="2"/>
      <charset val="238"/>
    </font>
    <font>
      <sz val="6"/>
      <name val="Arial CE"/>
      <family val="2"/>
      <charset val="238"/>
    </font>
    <font>
      <b/>
      <i/>
      <sz val="7"/>
      <name val="Arial CE"/>
      <charset val="238"/>
    </font>
    <font>
      <b/>
      <i/>
      <sz val="9"/>
      <name val="Arial CE"/>
      <charset val="238"/>
    </font>
    <font>
      <b/>
      <i/>
      <sz val="8"/>
      <name val="Arial CE"/>
      <charset val="238"/>
    </font>
    <font>
      <b/>
      <sz val="11"/>
      <color indexed="10"/>
      <name val="Garamond"/>
      <family val="1"/>
      <charset val="238"/>
    </font>
    <font>
      <b/>
      <sz val="8"/>
      <color indexed="8"/>
      <name val="Garamond"/>
      <family val="1"/>
      <charset val="238"/>
    </font>
    <font>
      <sz val="8"/>
      <color indexed="8"/>
      <name val="Garamond"/>
      <family val="1"/>
      <charset val="238"/>
    </font>
    <font>
      <sz val="11"/>
      <color theme="1"/>
      <name val="Calibri"/>
      <family val="2"/>
      <charset val="238"/>
      <scheme val="minor"/>
    </font>
    <font>
      <sz val="11"/>
      <color theme="1"/>
      <name val="Calibri"/>
      <family val="2"/>
      <scheme val="minor"/>
    </font>
    <font>
      <b/>
      <sz val="10"/>
      <color theme="1"/>
      <name val="Garamond"/>
      <family val="1"/>
      <charset val="238"/>
    </font>
    <font>
      <sz val="10"/>
      <color theme="1"/>
      <name val="Garamond"/>
      <family val="1"/>
      <charset val="238"/>
    </font>
    <font>
      <b/>
      <sz val="14"/>
      <color rgb="FFFF0000"/>
      <name val="Garamond"/>
      <family val="1"/>
      <charset val="238"/>
    </font>
    <font>
      <b/>
      <sz val="12"/>
      <color theme="1"/>
      <name val="Garamond"/>
      <family val="1"/>
      <charset val="238"/>
    </font>
    <font>
      <sz val="10"/>
      <color rgb="FFFF0000"/>
      <name val="Arial CE"/>
      <charset val="238"/>
    </font>
    <font>
      <sz val="11"/>
      <color theme="1"/>
      <name val="Garamond"/>
      <family val="1"/>
      <charset val="238"/>
    </font>
    <font>
      <b/>
      <sz val="14"/>
      <color theme="1"/>
      <name val="Garamond"/>
      <family val="1"/>
      <charset val="238"/>
    </font>
    <font>
      <b/>
      <sz val="11"/>
      <color theme="1"/>
      <name val="Garamond"/>
      <family val="1"/>
      <charset val="238"/>
    </font>
    <font>
      <b/>
      <i/>
      <sz val="14"/>
      <color theme="1"/>
      <name val="Garamond"/>
      <family val="1"/>
      <charset val="238"/>
    </font>
    <font>
      <b/>
      <i/>
      <sz val="12"/>
      <color theme="1"/>
      <name val="Garamond"/>
      <family val="1"/>
      <charset val="238"/>
    </font>
    <font>
      <b/>
      <i/>
      <sz val="11"/>
      <name val="Garamond"/>
      <family val="1"/>
      <charset val="238"/>
    </font>
    <font>
      <b/>
      <i/>
      <sz val="11"/>
      <color theme="1"/>
      <name val="Garamond"/>
      <family val="1"/>
      <charset val="238"/>
    </font>
    <font>
      <sz val="14"/>
      <name val="Arial"/>
      <family val="2"/>
      <charset val="238"/>
    </font>
    <font>
      <b/>
      <i/>
      <sz val="14"/>
      <color indexed="8"/>
      <name val="Garamond"/>
      <family val="1"/>
      <charset val="238"/>
    </font>
    <font>
      <strike/>
      <sz val="11"/>
      <color indexed="8"/>
      <name val="Garamond"/>
      <family val="1"/>
      <charset val="238"/>
    </font>
    <font>
      <strike/>
      <sz val="9"/>
      <name val="Garamond"/>
      <family val="1"/>
      <charset val="238"/>
    </font>
    <font>
      <sz val="9"/>
      <name val="Garamond"/>
      <family val="1"/>
      <charset val="238"/>
    </font>
    <font>
      <strike/>
      <sz val="10"/>
      <color indexed="8"/>
      <name val="Garamond"/>
      <family val="1"/>
      <charset val="238"/>
    </font>
    <font>
      <strike/>
      <sz val="10"/>
      <name val="Garamond"/>
      <family val="1"/>
      <charset val="23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7030A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1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hair">
        <color indexed="64"/>
      </right>
      <top/>
      <bottom/>
      <diagonal/>
    </border>
    <border>
      <left style="medium">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right/>
      <top style="thin">
        <color indexed="64"/>
      </top>
      <bottom style="hair">
        <color indexed="64"/>
      </bottom>
      <diagonal/>
    </border>
    <border>
      <left style="thin">
        <color indexed="8"/>
      </left>
      <right/>
      <top/>
      <bottom/>
      <diagonal/>
    </border>
    <border>
      <left style="thin">
        <color indexed="64"/>
      </left>
      <right style="thin">
        <color indexed="64"/>
      </right>
      <top style="thin">
        <color indexed="8"/>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64"/>
      </right>
      <top style="thin">
        <color indexed="64"/>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thin">
        <color indexed="64"/>
      </right>
      <top style="hair">
        <color indexed="8"/>
      </top>
      <bottom style="hair">
        <color indexed="8"/>
      </bottom>
      <diagonal/>
    </border>
    <border>
      <left style="thin">
        <color indexed="8"/>
      </left>
      <right style="thin">
        <color indexed="8"/>
      </right>
      <top style="hair">
        <color indexed="8"/>
      </top>
      <bottom style="thin">
        <color indexed="64"/>
      </bottom>
      <diagonal/>
    </border>
    <border>
      <left style="thin">
        <color indexed="8"/>
      </left>
      <right style="thin">
        <color indexed="8"/>
      </right>
      <top style="hair">
        <color indexed="64"/>
      </top>
      <bottom style="thin">
        <color indexed="64"/>
      </bottom>
      <diagonal/>
    </border>
    <border>
      <left style="thin">
        <color indexed="8"/>
      </left>
      <right style="thin">
        <color indexed="64"/>
      </right>
      <top style="hair">
        <color indexed="8"/>
      </top>
      <bottom style="thin">
        <color indexed="64"/>
      </bottom>
      <diagonal/>
    </border>
    <border>
      <left style="thin">
        <color indexed="64"/>
      </left>
      <right style="thin">
        <color indexed="64"/>
      </right>
      <top style="hair">
        <color indexed="64"/>
      </top>
      <bottom style="hair">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hair">
        <color indexed="8"/>
      </bottom>
      <diagonal/>
    </border>
    <border>
      <left style="thin">
        <color indexed="8"/>
      </left>
      <right style="thin">
        <color indexed="64"/>
      </right>
      <top style="hair">
        <color indexed="8"/>
      </top>
      <bottom style="thin">
        <color indexed="8"/>
      </bottom>
      <diagonal/>
    </border>
    <border>
      <left/>
      <right style="hair">
        <color indexed="64"/>
      </right>
      <top style="hair">
        <color indexed="64"/>
      </top>
      <bottom/>
      <diagonal/>
    </border>
    <border>
      <left style="hair">
        <color indexed="64"/>
      </left>
      <right/>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thin">
        <color indexed="8"/>
      </right>
      <top style="thin">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8"/>
      </left>
      <right style="thin">
        <color indexed="8"/>
      </right>
      <top/>
      <bottom style="hair">
        <color indexed="64"/>
      </bottom>
      <diagonal/>
    </border>
    <border>
      <left/>
      <right style="hair">
        <color indexed="64"/>
      </right>
      <top style="hair">
        <color indexed="64"/>
      </top>
      <bottom style="thin">
        <color indexed="64"/>
      </bottom>
      <diagonal/>
    </border>
    <border>
      <left/>
      <right/>
      <top style="thin">
        <color indexed="8"/>
      </top>
      <bottom style="thin">
        <color indexed="8"/>
      </bottom>
      <diagonal/>
    </border>
    <border>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medium">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style="thin">
        <color indexed="8"/>
      </top>
      <bottom style="hair">
        <color indexed="64"/>
      </bottom>
      <diagonal/>
    </border>
    <border>
      <left style="thin">
        <color indexed="64"/>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8"/>
      </right>
      <top style="thin">
        <color indexed="64"/>
      </top>
      <bottom style="double">
        <color indexed="64"/>
      </bottom>
      <diagonal/>
    </border>
    <border>
      <left style="thin">
        <color indexed="8"/>
      </left>
      <right style="thin">
        <color indexed="64"/>
      </right>
      <top style="thin">
        <color indexed="64"/>
      </top>
      <bottom/>
      <diagonal/>
    </border>
    <border>
      <left style="thin">
        <color indexed="64"/>
      </left>
      <right/>
      <top/>
      <bottom style="double">
        <color indexed="64"/>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diagonal/>
    </border>
  </borders>
  <cellStyleXfs count="95">
    <xf numFmtId="0" fontId="0" fillId="0" borderId="0"/>
    <xf numFmtId="0" fontId="8" fillId="2" borderId="0" applyNumberFormat="0" applyBorder="0" applyAlignment="0" applyProtection="0"/>
    <xf numFmtId="0" fontId="5" fillId="2" borderId="0" applyNumberFormat="0" applyBorder="0" applyAlignment="0" applyProtection="0"/>
    <xf numFmtId="0" fontId="8" fillId="3" borderId="0" applyNumberFormat="0" applyBorder="0" applyAlignment="0" applyProtection="0"/>
    <xf numFmtId="0" fontId="5" fillId="3" borderId="0" applyNumberFormat="0" applyBorder="0" applyAlignment="0" applyProtection="0"/>
    <xf numFmtId="0" fontId="8" fillId="4" borderId="0" applyNumberFormat="0" applyBorder="0" applyAlignment="0" applyProtection="0"/>
    <xf numFmtId="0" fontId="5" fillId="4" borderId="0" applyNumberFormat="0" applyBorder="0" applyAlignment="0" applyProtection="0"/>
    <xf numFmtId="0" fontId="8" fillId="5" borderId="0" applyNumberFormat="0" applyBorder="0" applyAlignment="0" applyProtection="0"/>
    <xf numFmtId="0" fontId="5" fillId="5" borderId="0" applyNumberFormat="0" applyBorder="0" applyAlignment="0" applyProtection="0"/>
    <xf numFmtId="0" fontId="8" fillId="6" borderId="0" applyNumberFormat="0" applyBorder="0" applyAlignment="0" applyProtection="0"/>
    <xf numFmtId="0" fontId="5" fillId="6" borderId="0" applyNumberFormat="0" applyBorder="0" applyAlignment="0" applyProtection="0"/>
    <xf numFmtId="0" fontId="8" fillId="7" borderId="0" applyNumberFormat="0" applyBorder="0" applyAlignment="0" applyProtection="0"/>
    <xf numFmtId="0" fontId="5" fillId="7" borderId="0" applyNumberFormat="0" applyBorder="0" applyAlignment="0" applyProtection="0"/>
    <xf numFmtId="0" fontId="8" fillId="8" borderId="0" applyNumberFormat="0" applyBorder="0" applyAlignment="0" applyProtection="0"/>
    <xf numFmtId="0" fontId="5" fillId="8" borderId="0" applyNumberFormat="0" applyBorder="0" applyAlignment="0" applyProtection="0"/>
    <xf numFmtId="0" fontId="8" fillId="9" borderId="0" applyNumberFormat="0" applyBorder="0" applyAlignment="0" applyProtection="0"/>
    <xf numFmtId="0" fontId="5" fillId="9" borderId="0" applyNumberFormat="0" applyBorder="0" applyAlignment="0" applyProtection="0"/>
    <xf numFmtId="0" fontId="8" fillId="10" borderId="0" applyNumberFormat="0" applyBorder="0" applyAlignment="0" applyProtection="0"/>
    <xf numFmtId="0" fontId="5" fillId="10" borderId="0" applyNumberFormat="0" applyBorder="0" applyAlignment="0" applyProtection="0"/>
    <xf numFmtId="0" fontId="8" fillId="5" borderId="0" applyNumberFormat="0" applyBorder="0" applyAlignment="0" applyProtection="0"/>
    <xf numFmtId="0" fontId="5" fillId="5" borderId="0" applyNumberFormat="0" applyBorder="0" applyAlignment="0" applyProtection="0"/>
    <xf numFmtId="0" fontId="8" fillId="8" borderId="0" applyNumberFormat="0" applyBorder="0" applyAlignment="0" applyProtection="0"/>
    <xf numFmtId="0" fontId="5" fillId="8" borderId="0" applyNumberFormat="0" applyBorder="0" applyAlignment="0" applyProtection="0"/>
    <xf numFmtId="0" fontId="8" fillId="11" borderId="0" applyNumberFormat="0" applyBorder="0" applyAlignment="0" applyProtection="0"/>
    <xf numFmtId="0" fontId="5"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166" fontId="7" fillId="0" borderId="0" applyFill="0" applyAlignment="0" applyProtection="0"/>
    <xf numFmtId="40"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7" fillId="0" borderId="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6" fillId="0" borderId="0" applyFon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3" borderId="0" applyNumberFormat="0" applyBorder="0" applyAlignment="0" applyProtection="0"/>
    <xf numFmtId="0" fontId="7" fillId="0" borderId="0"/>
    <xf numFmtId="0" fontId="6" fillId="0" borderId="0"/>
    <xf numFmtId="0" fontId="81" fillId="0" borderId="0"/>
    <xf numFmtId="0" fontId="26" fillId="0" borderId="0"/>
    <xf numFmtId="0" fontId="8" fillId="0" borderId="0"/>
    <xf numFmtId="0" fontId="81" fillId="0" borderId="0"/>
    <xf numFmtId="0" fontId="81" fillId="0" borderId="0"/>
    <xf numFmtId="0" fontId="81" fillId="0" borderId="0"/>
    <xf numFmtId="0" fontId="7" fillId="0" borderId="0"/>
    <xf numFmtId="0" fontId="26" fillId="0" borderId="0"/>
    <xf numFmtId="0" fontId="39" fillId="0" borderId="0"/>
    <xf numFmtId="0" fontId="6" fillId="0" borderId="0"/>
    <xf numFmtId="0" fontId="82" fillId="0" borderId="0"/>
    <xf numFmtId="0" fontId="53" fillId="0" borderId="0"/>
    <xf numFmtId="0" fontId="6" fillId="0" borderId="0"/>
    <xf numFmtId="0" fontId="21" fillId="22" borderId="7" applyNumberFormat="0" applyFont="0" applyAlignment="0" applyProtection="0"/>
    <xf numFmtId="0" fontId="6" fillId="22" borderId="7" applyNumberFormat="0" applyFont="0" applyAlignment="0" applyProtection="0"/>
    <xf numFmtId="0" fontId="22" fillId="20" borderId="8" applyNumberFormat="0" applyAlignment="0" applyProtection="0"/>
    <xf numFmtId="44" fontId="26"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9" fontId="26" fillId="0" borderId="0" applyFont="0" applyFill="0" applyBorder="0" applyAlignment="0" applyProtection="0"/>
    <xf numFmtId="9" fontId="7" fillId="0" borderId="0" applyFill="0" applyBorder="0" applyAlignment="0" applyProtection="0"/>
    <xf numFmtId="9" fontId="47" fillId="0" borderId="0" applyFont="0" applyFill="0" applyBorder="0" applyAlignment="0" applyProtection="0"/>
    <xf numFmtId="9" fontId="5"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44" fontId="2" fillId="0" borderId="0" applyFont="0" applyFill="0" applyBorder="0" applyAlignment="0" applyProtection="0"/>
  </cellStyleXfs>
  <cellXfs count="2145">
    <xf numFmtId="0" fontId="0" fillId="0" borderId="0" xfId="0"/>
    <xf numFmtId="165" fontId="28" fillId="24" borderId="10" xfId="0" applyNumberFormat="1" applyFont="1" applyFill="1" applyBorder="1" applyAlignment="1">
      <alignment vertical="center"/>
    </xf>
    <xf numFmtId="0" fontId="28" fillId="24" borderId="0" xfId="0" applyFont="1" applyFill="1"/>
    <xf numFmtId="0" fontId="29" fillId="24" borderId="0" xfId="0" applyFont="1" applyFill="1"/>
    <xf numFmtId="0" fontId="27" fillId="24" borderId="0" xfId="0" applyFont="1" applyFill="1"/>
    <xf numFmtId="164" fontId="27" fillId="24" borderId="0" xfId="0" applyNumberFormat="1" applyFont="1" applyFill="1"/>
    <xf numFmtId="167" fontId="27" fillId="24" borderId="10" xfId="41" applyNumberFormat="1" applyFont="1" applyFill="1" applyBorder="1"/>
    <xf numFmtId="167" fontId="28" fillId="24" borderId="10" xfId="41" applyNumberFormat="1" applyFont="1" applyFill="1" applyBorder="1"/>
    <xf numFmtId="164" fontId="28" fillId="24" borderId="10" xfId="0" quotePrefix="1" applyNumberFormat="1" applyFont="1" applyFill="1" applyBorder="1" applyAlignment="1">
      <alignment horizontal="center" vertical="center"/>
    </xf>
    <xf numFmtId="0" fontId="31" fillId="0" borderId="0" xfId="0" applyFont="1"/>
    <xf numFmtId="0" fontId="32" fillId="0" borderId="0" xfId="0" applyFont="1"/>
    <xf numFmtId="0" fontId="30" fillId="0" borderId="0" xfId="0" applyFont="1"/>
    <xf numFmtId="0" fontId="31" fillId="0" borderId="12" xfId="0" applyFont="1" applyBorder="1" applyAlignment="1">
      <alignment horizontal="center" vertical="center"/>
    </xf>
    <xf numFmtId="167" fontId="27" fillId="24" borderId="0" xfId="0" applyNumberFormat="1" applyFont="1" applyFill="1"/>
    <xf numFmtId="167" fontId="31" fillId="0" borderId="0" xfId="0" applyNumberFormat="1" applyFont="1"/>
    <xf numFmtId="165" fontId="36" fillId="24" borderId="10" xfId="0" applyNumberFormat="1" applyFont="1" applyFill="1" applyBorder="1" applyAlignment="1">
      <alignment vertical="center"/>
    </xf>
    <xf numFmtId="0" fontId="36" fillId="24" borderId="0" xfId="0" applyFont="1" applyFill="1"/>
    <xf numFmtId="0" fontId="37" fillId="24" borderId="0" xfId="0" applyFont="1" applyFill="1"/>
    <xf numFmtId="0" fontId="31" fillId="0" borderId="0" xfId="0" applyFont="1" applyAlignment="1">
      <alignment wrapText="1"/>
    </xf>
    <xf numFmtId="167" fontId="27" fillId="24" borderId="0" xfId="41" applyNumberFormat="1" applyFont="1" applyFill="1" applyBorder="1"/>
    <xf numFmtId="0" fontId="31" fillId="24" borderId="0" xfId="0" applyFont="1" applyFill="1"/>
    <xf numFmtId="0" fontId="39" fillId="24" borderId="0" xfId="71" applyFill="1"/>
    <xf numFmtId="167" fontId="26" fillId="24" borderId="0" xfId="49" applyNumberFormat="1" applyFont="1" applyFill="1"/>
    <xf numFmtId="0" fontId="28" fillId="24" borderId="10" xfId="71" applyFont="1" applyFill="1" applyBorder="1" applyAlignment="1">
      <alignment vertical="center" wrapText="1"/>
    </xf>
    <xf numFmtId="1" fontId="27" fillId="24" borderId="10" xfId="71" applyNumberFormat="1" applyFont="1" applyFill="1" applyBorder="1" applyAlignment="1">
      <alignment horizontal="center" vertical="center"/>
    </xf>
    <xf numFmtId="0" fontId="27" fillId="24" borderId="10" xfId="71" applyFont="1" applyFill="1" applyBorder="1" applyAlignment="1">
      <alignment horizontal="center" vertical="center"/>
    </xf>
    <xf numFmtId="164" fontId="28" fillId="24" borderId="10" xfId="71" quotePrefix="1" applyNumberFormat="1" applyFont="1" applyFill="1" applyBorder="1" applyAlignment="1">
      <alignment horizontal="center" vertical="center"/>
    </xf>
    <xf numFmtId="165" fontId="28" fillId="24" borderId="10" xfId="71" applyNumberFormat="1" applyFont="1" applyFill="1" applyBorder="1" applyAlignment="1">
      <alignment vertical="center"/>
    </xf>
    <xf numFmtId="0" fontId="28" fillId="24" borderId="10" xfId="71" applyFont="1" applyFill="1" applyBorder="1" applyAlignment="1">
      <alignment horizontal="left" vertical="center" wrapText="1"/>
    </xf>
    <xf numFmtId="0" fontId="30" fillId="24" borderId="10" xfId="71" applyFont="1" applyFill="1" applyBorder="1" applyAlignment="1">
      <alignment horizontal="left" vertical="center" wrapText="1"/>
    </xf>
    <xf numFmtId="0" fontId="38" fillId="24" borderId="10" xfId="71" applyFont="1" applyFill="1" applyBorder="1" applyAlignment="1">
      <alignment horizontal="left" vertical="center" wrapText="1"/>
    </xf>
    <xf numFmtId="165" fontId="36" fillId="24" borderId="10" xfId="71" applyNumberFormat="1" applyFont="1" applyFill="1" applyBorder="1" applyAlignment="1">
      <alignment vertical="center"/>
    </xf>
    <xf numFmtId="0" fontId="28" fillId="24" borderId="10" xfId="71" applyFont="1" applyFill="1" applyBorder="1" applyAlignment="1">
      <alignment horizontal="left" vertical="center"/>
    </xf>
    <xf numFmtId="0" fontId="36" fillId="24" borderId="10" xfId="71" applyFont="1" applyFill="1" applyBorder="1" applyAlignment="1">
      <alignment horizontal="left" vertical="center"/>
    </xf>
    <xf numFmtId="0" fontId="28" fillId="24" borderId="10" xfId="71" applyFont="1" applyFill="1" applyBorder="1" applyAlignment="1">
      <alignment horizontal="right" vertical="center"/>
    </xf>
    <xf numFmtId="0" fontId="42" fillId="24" borderId="0" xfId="71" applyFont="1" applyFill="1"/>
    <xf numFmtId="0" fontId="40" fillId="24" borderId="0" xfId="71" applyFont="1" applyFill="1"/>
    <xf numFmtId="0" fontId="27" fillId="24" borderId="0" xfId="0" applyFont="1" applyFill="1" applyAlignment="1">
      <alignment horizontal="right"/>
    </xf>
    <xf numFmtId="0" fontId="31" fillId="24" borderId="0" xfId="0" applyFont="1" applyFill="1" applyAlignment="1">
      <alignment horizontal="center"/>
    </xf>
    <xf numFmtId="0" fontId="32" fillId="24" borderId="0" xfId="0" applyFont="1" applyFill="1"/>
    <xf numFmtId="167" fontId="31" fillId="24" borderId="0" xfId="41" applyNumberFormat="1" applyFont="1" applyFill="1"/>
    <xf numFmtId="0" fontId="31" fillId="24" borderId="0" xfId="0" applyFont="1" applyFill="1" applyAlignment="1">
      <alignment horizontal="right"/>
    </xf>
    <xf numFmtId="0" fontId="31" fillId="24" borderId="14" xfId="0" applyFont="1" applyFill="1" applyBorder="1" applyAlignment="1">
      <alignment horizontal="center" vertical="center"/>
    </xf>
    <xf numFmtId="167" fontId="32" fillId="24" borderId="18" xfId="41" applyNumberFormat="1" applyFont="1" applyFill="1" applyBorder="1" applyAlignment="1">
      <alignment horizontal="center" vertical="center" wrapText="1"/>
    </xf>
    <xf numFmtId="167" fontId="32" fillId="24" borderId="19" xfId="41" applyNumberFormat="1" applyFont="1" applyFill="1" applyBorder="1" applyAlignment="1">
      <alignment horizontal="center" vertical="center" wrapText="1"/>
    </xf>
    <xf numFmtId="0" fontId="31" fillId="24" borderId="20" xfId="0" applyFont="1" applyFill="1" applyBorder="1" applyAlignment="1">
      <alignment horizontal="center" vertical="center"/>
    </xf>
    <xf numFmtId="0" fontId="31" fillId="24" borderId="21" xfId="0" applyFont="1" applyFill="1" applyBorder="1" applyAlignment="1">
      <alignment horizontal="center" vertical="center"/>
    </xf>
    <xf numFmtId="0" fontId="34" fillId="24" borderId="0" xfId="0" applyFont="1" applyFill="1"/>
    <xf numFmtId="0" fontId="28" fillId="24" borderId="10" xfId="0" applyFont="1" applyFill="1" applyBorder="1" applyAlignment="1">
      <alignment horizontal="right" vertical="center"/>
    </xf>
    <xf numFmtId="167" fontId="31" fillId="24" borderId="0" xfId="0" applyNumberFormat="1" applyFont="1" applyFill="1"/>
    <xf numFmtId="0" fontId="31" fillId="24" borderId="23" xfId="0" applyFont="1" applyFill="1" applyBorder="1"/>
    <xf numFmtId="167" fontId="31" fillId="24" borderId="23" xfId="41" applyNumberFormat="1" applyFont="1" applyFill="1" applyBorder="1"/>
    <xf numFmtId="0" fontId="31" fillId="24" borderId="23" xfId="0" applyFont="1" applyFill="1" applyBorder="1" applyAlignment="1">
      <alignment horizontal="center"/>
    </xf>
    <xf numFmtId="0" fontId="31" fillId="24" borderId="24" xfId="0" applyFont="1" applyFill="1" applyBorder="1" applyAlignment="1">
      <alignment horizontal="center"/>
    </xf>
    <xf numFmtId="167" fontId="31" fillId="24" borderId="0" xfId="41" applyNumberFormat="1" applyFont="1" applyFill="1" applyBorder="1"/>
    <xf numFmtId="0" fontId="31" fillId="0" borderId="26" xfId="0" applyFont="1" applyBorder="1" applyAlignment="1">
      <alignment horizontal="center" vertical="center"/>
    </xf>
    <xf numFmtId="0" fontId="31" fillId="0" borderId="21" xfId="0" applyFont="1" applyBorder="1" applyAlignment="1">
      <alignment horizontal="center" vertical="center"/>
    </xf>
    <xf numFmtId="0" fontId="31" fillId="24" borderId="27" xfId="0" applyFont="1" applyFill="1" applyBorder="1" applyAlignment="1">
      <alignment horizontal="center"/>
    </xf>
    <xf numFmtId="0" fontId="31" fillId="24" borderId="0" xfId="0" applyFont="1" applyFill="1" applyAlignment="1">
      <alignment horizontal="left" vertical="center" wrapText="1"/>
    </xf>
    <xf numFmtId="0" fontId="31" fillId="24" borderId="0" xfId="0" applyFont="1" applyFill="1" applyAlignment="1">
      <alignment horizontal="center" vertical="center" wrapText="1"/>
    </xf>
    <xf numFmtId="164" fontId="28" fillId="24" borderId="28" xfId="71" quotePrefix="1" applyNumberFormat="1" applyFont="1" applyFill="1" applyBorder="1" applyAlignment="1">
      <alignment horizontal="center" vertical="center"/>
    </xf>
    <xf numFmtId="0" fontId="31" fillId="24" borderId="29" xfId="0" applyFont="1" applyFill="1" applyBorder="1" applyAlignment="1">
      <alignment horizontal="center"/>
    </xf>
    <xf numFmtId="49" fontId="27" fillId="0" borderId="10" xfId="0" applyNumberFormat="1" applyFont="1" applyBorder="1" applyAlignment="1">
      <alignment horizontal="center" vertical="center" wrapText="1"/>
    </xf>
    <xf numFmtId="167" fontId="32" fillId="24" borderId="18" xfId="41" applyNumberFormat="1" applyFont="1" applyFill="1" applyBorder="1" applyAlignment="1">
      <alignment vertical="center"/>
    </xf>
    <xf numFmtId="167" fontId="31" fillId="24" borderId="20" xfId="41" applyNumberFormat="1" applyFont="1" applyFill="1" applyBorder="1" applyAlignment="1">
      <alignment horizontal="center" vertical="center"/>
    </xf>
    <xf numFmtId="167" fontId="31" fillId="0" borderId="32" xfId="41" applyNumberFormat="1" applyFont="1" applyFill="1" applyBorder="1" applyAlignment="1">
      <alignment horizontal="center" vertical="center"/>
    </xf>
    <xf numFmtId="167" fontId="31" fillId="0" borderId="33" xfId="41" applyNumberFormat="1" applyFont="1" applyFill="1" applyBorder="1" applyAlignment="1">
      <alignment horizontal="center" vertical="center"/>
    </xf>
    <xf numFmtId="167" fontId="31" fillId="0" borderId="34" xfId="41" applyNumberFormat="1" applyFont="1" applyFill="1" applyBorder="1" applyAlignment="1">
      <alignment horizontal="center" vertical="center"/>
    </xf>
    <xf numFmtId="0" fontId="31" fillId="24" borderId="26" xfId="0" applyFont="1" applyFill="1" applyBorder="1" applyAlignment="1">
      <alignment horizontal="center" vertical="center"/>
    </xf>
    <xf numFmtId="167" fontId="31" fillId="0" borderId="34" xfId="41" applyNumberFormat="1" applyFont="1" applyFill="1" applyBorder="1" applyAlignment="1">
      <alignment horizontal="center" vertical="center" wrapText="1"/>
    </xf>
    <xf numFmtId="0" fontId="31" fillId="24" borderId="34" xfId="0" applyFont="1" applyFill="1" applyBorder="1" applyAlignment="1">
      <alignment horizontal="center" vertical="center"/>
    </xf>
    <xf numFmtId="0" fontId="31" fillId="24" borderId="35" xfId="0" applyFont="1" applyFill="1" applyBorder="1" applyAlignment="1">
      <alignment horizontal="center" vertical="center"/>
    </xf>
    <xf numFmtId="0" fontId="31" fillId="24" borderId="11" xfId="0" applyFont="1" applyFill="1" applyBorder="1" applyAlignment="1">
      <alignment horizontal="center" vertical="center"/>
    </xf>
    <xf numFmtId="0" fontId="32" fillId="24" borderId="11" xfId="0" applyFont="1" applyFill="1" applyBorder="1" applyAlignment="1">
      <alignment horizontal="center" vertical="center" wrapText="1"/>
    </xf>
    <xf numFmtId="167" fontId="31" fillId="24" borderId="14" xfId="41" applyNumberFormat="1" applyFont="1" applyFill="1" applyBorder="1" applyAlignment="1">
      <alignment horizontal="center" vertical="center"/>
    </xf>
    <xf numFmtId="0" fontId="31" fillId="24" borderId="24" xfId="0" applyFont="1" applyFill="1" applyBorder="1"/>
    <xf numFmtId="0" fontId="31" fillId="0" borderId="20" xfId="0" applyFont="1" applyBorder="1" applyAlignment="1">
      <alignment vertical="center"/>
    </xf>
    <xf numFmtId="0" fontId="31" fillId="0" borderId="17" xfId="0" applyFont="1" applyBorder="1" applyAlignment="1">
      <alignment vertical="center"/>
    </xf>
    <xf numFmtId="0" fontId="31" fillId="0" borderId="14" xfId="0" applyFont="1" applyBorder="1" applyAlignment="1">
      <alignment vertical="center"/>
    </xf>
    <xf numFmtId="167" fontId="31" fillId="0" borderId="14" xfId="41" applyNumberFormat="1" applyFont="1" applyBorder="1" applyAlignment="1">
      <alignment vertical="center"/>
    </xf>
    <xf numFmtId="167" fontId="31" fillId="0" borderId="20" xfId="41" applyNumberFormat="1" applyFont="1" applyBorder="1" applyAlignment="1">
      <alignment vertical="center"/>
    </xf>
    <xf numFmtId="167" fontId="31" fillId="0" borderId="17" xfId="41" applyNumberFormat="1" applyFont="1" applyBorder="1" applyAlignment="1">
      <alignment vertical="center"/>
    </xf>
    <xf numFmtId="0" fontId="31" fillId="0" borderId="37" xfId="0" applyFont="1" applyBorder="1" applyAlignment="1">
      <alignment horizontal="center" vertical="center"/>
    </xf>
    <xf numFmtId="0" fontId="31" fillId="0" borderId="34" xfId="0" applyFont="1" applyBorder="1" applyAlignment="1">
      <alignment horizontal="center" vertical="center"/>
    </xf>
    <xf numFmtId="167" fontId="39" fillId="24" borderId="0" xfId="71" applyNumberFormat="1" applyFill="1"/>
    <xf numFmtId="167" fontId="40" fillId="24" borderId="0" xfId="71" applyNumberFormat="1" applyFont="1" applyFill="1"/>
    <xf numFmtId="0" fontId="31" fillId="24" borderId="0" xfId="0" applyFont="1" applyFill="1" applyAlignment="1">
      <alignment horizontal="center" vertical="center"/>
    </xf>
    <xf numFmtId="0" fontId="30" fillId="24" borderId="10" xfId="0" applyFont="1" applyFill="1" applyBorder="1" applyAlignment="1">
      <alignment horizontal="center" vertical="center"/>
    </xf>
    <xf numFmtId="0" fontId="28" fillId="24" borderId="10" xfId="0" applyFont="1" applyFill="1" applyBorder="1" applyAlignment="1">
      <alignment vertical="center" wrapText="1"/>
    </xf>
    <xf numFmtId="0" fontId="27" fillId="24" borderId="10" xfId="0" applyFont="1" applyFill="1" applyBorder="1" applyAlignment="1">
      <alignment horizontal="center" vertical="center"/>
    </xf>
    <xf numFmtId="0" fontId="28" fillId="24" borderId="10" xfId="0" applyFont="1" applyFill="1" applyBorder="1" applyAlignment="1">
      <alignment horizontal="left" vertical="center" wrapText="1"/>
    </xf>
    <xf numFmtId="0" fontId="30" fillId="24" borderId="10" xfId="0" applyFont="1" applyFill="1" applyBorder="1" applyAlignment="1">
      <alignment horizontal="left" vertical="center" wrapText="1"/>
    </xf>
    <xf numFmtId="0" fontId="38" fillId="24" borderId="10" xfId="0" applyFont="1" applyFill="1" applyBorder="1" applyAlignment="1">
      <alignment horizontal="left" vertical="center" wrapText="1"/>
    </xf>
    <xf numFmtId="0" fontId="28" fillId="24" borderId="10" xfId="0" applyFont="1" applyFill="1" applyBorder="1" applyAlignment="1">
      <alignment horizontal="left" vertical="center"/>
    </xf>
    <xf numFmtId="0" fontId="36" fillId="24" borderId="10" xfId="0" applyFont="1" applyFill="1" applyBorder="1" applyAlignment="1">
      <alignment horizontal="left" vertical="center"/>
    </xf>
    <xf numFmtId="167" fontId="32" fillId="0" borderId="19" xfId="41" applyNumberFormat="1" applyFont="1" applyFill="1" applyBorder="1" applyAlignment="1">
      <alignment horizontal="center" vertical="center"/>
    </xf>
    <xf numFmtId="167" fontId="32" fillId="24" borderId="10" xfId="0" applyNumberFormat="1" applyFont="1" applyFill="1" applyBorder="1" applyAlignment="1">
      <alignment vertical="center"/>
    </xf>
    <xf numFmtId="167" fontId="31" fillId="0" borderId="13" xfId="41" applyNumberFormat="1" applyFont="1" applyFill="1" applyBorder="1" applyAlignment="1">
      <alignment horizontal="center" vertical="center"/>
    </xf>
    <xf numFmtId="167" fontId="30" fillId="24" borderId="18" xfId="41" applyNumberFormat="1" applyFont="1" applyFill="1" applyBorder="1" applyAlignment="1">
      <alignment vertical="center"/>
    </xf>
    <xf numFmtId="0" fontId="29" fillId="24" borderId="18" xfId="0" applyFont="1" applyFill="1" applyBorder="1" applyAlignment="1">
      <alignment vertical="center"/>
    </xf>
    <xf numFmtId="0" fontId="29" fillId="24" borderId="19" xfId="0" applyFont="1" applyFill="1" applyBorder="1" applyAlignment="1">
      <alignment vertical="center"/>
    </xf>
    <xf numFmtId="0" fontId="31" fillId="24" borderId="0" xfId="0" applyFont="1" applyFill="1" applyAlignment="1">
      <alignment vertical="center"/>
    </xf>
    <xf numFmtId="167" fontId="31" fillId="24" borderId="0" xfId="41" applyNumberFormat="1" applyFont="1" applyFill="1" applyAlignment="1">
      <alignment vertical="center"/>
    </xf>
    <xf numFmtId="167" fontId="32" fillId="24" borderId="39" xfId="0" applyNumberFormat="1" applyFont="1" applyFill="1" applyBorder="1" applyAlignment="1">
      <alignment vertical="center"/>
    </xf>
    <xf numFmtId="0" fontId="32" fillId="24" borderId="39" xfId="0" applyFont="1" applyFill="1" applyBorder="1" applyAlignment="1">
      <alignment vertical="center"/>
    </xf>
    <xf numFmtId="0" fontId="32" fillId="24" borderId="40" xfId="0" applyFont="1" applyFill="1" applyBorder="1" applyAlignment="1">
      <alignment vertical="center"/>
    </xf>
    <xf numFmtId="167" fontId="32" fillId="24" borderId="23" xfId="0" applyNumberFormat="1" applyFont="1" applyFill="1" applyBorder="1" applyAlignment="1">
      <alignment vertical="center"/>
    </xf>
    <xf numFmtId="0" fontId="32" fillId="24" borderId="23" xfId="0" applyFont="1" applyFill="1" applyBorder="1" applyAlignment="1">
      <alignment vertical="center"/>
    </xf>
    <xf numFmtId="0" fontId="32" fillId="24" borderId="24" xfId="0" applyFont="1" applyFill="1" applyBorder="1" applyAlignment="1">
      <alignment vertical="center"/>
    </xf>
    <xf numFmtId="0" fontId="31" fillId="0" borderId="0" xfId="0" applyFont="1" applyAlignment="1">
      <alignment horizontal="right"/>
    </xf>
    <xf numFmtId="0" fontId="31" fillId="24" borderId="18" xfId="0" applyFont="1" applyFill="1" applyBorder="1" applyAlignment="1">
      <alignment horizontal="left" vertical="center" wrapText="1"/>
    </xf>
    <xf numFmtId="0" fontId="32" fillId="0" borderId="0" xfId="0" applyFont="1" applyAlignment="1">
      <alignment horizontal="center" vertical="center"/>
    </xf>
    <xf numFmtId="167" fontId="31"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4" borderId="11" xfId="41" applyNumberFormat="1" applyFont="1" applyFill="1" applyBorder="1" applyAlignment="1">
      <alignment horizontal="center" vertical="center"/>
    </xf>
    <xf numFmtId="167" fontId="31" fillId="24" borderId="18" xfId="41" applyNumberFormat="1" applyFont="1" applyFill="1" applyBorder="1" applyAlignment="1">
      <alignment horizontal="center" vertical="center"/>
    </xf>
    <xf numFmtId="167" fontId="31" fillId="0" borderId="20" xfId="41" applyNumberFormat="1" applyFont="1" applyFill="1" applyBorder="1" applyAlignment="1">
      <alignment horizontal="center" vertical="center"/>
    </xf>
    <xf numFmtId="167" fontId="31" fillId="0" borderId="42" xfId="41" applyNumberFormat="1" applyFont="1" applyFill="1" applyBorder="1" applyAlignment="1">
      <alignment horizontal="center" vertical="center"/>
    </xf>
    <xf numFmtId="49" fontId="31" fillId="0" borderId="20" xfId="0" applyNumberFormat="1" applyFont="1" applyBorder="1" applyAlignment="1">
      <alignment horizontal="center" vertical="center"/>
    </xf>
    <xf numFmtId="0" fontId="31" fillId="0" borderId="20" xfId="0" applyFont="1" applyBorder="1" applyAlignment="1">
      <alignment horizontal="center" vertical="center"/>
    </xf>
    <xf numFmtId="0" fontId="50" fillId="0" borderId="0" xfId="0" applyFont="1"/>
    <xf numFmtId="0" fontId="31" fillId="0" borderId="0" xfId="0" applyFont="1" applyAlignment="1">
      <alignment vertical="center"/>
    </xf>
    <xf numFmtId="167" fontId="32" fillId="0" borderId="18" xfId="41" applyNumberFormat="1" applyFont="1" applyFill="1" applyBorder="1" applyAlignment="1">
      <alignment horizontal="center" vertical="center" wrapText="1"/>
    </xf>
    <xf numFmtId="167" fontId="31" fillId="0" borderId="19" xfId="41" applyNumberFormat="1" applyFont="1" applyFill="1" applyBorder="1" applyAlignment="1">
      <alignment horizontal="center" vertical="center" wrapText="1"/>
    </xf>
    <xf numFmtId="0" fontId="6" fillId="24" borderId="0" xfId="71" applyFont="1" applyFill="1"/>
    <xf numFmtId="0" fontId="43"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43" fillId="0" borderId="0" xfId="0" applyFont="1"/>
    <xf numFmtId="0" fontId="44" fillId="0" borderId="0" xfId="0" applyFont="1"/>
    <xf numFmtId="167" fontId="32" fillId="0" borderId="0" xfId="0" applyNumberFormat="1" applyFont="1"/>
    <xf numFmtId="167" fontId="32" fillId="24" borderId="18" xfId="0" applyNumberFormat="1" applyFont="1" applyFill="1" applyBorder="1" applyAlignment="1">
      <alignment vertical="center"/>
    </xf>
    <xf numFmtId="167" fontId="31" fillId="0" borderId="20" xfId="41" applyNumberFormat="1" applyFont="1" applyFill="1" applyBorder="1" applyAlignment="1">
      <alignment vertical="center"/>
    </xf>
    <xf numFmtId="167" fontId="31" fillId="0" borderId="13" xfId="41" applyNumberFormat="1" applyFont="1" applyFill="1" applyBorder="1"/>
    <xf numFmtId="0" fontId="39" fillId="24" borderId="0" xfId="71" applyFill="1" applyAlignment="1">
      <alignment vertical="center"/>
    </xf>
    <xf numFmtId="0" fontId="28" fillId="24" borderId="10" xfId="71" applyFont="1" applyFill="1" applyBorder="1" applyAlignment="1">
      <alignment horizontal="center" vertical="center" wrapText="1"/>
    </xf>
    <xf numFmtId="0" fontId="39" fillId="24" borderId="0" xfId="71" applyFill="1" applyAlignment="1">
      <alignment horizontal="left" vertical="center"/>
    </xf>
    <xf numFmtId="165" fontId="28" fillId="24" borderId="10" xfId="71" applyNumberFormat="1" applyFont="1" applyFill="1" applyBorder="1" applyAlignment="1">
      <alignment horizontal="left" vertical="center"/>
    </xf>
    <xf numFmtId="165" fontId="36" fillId="24" borderId="10" xfId="71" applyNumberFormat="1" applyFont="1" applyFill="1" applyBorder="1" applyAlignment="1">
      <alignment horizontal="left" vertical="center"/>
    </xf>
    <xf numFmtId="0" fontId="31" fillId="0" borderId="43" xfId="0" applyFont="1" applyBorder="1" applyAlignment="1">
      <alignment horizontal="center" vertical="center"/>
    </xf>
    <xf numFmtId="0" fontId="31" fillId="0" borderId="13" xfId="0" applyFont="1" applyBorder="1" applyAlignment="1">
      <alignment horizontal="center" vertical="center"/>
    </xf>
    <xf numFmtId="0" fontId="31" fillId="0" borderId="20" xfId="0" quotePrefix="1" applyFont="1" applyBorder="1" applyAlignment="1">
      <alignment horizontal="center" vertical="center"/>
    </xf>
    <xf numFmtId="167" fontId="31" fillId="0" borderId="42" xfId="41" applyNumberFormat="1" applyFont="1" applyFill="1" applyBorder="1" applyAlignment="1">
      <alignment vertical="center"/>
    </xf>
    <xf numFmtId="0" fontId="31" fillId="0" borderId="45" xfId="0" applyFont="1" applyBorder="1" applyAlignment="1">
      <alignment horizontal="center" vertical="center"/>
    </xf>
    <xf numFmtId="0" fontId="31" fillId="0" borderId="46" xfId="0" quotePrefix="1" applyFont="1" applyBorder="1" applyAlignment="1">
      <alignment horizontal="center" vertical="center"/>
    </xf>
    <xf numFmtId="0" fontId="31" fillId="0" borderId="46" xfId="0" applyFont="1" applyBorder="1" applyAlignment="1">
      <alignment horizontal="center" vertical="center"/>
    </xf>
    <xf numFmtId="49" fontId="31" fillId="0" borderId="13" xfId="0" applyNumberFormat="1" applyFont="1" applyBorder="1" applyAlignment="1">
      <alignment horizontal="center" vertical="center"/>
    </xf>
    <xf numFmtId="0" fontId="31" fillId="0" borderId="20" xfId="0" applyFont="1" applyBorder="1"/>
    <xf numFmtId="49" fontId="31" fillId="0" borderId="20" xfId="0" quotePrefix="1" applyNumberFormat="1" applyFont="1" applyBorder="1" applyAlignment="1">
      <alignment vertical="center"/>
    </xf>
    <xf numFmtId="0" fontId="31" fillId="0" borderId="48" xfId="0" applyFont="1" applyBorder="1" applyAlignment="1">
      <alignment horizontal="center" vertical="center"/>
    </xf>
    <xf numFmtId="0" fontId="31" fillId="0" borderId="17" xfId="0" quotePrefix="1" applyFont="1" applyBorder="1" applyAlignment="1">
      <alignment vertical="center"/>
    </xf>
    <xf numFmtId="0" fontId="31" fillId="0" borderId="17" xfId="0" applyFont="1" applyBorder="1"/>
    <xf numFmtId="167" fontId="31" fillId="0" borderId="17" xfId="41" applyNumberFormat="1" applyFont="1" applyFill="1" applyBorder="1" applyAlignment="1">
      <alignment vertical="center"/>
    </xf>
    <xf numFmtId="49" fontId="31" fillId="0" borderId="42" xfId="0" quotePrefix="1" applyNumberFormat="1" applyFont="1" applyBorder="1" applyAlignment="1">
      <alignment horizontal="center" vertical="center"/>
    </xf>
    <xf numFmtId="0" fontId="31" fillId="0" borderId="17" xfId="0" applyFont="1" applyBorder="1" applyAlignment="1">
      <alignment horizontal="left" vertical="center" wrapText="1"/>
    </xf>
    <xf numFmtId="167" fontId="31" fillId="0" borderId="17" xfId="41" applyNumberFormat="1" applyFont="1" applyFill="1" applyBorder="1" applyAlignment="1">
      <alignment horizontal="center" vertical="center"/>
    </xf>
    <xf numFmtId="0" fontId="31" fillId="0" borderId="17" xfId="0" applyFont="1" applyBorder="1" applyAlignment="1">
      <alignment horizontal="center" vertical="center"/>
    </xf>
    <xf numFmtId="0" fontId="31" fillId="0" borderId="20" xfId="0" applyFont="1" applyBorder="1" applyAlignment="1">
      <alignment horizontal="center" vertical="center" wrapText="1"/>
    </xf>
    <xf numFmtId="167" fontId="31" fillId="0" borderId="18" xfId="41" applyNumberFormat="1" applyFont="1" applyFill="1" applyBorder="1" applyAlignment="1">
      <alignment vertical="center"/>
    </xf>
    <xf numFmtId="0" fontId="31" fillId="0" borderId="14" xfId="0" quotePrefix="1" applyFont="1" applyBorder="1" applyAlignment="1">
      <alignment horizontal="center" vertical="center"/>
    </xf>
    <xf numFmtId="0" fontId="31" fillId="0" borderId="33" xfId="0" applyFont="1" applyBorder="1" applyAlignment="1">
      <alignment horizontal="center" vertical="center"/>
    </xf>
    <xf numFmtId="0" fontId="31" fillId="24" borderId="23" xfId="0" applyFont="1" applyFill="1" applyBorder="1" applyAlignment="1">
      <alignment vertical="center"/>
    </xf>
    <xf numFmtId="0" fontId="31" fillId="24" borderId="24" xfId="0" applyFont="1" applyFill="1" applyBorder="1" applyAlignment="1">
      <alignment horizontal="right" vertical="center"/>
    </xf>
    <xf numFmtId="49" fontId="43" fillId="0" borderId="10" xfId="0" applyNumberFormat="1" applyFont="1" applyBorder="1" applyAlignment="1">
      <alignment horizontal="center" vertical="center"/>
    </xf>
    <xf numFmtId="0" fontId="44" fillId="25" borderId="10" xfId="0" applyFont="1" applyFill="1" applyBorder="1" applyAlignment="1">
      <alignment vertical="center" wrapText="1"/>
    </xf>
    <xf numFmtId="49" fontId="44" fillId="25" borderId="10" xfId="0" applyNumberFormat="1" applyFont="1" applyFill="1" applyBorder="1" applyAlignment="1">
      <alignment vertical="center"/>
    </xf>
    <xf numFmtId="0" fontId="44" fillId="25" borderId="10" xfId="0" applyFont="1" applyFill="1" applyBorder="1" applyAlignment="1">
      <alignment horizontal="center" vertical="center"/>
    </xf>
    <xf numFmtId="0" fontId="43" fillId="0" borderId="10" xfId="0" applyFont="1" applyBorder="1" applyAlignment="1">
      <alignment vertical="center" wrapText="1"/>
    </xf>
    <xf numFmtId="0" fontId="43" fillId="0" borderId="10" xfId="0" applyFont="1" applyBorder="1" applyAlignment="1">
      <alignment horizontal="center" vertical="center"/>
    </xf>
    <xf numFmtId="49" fontId="43" fillId="0" borderId="10" xfId="0" quotePrefix="1" applyNumberFormat="1" applyFont="1" applyBorder="1" applyAlignment="1">
      <alignment horizontal="center" vertical="center"/>
    </xf>
    <xf numFmtId="49" fontId="43" fillId="25" borderId="10" xfId="0" applyNumberFormat="1" applyFont="1" applyFill="1" applyBorder="1" applyAlignment="1">
      <alignment horizontal="center" vertical="center"/>
    </xf>
    <xf numFmtId="49" fontId="44" fillId="25" borderId="10" xfId="0" applyNumberFormat="1" applyFont="1" applyFill="1" applyBorder="1" applyAlignment="1">
      <alignment horizontal="center" vertical="center"/>
    </xf>
    <xf numFmtId="0" fontId="50" fillId="0" borderId="10" xfId="0" applyFont="1" applyBorder="1" applyAlignment="1">
      <alignment horizontal="center" vertical="center"/>
    </xf>
    <xf numFmtId="0" fontId="31" fillId="0" borderId="18" xfId="0" applyFont="1" applyBorder="1"/>
    <xf numFmtId="167" fontId="31" fillId="0" borderId="12" xfId="41" applyNumberFormat="1" applyFont="1" applyFill="1" applyBorder="1" applyAlignment="1">
      <alignment horizontal="center" vertical="center"/>
    </xf>
    <xf numFmtId="0" fontId="29" fillId="24" borderId="0" xfId="71" applyFont="1" applyFill="1"/>
    <xf numFmtId="0" fontId="29" fillId="24" borderId="0" xfId="71" applyFont="1" applyFill="1" applyAlignment="1">
      <alignment horizontal="left" vertical="center"/>
    </xf>
    <xf numFmtId="167" fontId="29" fillId="24" borderId="0" xfId="49" applyNumberFormat="1" applyFont="1" applyFill="1"/>
    <xf numFmtId="167" fontId="29" fillId="24" borderId="0" xfId="49" applyNumberFormat="1" applyFont="1" applyFill="1" applyAlignment="1">
      <alignment horizontal="right"/>
    </xf>
    <xf numFmtId="167" fontId="29" fillId="24" borderId="10" xfId="49" quotePrefix="1" applyNumberFormat="1" applyFont="1" applyFill="1" applyBorder="1" applyAlignment="1">
      <alignment horizontal="center" vertical="center" wrapText="1"/>
    </xf>
    <xf numFmtId="167" fontId="29" fillId="24" borderId="10" xfId="49" applyNumberFormat="1" applyFont="1" applyFill="1" applyBorder="1"/>
    <xf numFmtId="167" fontId="30" fillId="24" borderId="10" xfId="49" applyNumberFormat="1" applyFont="1" applyFill="1" applyBorder="1"/>
    <xf numFmtId="167" fontId="29" fillId="0" borderId="10" xfId="49" applyNumberFormat="1" applyFont="1" applyFill="1" applyBorder="1"/>
    <xf numFmtId="0" fontId="29" fillId="24" borderId="10" xfId="71" applyFont="1" applyFill="1" applyBorder="1" applyAlignment="1">
      <alignment horizontal="left" vertical="center"/>
    </xf>
    <xf numFmtId="0" fontId="29" fillId="24" borderId="10" xfId="71" applyFont="1" applyFill="1" applyBorder="1" applyAlignment="1">
      <alignment vertical="center"/>
    </xf>
    <xf numFmtId="0" fontId="29" fillId="24" borderId="10" xfId="71" applyFont="1" applyFill="1" applyBorder="1"/>
    <xf numFmtId="167" fontId="27" fillId="0" borderId="10" xfId="49" applyNumberFormat="1" applyFont="1" applyFill="1" applyBorder="1" applyAlignment="1">
      <alignment horizontal="center" vertical="center" wrapText="1"/>
    </xf>
    <xf numFmtId="167" fontId="29" fillId="24" borderId="10" xfId="50" applyNumberFormat="1" applyFont="1" applyFill="1" applyBorder="1" applyAlignment="1">
      <alignment vertical="center"/>
    </xf>
    <xf numFmtId="0" fontId="6" fillId="24" borderId="10" xfId="72" applyFill="1" applyBorder="1" applyAlignment="1">
      <alignment vertical="center"/>
    </xf>
    <xf numFmtId="164" fontId="28" fillId="24" borderId="10" xfId="72" quotePrefix="1" applyNumberFormat="1" applyFont="1" applyFill="1" applyBorder="1" applyAlignment="1">
      <alignment horizontal="center" vertical="center"/>
    </xf>
    <xf numFmtId="167" fontId="30" fillId="24" borderId="10" xfId="50" applyNumberFormat="1" applyFont="1" applyFill="1" applyBorder="1" applyAlignment="1">
      <alignment vertical="center"/>
    </xf>
    <xf numFmtId="165" fontId="28" fillId="24" borderId="10" xfId="72" applyNumberFormat="1" applyFont="1" applyFill="1" applyBorder="1" applyAlignment="1">
      <alignment vertical="center"/>
    </xf>
    <xf numFmtId="0" fontId="28" fillId="24" borderId="10" xfId="72" applyFont="1" applyFill="1" applyBorder="1" applyAlignment="1">
      <alignment horizontal="right" vertical="center"/>
    </xf>
    <xf numFmtId="165" fontId="36" fillId="24" borderId="10" xfId="72" applyNumberFormat="1" applyFont="1" applyFill="1" applyBorder="1" applyAlignment="1">
      <alignment vertical="center"/>
    </xf>
    <xf numFmtId="0" fontId="36" fillId="24" borderId="10" xfId="72" applyFont="1" applyFill="1" applyBorder="1" applyAlignment="1">
      <alignment horizontal="left" vertical="center"/>
    </xf>
    <xf numFmtId="0" fontId="28" fillId="24" borderId="10" xfId="72" applyFont="1" applyFill="1" applyBorder="1" applyAlignment="1">
      <alignment horizontal="left" vertical="center"/>
    </xf>
    <xf numFmtId="0" fontId="30" fillId="24" borderId="10" xfId="72" applyFont="1" applyFill="1" applyBorder="1" applyAlignment="1">
      <alignment horizontal="left" vertical="center" wrapText="1"/>
    </xf>
    <xf numFmtId="0" fontId="28" fillId="24" borderId="10" xfId="72" applyFont="1" applyFill="1" applyBorder="1" applyAlignment="1">
      <alignment horizontal="left" vertical="center" wrapText="1"/>
    </xf>
    <xf numFmtId="0" fontId="38" fillId="24" borderId="10" xfId="72" applyFont="1" applyFill="1" applyBorder="1" applyAlignment="1">
      <alignment horizontal="left" vertical="center" wrapText="1"/>
    </xf>
    <xf numFmtId="0" fontId="28" fillId="24" borderId="10" xfId="72" applyFont="1" applyFill="1" applyBorder="1" applyAlignment="1">
      <alignment vertical="center" wrapText="1"/>
    </xf>
    <xf numFmtId="0" fontId="27" fillId="24" borderId="10" xfId="72" applyFont="1" applyFill="1" applyBorder="1" applyAlignment="1">
      <alignment horizontal="center" vertical="center"/>
    </xf>
    <xf numFmtId="1" fontId="27" fillId="24" borderId="10" xfId="72" applyNumberFormat="1" applyFont="1" applyFill="1" applyBorder="1" applyAlignment="1">
      <alignment horizontal="center" vertical="center"/>
    </xf>
    <xf numFmtId="167" fontId="29" fillId="24" borderId="10" xfId="50" applyNumberFormat="1" applyFont="1" applyFill="1" applyBorder="1" applyAlignment="1">
      <alignment horizontal="center" vertical="center" wrapText="1"/>
    </xf>
    <xf numFmtId="0" fontId="28" fillId="24" borderId="10" xfId="72" applyFont="1" applyFill="1" applyBorder="1" applyAlignment="1">
      <alignment horizontal="center" vertical="center" wrapText="1"/>
    </xf>
    <xf numFmtId="167" fontId="29" fillId="24" borderId="10" xfId="50" applyNumberFormat="1" applyFont="1" applyFill="1" applyBorder="1"/>
    <xf numFmtId="0" fontId="6" fillId="24" borderId="10" xfId="72" applyFill="1" applyBorder="1" applyAlignment="1">
      <alignment horizontal="left" vertical="center"/>
    </xf>
    <xf numFmtId="167" fontId="30" fillId="24" borderId="10" xfId="50" applyNumberFormat="1" applyFont="1" applyFill="1" applyBorder="1"/>
    <xf numFmtId="165" fontId="28" fillId="24" borderId="10" xfId="72" applyNumberFormat="1" applyFont="1" applyFill="1" applyBorder="1" applyAlignment="1">
      <alignment horizontal="left" vertical="center"/>
    </xf>
    <xf numFmtId="165" fontId="36" fillId="24" borderId="10" xfId="72" applyNumberFormat="1" applyFont="1" applyFill="1" applyBorder="1" applyAlignment="1">
      <alignment horizontal="left" vertical="center"/>
    </xf>
    <xf numFmtId="170" fontId="30" fillId="0" borderId="0" xfId="0" applyNumberFormat="1" applyFont="1"/>
    <xf numFmtId="170" fontId="31" fillId="0" borderId="0" xfId="79" applyNumberFormat="1" applyFont="1"/>
    <xf numFmtId="167" fontId="0" fillId="0" borderId="0" xfId="0" applyNumberFormat="1"/>
    <xf numFmtId="0" fontId="31" fillId="24" borderId="25" xfId="0" applyFont="1" applyFill="1" applyBorder="1"/>
    <xf numFmtId="167" fontId="29" fillId="24" borderId="10" xfId="49" applyNumberFormat="1" applyFont="1" applyFill="1" applyBorder="1" applyAlignment="1">
      <alignment vertical="center"/>
    </xf>
    <xf numFmtId="167" fontId="28" fillId="24" borderId="10" xfId="41" applyNumberFormat="1" applyFont="1" applyFill="1" applyBorder="1" applyAlignment="1">
      <alignment vertical="center"/>
    </xf>
    <xf numFmtId="0" fontId="31" fillId="0" borderId="50" xfId="0" applyFont="1" applyBorder="1" applyAlignment="1">
      <alignment horizontal="center" vertical="center"/>
    </xf>
    <xf numFmtId="0" fontId="31" fillId="0" borderId="30" xfId="0" quotePrefix="1" applyFont="1" applyBorder="1" applyAlignment="1">
      <alignment horizontal="center" vertical="center"/>
    </xf>
    <xf numFmtId="0" fontId="29" fillId="27" borderId="0" xfId="0" applyFont="1" applyFill="1"/>
    <xf numFmtId="0" fontId="29" fillId="27" borderId="0" xfId="0" applyFont="1" applyFill="1" applyAlignment="1">
      <alignment horizontal="left" vertical="center"/>
    </xf>
    <xf numFmtId="0" fontId="27" fillId="27" borderId="0" xfId="0" applyFont="1" applyFill="1"/>
    <xf numFmtId="0" fontId="28" fillId="27" borderId="10" xfId="0" applyFont="1" applyFill="1" applyBorder="1" applyAlignment="1">
      <alignment horizontal="center" vertical="center" wrapText="1"/>
    </xf>
    <xf numFmtId="1" fontId="27" fillId="27" borderId="10" xfId="0" applyNumberFormat="1" applyFont="1" applyFill="1" applyBorder="1" applyAlignment="1">
      <alignment horizontal="center" vertical="center"/>
    </xf>
    <xf numFmtId="0" fontId="27" fillId="27" borderId="10" xfId="0" applyFont="1" applyFill="1" applyBorder="1" applyAlignment="1">
      <alignment horizontal="center" vertical="center"/>
    </xf>
    <xf numFmtId="164" fontId="28" fillId="27" borderId="10" xfId="0" quotePrefix="1" applyNumberFormat="1" applyFont="1" applyFill="1" applyBorder="1" applyAlignment="1">
      <alignment horizontal="center" vertical="center"/>
    </xf>
    <xf numFmtId="0" fontId="28" fillId="27" borderId="10" xfId="0" applyFont="1" applyFill="1" applyBorder="1" applyAlignment="1">
      <alignment vertical="center" wrapText="1"/>
    </xf>
    <xf numFmtId="165" fontId="28" fillId="27" borderId="10" xfId="0" applyNumberFormat="1" applyFont="1" applyFill="1" applyBorder="1" applyAlignment="1">
      <alignment horizontal="left" vertical="center"/>
    </xf>
    <xf numFmtId="167" fontId="27" fillId="27" borderId="10" xfId="41" applyNumberFormat="1" applyFont="1" applyFill="1" applyBorder="1"/>
    <xf numFmtId="167" fontId="27" fillId="27" borderId="0" xfId="41" applyNumberFormat="1" applyFont="1" applyFill="1" applyBorder="1"/>
    <xf numFmtId="167" fontId="27" fillId="27" borderId="0" xfId="0" applyNumberFormat="1" applyFont="1" applyFill="1"/>
    <xf numFmtId="0" fontId="28" fillId="27" borderId="10" xfId="0" applyFont="1" applyFill="1" applyBorder="1" applyAlignment="1">
      <alignment horizontal="left" vertical="center" wrapText="1"/>
    </xf>
    <xf numFmtId="0" fontId="28" fillId="27" borderId="0" xfId="0" applyFont="1" applyFill="1"/>
    <xf numFmtId="167" fontId="28" fillId="27" borderId="0" xfId="0" applyNumberFormat="1" applyFont="1" applyFill="1"/>
    <xf numFmtId="0" fontId="30"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xf>
    <xf numFmtId="165" fontId="36" fillId="27" borderId="10" xfId="0" applyNumberFormat="1" applyFont="1" applyFill="1" applyBorder="1" applyAlignment="1">
      <alignment horizontal="left" vertical="center"/>
    </xf>
    <xf numFmtId="0" fontId="37" fillId="27" borderId="0" xfId="0" applyFont="1" applyFill="1"/>
    <xf numFmtId="0" fontId="28" fillId="27" borderId="10" xfId="0" applyFont="1" applyFill="1" applyBorder="1" applyAlignment="1">
      <alignment horizontal="left" vertical="center"/>
    </xf>
    <xf numFmtId="0" fontId="36" fillId="27" borderId="10" xfId="0" applyFont="1" applyFill="1" applyBorder="1" applyAlignment="1">
      <alignment horizontal="left" vertical="center"/>
    </xf>
    <xf numFmtId="0" fontId="36" fillId="27" borderId="0" xfId="0" applyFont="1" applyFill="1"/>
    <xf numFmtId="0" fontId="28" fillId="27" borderId="10" xfId="0" applyFont="1" applyFill="1" applyBorder="1" applyAlignment="1">
      <alignment horizontal="right" vertical="center"/>
    </xf>
    <xf numFmtId="0" fontId="27" fillId="27" borderId="0" xfId="0" applyFont="1" applyFill="1" applyAlignment="1">
      <alignment horizontal="left" vertical="center"/>
    </xf>
    <xf numFmtId="167" fontId="27" fillId="27" borderId="52" xfId="0" applyNumberFormat="1" applyFont="1" applyFill="1" applyBorder="1"/>
    <xf numFmtId="3" fontId="27" fillId="27" borderId="0" xfId="0" applyNumberFormat="1" applyFont="1" applyFill="1"/>
    <xf numFmtId="164" fontId="27" fillId="27" borderId="0" xfId="0" applyNumberFormat="1" applyFont="1" applyFill="1"/>
    <xf numFmtId="167" fontId="28" fillId="0" borderId="10" xfId="41" applyNumberFormat="1" applyFont="1" applyFill="1" applyBorder="1" applyAlignment="1">
      <alignment horizontal="right" vertical="center"/>
    </xf>
    <xf numFmtId="0" fontId="31" fillId="28" borderId="0" xfId="0" applyFont="1" applyFill="1"/>
    <xf numFmtId="164" fontId="28" fillId="0" borderId="10" xfId="71" quotePrefix="1" applyNumberFormat="1" applyFont="1" applyBorder="1" applyAlignment="1">
      <alignment horizontal="center" vertical="center"/>
    </xf>
    <xf numFmtId="0" fontId="28" fillId="0" borderId="10" xfId="71" applyFont="1" applyBorder="1" applyAlignment="1">
      <alignment horizontal="left" vertical="center" wrapText="1"/>
    </xf>
    <xf numFmtId="165" fontId="28" fillId="0" borderId="10" xfId="71" applyNumberFormat="1" applyFont="1" applyBorder="1" applyAlignment="1">
      <alignment horizontal="left" vertical="center"/>
    </xf>
    <xf numFmtId="0" fontId="39" fillId="0" borderId="0" xfId="71"/>
    <xf numFmtId="167" fontId="39" fillId="0" borderId="0" xfId="71" applyNumberFormat="1"/>
    <xf numFmtId="165" fontId="28" fillId="0" borderId="10" xfId="71" applyNumberFormat="1" applyFont="1" applyBorder="1" applyAlignment="1">
      <alignment vertical="center"/>
    </xf>
    <xf numFmtId="167" fontId="27" fillId="28" borderId="0" xfId="0" applyNumberFormat="1" applyFont="1" applyFill="1"/>
    <xf numFmtId="0" fontId="27" fillId="28" borderId="0" xfId="0" applyFont="1" applyFill="1"/>
    <xf numFmtId="167" fontId="36" fillId="0" borderId="10" xfId="41" applyNumberFormat="1" applyFont="1" applyFill="1" applyBorder="1" applyAlignment="1">
      <alignment horizontal="right" vertical="center"/>
    </xf>
    <xf numFmtId="167" fontId="28" fillId="0" borderId="10" xfId="41" applyNumberFormat="1" applyFont="1" applyFill="1" applyBorder="1"/>
    <xf numFmtId="167" fontId="27" fillId="0" borderId="10" xfId="41" applyNumberFormat="1" applyFont="1" applyFill="1" applyBorder="1"/>
    <xf numFmtId="3" fontId="28" fillId="0" borderId="10" xfId="0" applyNumberFormat="1" applyFont="1" applyBorder="1" applyAlignment="1">
      <alignment horizontal="center" vertical="center"/>
    </xf>
    <xf numFmtId="3" fontId="28" fillId="0" borderId="10" xfId="0" applyNumberFormat="1" applyFont="1" applyBorder="1" applyAlignment="1">
      <alignment horizontal="right" vertical="center"/>
    </xf>
    <xf numFmtId="167" fontId="27" fillId="0" borderId="0" xfId="0" applyNumberFormat="1" applyFont="1"/>
    <xf numFmtId="0" fontId="27" fillId="0" borderId="0" xfId="0" applyFont="1"/>
    <xf numFmtId="167" fontId="37" fillId="0" borderId="10" xfId="41" applyNumberFormat="1" applyFont="1" applyFill="1" applyBorder="1"/>
    <xf numFmtId="0" fontId="29" fillId="0" borderId="0" xfId="0" applyFont="1"/>
    <xf numFmtId="49" fontId="27" fillId="0" borderId="10" xfId="0" quotePrefix="1" applyNumberFormat="1" applyFont="1" applyBorder="1" applyAlignment="1">
      <alignment horizontal="center" vertical="center" wrapText="1"/>
    </xf>
    <xf numFmtId="167" fontId="29" fillId="0" borderId="10" xfId="50" applyNumberFormat="1" applyFont="1" applyFill="1" applyBorder="1" applyAlignment="1">
      <alignment horizontal="center" vertical="center" wrapText="1"/>
    </xf>
    <xf numFmtId="167" fontId="36" fillId="0" borderId="10" xfId="41" applyNumberFormat="1" applyFont="1" applyFill="1" applyBorder="1"/>
    <xf numFmtId="167" fontId="28" fillId="0" borderId="10" xfId="41" applyNumberFormat="1" applyFont="1" applyFill="1" applyBorder="1" applyAlignment="1">
      <alignment horizontal="center" vertical="center"/>
    </xf>
    <xf numFmtId="164" fontId="28" fillId="0" borderId="10" xfId="72" quotePrefix="1" applyNumberFormat="1" applyFont="1" applyBorder="1" applyAlignment="1">
      <alignment horizontal="center" vertical="center"/>
    </xf>
    <xf numFmtId="0" fontId="28" fillId="0" borderId="10" xfId="72" applyFont="1" applyBorder="1" applyAlignment="1">
      <alignment vertical="center" wrapText="1"/>
    </xf>
    <xf numFmtId="165" fontId="28" fillId="0" borderId="10" xfId="72" applyNumberFormat="1" applyFont="1" applyBorder="1" applyAlignment="1">
      <alignment vertical="center"/>
    </xf>
    <xf numFmtId="167" fontId="29" fillId="0" borderId="10" xfId="50" applyNumberFormat="1" applyFont="1" applyFill="1" applyBorder="1" applyAlignment="1">
      <alignment vertical="center"/>
    </xf>
    <xf numFmtId="0" fontId="28" fillId="0" borderId="10" xfId="72" applyFont="1" applyBorder="1" applyAlignment="1">
      <alignment horizontal="left" vertical="center" wrapText="1"/>
    </xf>
    <xf numFmtId="0" fontId="32" fillId="29" borderId="0" xfId="0" applyFont="1" applyFill="1"/>
    <xf numFmtId="167" fontId="32" fillId="29" borderId="0" xfId="0" applyNumberFormat="1" applyFont="1" applyFill="1"/>
    <xf numFmtId="0" fontId="31" fillId="27" borderId="0" xfId="0" applyFont="1" applyFill="1"/>
    <xf numFmtId="167" fontId="28" fillId="27" borderId="10" xfId="41" applyNumberFormat="1" applyFont="1" applyFill="1" applyBorder="1" applyAlignment="1">
      <alignment horizontal="right" vertical="center"/>
    </xf>
    <xf numFmtId="0" fontId="31" fillId="27" borderId="0" xfId="0" applyFont="1" applyFill="1" applyAlignment="1">
      <alignment vertical="center"/>
    </xf>
    <xf numFmtId="167" fontId="31" fillId="27" borderId="18" xfId="41" applyNumberFormat="1" applyFont="1" applyFill="1" applyBorder="1" applyAlignment="1">
      <alignment horizontal="center" vertical="center"/>
    </xf>
    <xf numFmtId="167" fontId="31" fillId="27" borderId="19" xfId="41" applyNumberFormat="1" applyFont="1" applyFill="1" applyBorder="1"/>
    <xf numFmtId="167" fontId="31" fillId="27" borderId="19" xfId="41" applyNumberFormat="1" applyFont="1" applyFill="1" applyBorder="1" applyAlignment="1">
      <alignment horizontal="center" vertical="center"/>
    </xf>
    <xf numFmtId="167" fontId="31" fillId="27" borderId="54" xfId="41" applyNumberFormat="1" applyFont="1" applyFill="1" applyBorder="1" applyAlignment="1">
      <alignment horizontal="center" vertical="center"/>
    </xf>
    <xf numFmtId="167" fontId="31" fillId="27" borderId="0" xfId="41" applyNumberFormat="1" applyFont="1" applyFill="1" applyBorder="1" applyAlignment="1">
      <alignment horizontal="center" vertical="center"/>
    </xf>
    <xf numFmtId="167" fontId="31" fillId="27" borderId="0" xfId="41" applyNumberFormat="1" applyFont="1" applyFill="1" applyBorder="1" applyAlignment="1">
      <alignment vertical="center"/>
    </xf>
    <xf numFmtId="167" fontId="31" fillId="27" borderId="0" xfId="41" applyNumberFormat="1" applyFont="1" applyFill="1" applyBorder="1"/>
    <xf numFmtId="0" fontId="32" fillId="27" borderId="0" xfId="0" applyFont="1" applyFill="1"/>
    <xf numFmtId="0" fontId="32" fillId="27" borderId="0" xfId="0" applyFont="1" applyFill="1" applyAlignment="1">
      <alignment vertical="center"/>
    </xf>
    <xf numFmtId="0" fontId="30" fillId="27" borderId="0" xfId="0" applyFont="1" applyFill="1"/>
    <xf numFmtId="0" fontId="30" fillId="27" borderId="0" xfId="0" applyFont="1" applyFill="1" applyAlignment="1">
      <alignment vertical="center"/>
    </xf>
    <xf numFmtId="167" fontId="36" fillId="27" borderId="10" xfId="41" applyNumberFormat="1" applyFont="1" applyFill="1" applyBorder="1" applyAlignment="1">
      <alignment horizontal="right" vertical="center"/>
    </xf>
    <xf numFmtId="167" fontId="28" fillId="27" borderId="10" xfId="41" applyNumberFormat="1" applyFont="1" applyFill="1" applyBorder="1"/>
    <xf numFmtId="3" fontId="28" fillId="27" borderId="10" xfId="0" applyNumberFormat="1" applyFont="1" applyFill="1" applyBorder="1" applyAlignment="1">
      <alignment horizontal="right" vertical="center"/>
    </xf>
    <xf numFmtId="0" fontId="55" fillId="24" borderId="0" xfId="67" applyFont="1" applyFill="1"/>
    <xf numFmtId="0" fontId="31" fillId="24" borderId="0" xfId="67" applyFont="1" applyFill="1"/>
    <xf numFmtId="0" fontId="54" fillId="24" borderId="55" xfId="67" applyFont="1" applyFill="1" applyBorder="1" applyAlignment="1">
      <alignment horizontal="center" vertical="center" textRotation="90"/>
    </xf>
    <xf numFmtId="0" fontId="54" fillId="24" borderId="56" xfId="67" applyFont="1" applyFill="1" applyBorder="1" applyAlignment="1">
      <alignment horizontal="center" vertical="center" wrapText="1"/>
    </xf>
    <xf numFmtId="0" fontId="54" fillId="24" borderId="57" xfId="67" applyFont="1" applyFill="1" applyBorder="1" applyAlignment="1">
      <alignment horizontal="center" vertical="center" wrapText="1"/>
    </xf>
    <xf numFmtId="0" fontId="31" fillId="24" borderId="58" xfId="0" applyFont="1" applyFill="1" applyBorder="1" applyAlignment="1">
      <alignment horizontal="center" vertical="center" wrapText="1"/>
    </xf>
    <xf numFmtId="0" fontId="54" fillId="24" borderId="10" xfId="67" applyFont="1" applyFill="1" applyBorder="1" applyAlignment="1">
      <alignment horizontal="center" vertical="center" wrapText="1"/>
    </xf>
    <xf numFmtId="166" fontId="54" fillId="24" borderId="0" xfId="67" applyNumberFormat="1" applyFont="1" applyFill="1" applyAlignment="1">
      <alignment horizontal="left"/>
    </xf>
    <xf numFmtId="0" fontId="54" fillId="24" borderId="0" xfId="67" applyFont="1" applyFill="1"/>
    <xf numFmtId="0" fontId="55" fillId="24" borderId="59" xfId="67" applyFont="1" applyFill="1" applyBorder="1"/>
    <xf numFmtId="0" fontId="54" fillId="24" borderId="0" xfId="67" applyFont="1" applyFill="1" applyAlignment="1">
      <alignment horizontal="left"/>
    </xf>
    <xf numFmtId="0" fontId="54" fillId="24" borderId="10" xfId="67" applyFont="1" applyFill="1" applyBorder="1" applyAlignment="1">
      <alignment horizontal="center" vertical="center" textRotation="90"/>
    </xf>
    <xf numFmtId="0" fontId="31" fillId="24" borderId="60" xfId="75" applyFont="1" applyFill="1" applyBorder="1" applyAlignment="1">
      <alignment horizontal="center" vertical="center"/>
    </xf>
    <xf numFmtId="166" fontId="57" fillId="24" borderId="61" xfId="43" applyNumberFormat="1" applyFont="1" applyFill="1" applyBorder="1" applyAlignment="1" applyProtection="1">
      <alignment vertical="center"/>
    </xf>
    <xf numFmtId="166" fontId="31" fillId="24" borderId="62" xfId="43" applyNumberFormat="1" applyFont="1" applyFill="1" applyBorder="1" applyAlignment="1" applyProtection="1">
      <alignment vertical="center"/>
    </xf>
    <xf numFmtId="0" fontId="31" fillId="24" borderId="63" xfId="75" applyFont="1" applyFill="1" applyBorder="1" applyAlignment="1">
      <alignment horizontal="center" vertical="center"/>
    </xf>
    <xf numFmtId="166" fontId="57" fillId="24" borderId="63" xfId="43" applyNumberFormat="1" applyFont="1" applyFill="1" applyBorder="1" applyAlignment="1" applyProtection="1">
      <alignment vertical="center"/>
    </xf>
    <xf numFmtId="166" fontId="56" fillId="24" borderId="10" xfId="43" applyNumberFormat="1" applyFont="1" applyFill="1" applyBorder="1" applyAlignment="1" applyProtection="1">
      <alignment vertical="center"/>
    </xf>
    <xf numFmtId="166" fontId="32" fillId="24" borderId="10" xfId="43" applyNumberFormat="1" applyFont="1" applyFill="1" applyBorder="1" applyAlignment="1" applyProtection="1">
      <alignment vertical="center"/>
    </xf>
    <xf numFmtId="0" fontId="31" fillId="24" borderId="0" xfId="75" applyFont="1" applyFill="1" applyAlignment="1">
      <alignment horizontal="center"/>
    </xf>
    <xf numFmtId="0" fontId="32" fillId="24" borderId="0" xfId="75" applyFont="1" applyFill="1"/>
    <xf numFmtId="166" fontId="31" fillId="24" borderId="0" xfId="43" applyNumberFormat="1" applyFont="1" applyFill="1" applyBorder="1" applyAlignment="1" applyProtection="1"/>
    <xf numFmtId="0" fontId="54" fillId="24" borderId="0" xfId="67" applyFont="1" applyFill="1" applyAlignment="1">
      <alignment horizontal="left" vertical="center" wrapText="1"/>
    </xf>
    <xf numFmtId="170" fontId="28" fillId="24" borderId="0" xfId="79" applyNumberFormat="1" applyFont="1" applyFill="1"/>
    <xf numFmtId="0" fontId="0" fillId="27" borderId="0" xfId="0" applyFill="1"/>
    <xf numFmtId="170" fontId="31" fillId="0" borderId="0" xfId="0" applyNumberFormat="1" applyFont="1"/>
    <xf numFmtId="167" fontId="36" fillId="24" borderId="0" xfId="0" applyNumberFormat="1" applyFont="1" applyFill="1"/>
    <xf numFmtId="167" fontId="31" fillId="0" borderId="64" xfId="41" applyNumberFormat="1" applyFont="1" applyFill="1" applyBorder="1" applyAlignment="1">
      <alignment vertical="center"/>
    </xf>
    <xf numFmtId="0" fontId="31" fillId="0" borderId="30" xfId="0" applyFont="1" applyBorder="1" applyAlignment="1">
      <alignment vertical="center"/>
    </xf>
    <xf numFmtId="0" fontId="31" fillId="0" borderId="30" xfId="0" applyFont="1" applyBorder="1" applyAlignment="1">
      <alignment vertical="center" wrapText="1"/>
    </xf>
    <xf numFmtId="167" fontId="31" fillId="0" borderId="30" xfId="41" applyNumberFormat="1" applyFont="1" applyFill="1" applyBorder="1" applyAlignment="1">
      <alignment vertical="center"/>
    </xf>
    <xf numFmtId="167" fontId="31" fillId="0" borderId="65" xfId="41" applyNumberFormat="1" applyFont="1" applyFill="1" applyBorder="1" applyAlignment="1">
      <alignment vertical="center"/>
    </xf>
    <xf numFmtId="167" fontId="31" fillId="0" borderId="46" xfId="41" applyNumberFormat="1" applyFont="1" applyFill="1" applyBorder="1" applyAlignment="1">
      <alignment horizontal="center" vertical="center" wrapText="1"/>
    </xf>
    <xf numFmtId="0" fontId="31" fillId="0" borderId="14" xfId="0" applyFont="1" applyBorder="1" applyAlignment="1">
      <alignment horizontal="center" vertical="center"/>
    </xf>
    <xf numFmtId="0" fontId="83" fillId="0" borderId="18" xfId="0" applyFont="1" applyBorder="1" applyAlignment="1">
      <alignment horizontal="center" vertical="center"/>
    </xf>
    <xf numFmtId="167" fontId="32" fillId="0" borderId="19" xfId="41" applyNumberFormat="1" applyFont="1" applyFill="1" applyBorder="1" applyAlignment="1">
      <alignment horizontal="center" vertical="center" wrapText="1"/>
    </xf>
    <xf numFmtId="0" fontId="31" fillId="0" borderId="14" xfId="0" applyFont="1" applyBorder="1" applyAlignment="1">
      <alignment horizontal="center" vertical="center" wrapText="1"/>
    </xf>
    <xf numFmtId="167" fontId="32" fillId="0" borderId="18" xfId="41" applyNumberFormat="1" applyFont="1" applyFill="1" applyBorder="1" applyAlignment="1">
      <alignment horizontal="center" vertical="center"/>
    </xf>
    <xf numFmtId="167" fontId="32" fillId="0" borderId="19" xfId="41" applyNumberFormat="1" applyFont="1" applyFill="1" applyBorder="1"/>
    <xf numFmtId="167" fontId="32" fillId="0" borderId="18" xfId="41" applyNumberFormat="1" applyFont="1" applyFill="1" applyBorder="1" applyAlignment="1">
      <alignment vertical="center"/>
    </xf>
    <xf numFmtId="0" fontId="31" fillId="0" borderId="41" xfId="0" applyFont="1" applyBorder="1"/>
    <xf numFmtId="49" fontId="31" fillId="0" borderId="18" xfId="0" applyNumberFormat="1" applyFont="1" applyBorder="1"/>
    <xf numFmtId="167" fontId="31" fillId="0" borderId="19" xfId="41" applyNumberFormat="1" applyFont="1" applyFill="1" applyBorder="1"/>
    <xf numFmtId="167" fontId="31" fillId="0" borderId="17" xfId="41" applyNumberFormat="1" applyFont="1" applyFill="1" applyBorder="1" applyAlignment="1">
      <alignment horizontal="center" vertical="center" wrapText="1"/>
    </xf>
    <xf numFmtId="0" fontId="31" fillId="0" borderId="14" xfId="0" applyFont="1" applyBorder="1" applyAlignment="1">
      <alignment horizontal="left" vertical="center" wrapText="1"/>
    </xf>
    <xf numFmtId="167" fontId="31" fillId="0" borderId="14" xfId="41" applyNumberFormat="1" applyFont="1" applyFill="1" applyBorder="1" applyAlignment="1">
      <alignment vertical="center"/>
    </xf>
    <xf numFmtId="167" fontId="31" fillId="0" borderId="17" xfId="41" applyNumberFormat="1" applyFont="1" applyFill="1" applyBorder="1"/>
    <xf numFmtId="167" fontId="29" fillId="24" borderId="66" xfId="50" applyNumberFormat="1" applyFont="1" applyFill="1" applyBorder="1" applyAlignment="1">
      <alignment horizontal="center" vertical="center" wrapText="1"/>
    </xf>
    <xf numFmtId="167" fontId="30" fillId="0" borderId="10" xfId="50" applyNumberFormat="1" applyFont="1" applyFill="1" applyBorder="1" applyAlignment="1">
      <alignment vertical="center"/>
    </xf>
    <xf numFmtId="0" fontId="31" fillId="24" borderId="67" xfId="0" applyFont="1" applyFill="1" applyBorder="1" applyAlignment="1">
      <alignment horizontal="center" vertical="center" wrapText="1"/>
    </xf>
    <xf numFmtId="0" fontId="43" fillId="0" borderId="10" xfId="0" applyFont="1" applyBorder="1" applyAlignment="1">
      <alignment horizontal="center" vertical="center" textRotation="90" wrapText="1"/>
    </xf>
    <xf numFmtId="166" fontId="56" fillId="24" borderId="69" xfId="43" applyNumberFormat="1" applyFont="1" applyFill="1" applyBorder="1" applyAlignment="1" applyProtection="1">
      <alignment vertical="center"/>
    </xf>
    <xf numFmtId="166" fontId="56" fillId="24" borderId="70" xfId="43" applyNumberFormat="1" applyFont="1" applyFill="1" applyBorder="1" applyAlignment="1" applyProtection="1">
      <alignment vertical="center"/>
    </xf>
    <xf numFmtId="166" fontId="56" fillId="24" borderId="71" xfId="43" applyNumberFormat="1" applyFont="1" applyFill="1" applyBorder="1" applyAlignment="1" applyProtection="1">
      <alignment vertical="center"/>
    </xf>
    <xf numFmtId="166" fontId="56" fillId="24" borderId="72" xfId="43" applyNumberFormat="1" applyFont="1" applyFill="1" applyBorder="1" applyAlignment="1" applyProtection="1">
      <alignment vertical="center"/>
    </xf>
    <xf numFmtId="166" fontId="56" fillId="24" borderId="73" xfId="43" applyNumberFormat="1" applyFont="1" applyFill="1" applyBorder="1" applyAlignment="1" applyProtection="1">
      <alignment vertical="center"/>
    </xf>
    <xf numFmtId="166" fontId="56" fillId="24" borderId="74" xfId="43" applyNumberFormat="1" applyFont="1" applyFill="1" applyBorder="1" applyAlignment="1" applyProtection="1">
      <alignment vertical="center"/>
    </xf>
    <xf numFmtId="166" fontId="56" fillId="24" borderId="75" xfId="43" applyNumberFormat="1" applyFont="1" applyFill="1" applyBorder="1" applyAlignment="1" applyProtection="1">
      <alignment vertical="center"/>
    </xf>
    <xf numFmtId="166" fontId="56" fillId="24" borderId="76" xfId="43" applyNumberFormat="1" applyFont="1" applyFill="1" applyBorder="1" applyAlignment="1" applyProtection="1">
      <alignment vertical="center"/>
    </xf>
    <xf numFmtId="166" fontId="56" fillId="24" borderId="61" xfId="43" applyNumberFormat="1" applyFont="1" applyFill="1" applyBorder="1" applyAlignment="1" applyProtection="1">
      <alignment vertical="center"/>
    </xf>
    <xf numFmtId="166" fontId="56" fillId="24" borderId="77" xfId="43" applyNumberFormat="1" applyFont="1" applyFill="1" applyBorder="1" applyAlignment="1" applyProtection="1">
      <alignment vertical="center"/>
    </xf>
    <xf numFmtId="166" fontId="56" fillId="24" borderId="63" xfId="43" applyNumberFormat="1" applyFont="1" applyFill="1" applyBorder="1" applyAlignment="1" applyProtection="1">
      <alignment vertical="center"/>
    </xf>
    <xf numFmtId="166" fontId="55" fillId="24" borderId="78" xfId="67" applyNumberFormat="1" applyFont="1" applyFill="1" applyBorder="1" applyAlignment="1">
      <alignment horizontal="left" vertical="center"/>
    </xf>
    <xf numFmtId="166" fontId="32" fillId="24" borderId="66" xfId="43" applyNumberFormat="1" applyFont="1" applyFill="1" applyBorder="1" applyAlignment="1">
      <alignment horizontal="right" vertical="center"/>
    </xf>
    <xf numFmtId="166" fontId="32" fillId="24" borderId="10" xfId="43" applyNumberFormat="1" applyFont="1" applyFill="1" applyBorder="1" applyAlignment="1">
      <alignment horizontal="right" vertical="center"/>
    </xf>
    <xf numFmtId="166" fontId="32" fillId="0" borderId="10" xfId="43" applyNumberFormat="1" applyFont="1" applyFill="1" applyBorder="1" applyAlignment="1">
      <alignment horizontal="right" vertical="center"/>
    </xf>
    <xf numFmtId="0" fontId="54" fillId="24" borderId="79" xfId="67" applyFont="1" applyFill="1" applyBorder="1" applyAlignment="1">
      <alignment horizontal="center" vertical="center"/>
    </xf>
    <xf numFmtId="0" fontId="54" fillId="24" borderId="73" xfId="67" applyFont="1" applyFill="1" applyBorder="1" applyAlignment="1">
      <alignment horizontal="center" vertical="center"/>
    </xf>
    <xf numFmtId="0" fontId="54" fillId="24" borderId="80" xfId="67" applyFont="1" applyFill="1" applyBorder="1" applyAlignment="1">
      <alignment horizontal="center" vertical="center"/>
    </xf>
    <xf numFmtId="0" fontId="54" fillId="24" borderId="61" xfId="67" applyFont="1" applyFill="1" applyBorder="1" applyAlignment="1">
      <alignment horizontal="center" vertical="center"/>
    </xf>
    <xf numFmtId="0" fontId="54" fillId="24" borderId="77" xfId="67" applyFont="1" applyFill="1" applyBorder="1" applyAlignment="1">
      <alignment horizontal="center" vertical="center"/>
    </xf>
    <xf numFmtId="0" fontId="54" fillId="24" borderId="63" xfId="67" applyFont="1" applyFill="1" applyBorder="1" applyAlignment="1">
      <alignment horizontal="center" vertical="center"/>
    </xf>
    <xf numFmtId="167" fontId="27" fillId="24" borderId="29" xfId="50" applyNumberFormat="1" applyFont="1" applyFill="1" applyBorder="1" applyAlignment="1">
      <alignment horizontal="center" vertical="center"/>
    </xf>
    <xf numFmtId="49" fontId="31" fillId="0" borderId="21" xfId="0" applyNumberFormat="1" applyFont="1" applyBorder="1" applyAlignment="1">
      <alignment horizontal="center" vertical="center"/>
    </xf>
    <xf numFmtId="167" fontId="31" fillId="0" borderId="20" xfId="41" applyNumberFormat="1" applyFont="1" applyFill="1" applyBorder="1"/>
    <xf numFmtId="49" fontId="31" fillId="0" borderId="21" xfId="0" quotePrefix="1" applyNumberFormat="1" applyFont="1" applyBorder="1" applyAlignment="1">
      <alignment horizontal="center" vertical="center"/>
    </xf>
    <xf numFmtId="49" fontId="31" fillId="0" borderId="22" xfId="0" quotePrefix="1" applyNumberFormat="1" applyFont="1" applyBorder="1" applyAlignment="1">
      <alignment horizontal="center" vertical="center"/>
    </xf>
    <xf numFmtId="49" fontId="31" fillId="0" borderId="20" xfId="0" quotePrefix="1" applyNumberFormat="1" applyFont="1" applyBorder="1" applyAlignment="1">
      <alignment horizontal="center" vertical="center"/>
    </xf>
    <xf numFmtId="167" fontId="31" fillId="0" borderId="81" xfId="41" applyNumberFormat="1" applyFont="1" applyFill="1" applyBorder="1" applyAlignment="1">
      <alignment vertical="center"/>
    </xf>
    <xf numFmtId="167" fontId="31" fillId="0" borderId="42" xfId="41" applyNumberFormat="1" applyFont="1" applyFill="1" applyBorder="1"/>
    <xf numFmtId="167" fontId="31" fillId="0" borderId="53" xfId="41" applyNumberFormat="1" applyFont="1" applyFill="1" applyBorder="1" applyAlignment="1">
      <alignment vertical="center"/>
    </xf>
    <xf numFmtId="167" fontId="27" fillId="30" borderId="0" xfId="0" applyNumberFormat="1" applyFont="1" applyFill="1"/>
    <xf numFmtId="167" fontId="30" fillId="27" borderId="18" xfId="41" applyNumberFormat="1" applyFont="1" applyFill="1" applyBorder="1" applyAlignment="1">
      <alignment vertical="center"/>
    </xf>
    <xf numFmtId="167" fontId="30" fillId="27" borderId="19" xfId="41" applyNumberFormat="1" applyFont="1" applyFill="1" applyBorder="1" applyAlignment="1">
      <alignment vertical="center"/>
    </xf>
    <xf numFmtId="167" fontId="30" fillId="27" borderId="54" xfId="41" applyNumberFormat="1" applyFont="1" applyFill="1" applyBorder="1" applyAlignment="1">
      <alignment vertical="center"/>
    </xf>
    <xf numFmtId="3" fontId="27" fillId="24" borderId="0" xfId="0" applyNumberFormat="1" applyFont="1" applyFill="1"/>
    <xf numFmtId="168" fontId="43" fillId="0" borderId="20" xfId="43" applyNumberFormat="1" applyFont="1" applyFill="1" applyBorder="1"/>
    <xf numFmtId="5" fontId="43" fillId="0" borderId="34" xfId="81" applyNumberFormat="1" applyFont="1" applyFill="1" applyBorder="1"/>
    <xf numFmtId="167" fontId="85" fillId="24" borderId="0" xfId="0" applyNumberFormat="1" applyFont="1" applyFill="1"/>
    <xf numFmtId="164" fontId="28" fillId="0" borderId="10" xfId="0" quotePrefix="1" applyNumberFormat="1" applyFont="1" applyBorder="1" applyAlignment="1">
      <alignment horizontal="center" vertical="center"/>
    </xf>
    <xf numFmtId="0" fontId="28" fillId="0" borderId="10" xfId="0" applyFont="1" applyBorder="1" applyAlignment="1">
      <alignment horizontal="right" vertical="center"/>
    </xf>
    <xf numFmtId="165" fontId="28" fillId="0" borderId="10" xfId="0" applyNumberFormat="1" applyFont="1" applyBorder="1" applyAlignment="1">
      <alignment horizontal="left" vertical="center"/>
    </xf>
    <xf numFmtId="0" fontId="28" fillId="0" borderId="0" xfId="0" applyFont="1"/>
    <xf numFmtId="0" fontId="27" fillId="0" borderId="10" xfId="0" applyFont="1" applyBorder="1" applyAlignment="1">
      <alignment horizontal="center" vertical="center"/>
    </xf>
    <xf numFmtId="167" fontId="36" fillId="27" borderId="10" xfId="41" applyNumberFormat="1" applyFont="1" applyFill="1" applyBorder="1"/>
    <xf numFmtId="167" fontId="27" fillId="24" borderId="10" xfId="49" applyNumberFormat="1" applyFont="1" applyFill="1" applyBorder="1" applyAlignment="1">
      <alignment horizontal="center" vertical="center"/>
    </xf>
    <xf numFmtId="167" fontId="31" fillId="0" borderId="34" xfId="41" applyNumberFormat="1" applyFont="1" applyFill="1" applyBorder="1" applyAlignment="1">
      <alignment vertical="center"/>
    </xf>
    <xf numFmtId="0" fontId="29" fillId="0" borderId="10" xfId="0" applyFont="1" applyBorder="1" applyAlignment="1">
      <alignment horizontal="center" vertical="center" wrapText="1"/>
    </xf>
    <xf numFmtId="49" fontId="31" fillId="0" borderId="43" xfId="0" quotePrefix="1" applyNumberFormat="1" applyFont="1" applyBorder="1" applyAlignment="1">
      <alignment horizontal="center" vertical="center"/>
    </xf>
    <xf numFmtId="49" fontId="31" fillId="0" borderId="20" xfId="0" quotePrefix="1" applyNumberFormat="1" applyFont="1" applyBorder="1" applyAlignment="1">
      <alignment horizontal="center" vertical="center" wrapText="1"/>
    </xf>
    <xf numFmtId="49" fontId="31" fillId="0" borderId="13" xfId="0" quotePrefix="1" applyNumberFormat="1" applyFont="1" applyBorder="1" applyAlignment="1">
      <alignment horizontal="center" vertical="center"/>
    </xf>
    <xf numFmtId="5" fontId="44" fillId="0" borderId="34" xfId="81" applyNumberFormat="1" applyFont="1" applyFill="1" applyBorder="1"/>
    <xf numFmtId="5" fontId="43" fillId="0" borderId="20" xfId="43" applyNumberFormat="1" applyFont="1" applyFill="1" applyBorder="1" applyAlignment="1"/>
    <xf numFmtId="0" fontId="32" fillId="0" borderId="0" xfId="0" applyFont="1" applyAlignment="1">
      <alignment horizontal="center" vertical="center" wrapText="1"/>
    </xf>
    <xf numFmtId="0" fontId="32" fillId="0" borderId="10" xfId="0" applyFont="1" applyBorder="1" applyAlignment="1">
      <alignment horizontal="center" vertical="center" wrapText="1"/>
    </xf>
    <xf numFmtId="0" fontId="27" fillId="24" borderId="10" xfId="0" applyFont="1" applyFill="1" applyBorder="1" applyAlignment="1">
      <alignment horizontal="left" vertical="center" wrapText="1"/>
    </xf>
    <xf numFmtId="3" fontId="29" fillId="0" borderId="10" xfId="0" applyNumberFormat="1" applyFont="1" applyBorder="1" applyAlignment="1">
      <alignment vertical="center" wrapText="1"/>
    </xf>
    <xf numFmtId="3" fontId="29" fillId="0" borderId="87" xfId="0" applyNumberFormat="1" applyFont="1" applyBorder="1" applyAlignment="1">
      <alignment vertical="center" wrapText="1"/>
    </xf>
    <xf numFmtId="0" fontId="27" fillId="24" borderId="10" xfId="0" applyFont="1" applyFill="1" applyBorder="1" applyAlignment="1">
      <alignment vertical="center" wrapText="1"/>
    </xf>
    <xf numFmtId="0" fontId="29" fillId="24" borderId="10" xfId="0" applyFont="1" applyFill="1" applyBorder="1" applyAlignment="1">
      <alignment horizontal="left" vertical="center" wrapText="1"/>
    </xf>
    <xf numFmtId="3" fontId="30" fillId="0" borderId="10" xfId="0" applyNumberFormat="1" applyFont="1" applyBorder="1" applyAlignment="1">
      <alignment vertical="center" wrapText="1"/>
    </xf>
    <xf numFmtId="0" fontId="27" fillId="24" borderId="10" xfId="72" applyFont="1" applyFill="1" applyBorder="1" applyAlignment="1">
      <alignment horizontal="left" vertical="center" wrapText="1"/>
    </xf>
    <xf numFmtId="0" fontId="36" fillId="24" borderId="10" xfId="72" applyFont="1" applyFill="1" applyBorder="1" applyAlignment="1">
      <alignment horizontal="left" vertical="center" wrapText="1"/>
    </xf>
    <xf numFmtId="0" fontId="36" fillId="24" borderId="10" xfId="0" applyFont="1" applyFill="1" applyBorder="1" applyAlignment="1">
      <alignment horizontal="left" vertical="center" wrapText="1"/>
    </xf>
    <xf numFmtId="0" fontId="28" fillId="26" borderId="10" xfId="0" applyFont="1" applyFill="1" applyBorder="1" applyAlignment="1">
      <alignment horizontal="left" vertical="center" wrapText="1"/>
    </xf>
    <xf numFmtId="0" fontId="28" fillId="29" borderId="10" xfId="0" applyFont="1" applyFill="1" applyBorder="1" applyAlignment="1">
      <alignment horizontal="left" vertical="center" wrapText="1"/>
    </xf>
    <xf numFmtId="3" fontId="30" fillId="29" borderId="10" xfId="0" applyNumberFormat="1" applyFont="1" applyFill="1" applyBorder="1" applyAlignment="1">
      <alignment vertical="center" wrapText="1"/>
    </xf>
    <xf numFmtId="0" fontId="49" fillId="0" borderId="0" xfId="0" applyFont="1" applyAlignment="1">
      <alignment horizontal="center" vertical="center" wrapText="1"/>
    </xf>
    <xf numFmtId="0" fontId="49" fillId="0" borderId="0" xfId="0" applyFont="1" applyAlignment="1">
      <alignment horizontal="center" wrapText="1"/>
    </xf>
    <xf numFmtId="0" fontId="28" fillId="0" borderId="0" xfId="0" applyFont="1" applyAlignment="1">
      <alignment horizontal="right" vertical="center"/>
    </xf>
    <xf numFmtId="3" fontId="29" fillId="0" borderId="0" xfId="0" applyNumberFormat="1" applyFont="1" applyAlignment="1">
      <alignment wrapText="1"/>
    </xf>
    <xf numFmtId="3" fontId="30" fillId="0" borderId="0" xfId="0" applyNumberFormat="1" applyFont="1" applyAlignment="1">
      <alignment wrapText="1"/>
    </xf>
    <xf numFmtId="0" fontId="29" fillId="0" borderId="0" xfId="0" applyFont="1" applyAlignment="1">
      <alignment wrapText="1"/>
    </xf>
    <xf numFmtId="3" fontId="31" fillId="0" borderId="0" xfId="0" applyNumberFormat="1" applyFont="1" applyAlignment="1">
      <alignment wrapText="1"/>
    </xf>
    <xf numFmtId="0" fontId="28" fillId="0" borderId="0" xfId="0" applyFont="1" applyAlignment="1">
      <alignment horizontal="right" vertical="center" wrapText="1"/>
    </xf>
    <xf numFmtId="3" fontId="29" fillId="0" borderId="0" xfId="0" applyNumberFormat="1" applyFont="1" applyAlignment="1">
      <alignment vertical="center" wrapText="1"/>
    </xf>
    <xf numFmtId="3" fontId="30" fillId="0" borderId="0" xfId="0" applyNumberFormat="1" applyFont="1" applyAlignment="1">
      <alignment vertical="center" wrapText="1"/>
    </xf>
    <xf numFmtId="0" fontId="31" fillId="0" borderId="0" xfId="0" applyFont="1" applyAlignment="1">
      <alignment horizontal="center" wrapText="1"/>
    </xf>
    <xf numFmtId="0" fontId="30" fillId="0" borderId="10" xfId="0" applyFont="1" applyBorder="1" applyAlignment="1">
      <alignment horizontal="center" vertical="center" wrapText="1"/>
    </xf>
    <xf numFmtId="0" fontId="30" fillId="27" borderId="10" xfId="0" applyFont="1" applyFill="1" applyBorder="1" applyAlignment="1">
      <alignment horizontal="center" vertical="center" wrapText="1"/>
    </xf>
    <xf numFmtId="164" fontId="27" fillId="24" borderId="10" xfId="0" quotePrefix="1" applyNumberFormat="1" applyFont="1" applyFill="1" applyBorder="1" applyAlignment="1">
      <alignment horizontal="center" vertical="center"/>
    </xf>
    <xf numFmtId="165" fontId="27" fillId="24" borderId="10" xfId="0" applyNumberFormat="1" applyFont="1" applyFill="1" applyBorder="1" applyAlignment="1">
      <alignment vertical="center"/>
    </xf>
    <xf numFmtId="167" fontId="29" fillId="27" borderId="10" xfId="41" applyNumberFormat="1" applyFont="1" applyFill="1" applyBorder="1"/>
    <xf numFmtId="10" fontId="29" fillId="27" borderId="10" xfId="84" applyNumberFormat="1" applyFont="1" applyFill="1" applyBorder="1" applyAlignment="1">
      <alignment horizontal="center"/>
    </xf>
    <xf numFmtId="167" fontId="29" fillId="27" borderId="10" xfId="0" applyNumberFormat="1" applyFont="1" applyFill="1" applyBorder="1"/>
    <xf numFmtId="164" fontId="37" fillId="24" borderId="10" xfId="0" quotePrefix="1" applyNumberFormat="1" applyFont="1" applyFill="1" applyBorder="1" applyAlignment="1">
      <alignment horizontal="center" vertical="center"/>
    </xf>
    <xf numFmtId="0" fontId="65" fillId="24" borderId="10" xfId="0" applyFont="1" applyFill="1" applyBorder="1" applyAlignment="1">
      <alignment horizontal="left" vertical="center" wrapText="1"/>
    </xf>
    <xf numFmtId="165" fontId="37" fillId="24" borderId="10" xfId="0" applyNumberFormat="1" applyFont="1" applyFill="1" applyBorder="1" applyAlignment="1">
      <alignment vertical="center"/>
    </xf>
    <xf numFmtId="167" fontId="65" fillId="27" borderId="10" xfId="41" applyNumberFormat="1" applyFont="1" applyFill="1" applyBorder="1"/>
    <xf numFmtId="10" fontId="65" fillId="27" borderId="10" xfId="84" applyNumberFormat="1" applyFont="1" applyFill="1" applyBorder="1" applyAlignment="1">
      <alignment horizontal="center"/>
    </xf>
    <xf numFmtId="167" fontId="65" fillId="27" borderId="10" xfId="0" applyNumberFormat="1" applyFont="1" applyFill="1" applyBorder="1"/>
    <xf numFmtId="0" fontId="66" fillId="0" borderId="0" xfId="0" applyFont="1"/>
    <xf numFmtId="0" fontId="27" fillId="24" borderId="10" xfId="0" applyFont="1" applyFill="1" applyBorder="1" applyAlignment="1">
      <alignment horizontal="left" vertical="center"/>
    </xf>
    <xf numFmtId="0" fontId="31" fillId="0" borderId="0" xfId="70" applyFont="1" applyAlignment="1">
      <alignment wrapText="1"/>
    </xf>
    <xf numFmtId="0" fontId="43" fillId="0" borderId="0" xfId="68" applyFont="1" applyAlignment="1">
      <alignment wrapText="1"/>
    </xf>
    <xf numFmtId="167" fontId="30" fillId="0" borderId="10" xfId="41" applyNumberFormat="1" applyFont="1" applyBorder="1"/>
    <xf numFmtId="10" fontId="30" fillId="27" borderId="10" xfId="84" applyNumberFormat="1" applyFont="1" applyFill="1" applyBorder="1" applyAlignment="1">
      <alignment horizontal="center"/>
    </xf>
    <xf numFmtId="167" fontId="30" fillId="27" borderId="10" xfId="0" applyNumberFormat="1" applyFont="1" applyFill="1" applyBorder="1"/>
    <xf numFmtId="0" fontId="37" fillId="24" borderId="10" xfId="0" applyFont="1" applyFill="1" applyBorder="1" applyAlignment="1">
      <alignment horizontal="left" vertical="center"/>
    </xf>
    <xf numFmtId="167" fontId="66" fillId="0" borderId="0" xfId="0" applyNumberFormat="1" applyFont="1"/>
    <xf numFmtId="167" fontId="30" fillId="27" borderId="10" xfId="41" applyNumberFormat="1" applyFont="1" applyFill="1" applyBorder="1"/>
    <xf numFmtId="0" fontId="37" fillId="24" borderId="10" xfId="72" applyFont="1" applyFill="1" applyBorder="1" applyAlignment="1">
      <alignment horizontal="left" vertical="center"/>
    </xf>
    <xf numFmtId="164" fontId="28" fillId="26" borderId="10" xfId="0" quotePrefix="1" applyNumberFormat="1" applyFont="1" applyFill="1" applyBorder="1" applyAlignment="1">
      <alignment horizontal="center" vertical="center"/>
    </xf>
    <xf numFmtId="0" fontId="28" fillId="29" borderId="10" xfId="0" applyFont="1" applyFill="1" applyBorder="1" applyAlignment="1">
      <alignment horizontal="right" vertical="center"/>
    </xf>
    <xf numFmtId="165" fontId="28" fillId="29" borderId="10" xfId="0" applyNumberFormat="1" applyFont="1" applyFill="1" applyBorder="1" applyAlignment="1">
      <alignment vertical="center"/>
    </xf>
    <xf numFmtId="167" fontId="30" fillId="29" borderId="10" xfId="41" applyNumberFormat="1" applyFont="1" applyFill="1" applyBorder="1"/>
    <xf numFmtId="164" fontId="36" fillId="24" borderId="10" xfId="0" quotePrefix="1" applyNumberFormat="1" applyFont="1" applyFill="1" applyBorder="1" applyAlignment="1">
      <alignment horizontal="center" vertical="center"/>
    </xf>
    <xf numFmtId="167" fontId="50" fillId="0" borderId="0" xfId="0" applyNumberFormat="1" applyFont="1"/>
    <xf numFmtId="164" fontId="28" fillId="0" borderId="0" xfId="0" quotePrefix="1" applyNumberFormat="1" applyFont="1" applyAlignment="1">
      <alignment horizontal="center" vertical="center"/>
    </xf>
    <xf numFmtId="165" fontId="28" fillId="0" borderId="0" xfId="0" applyNumberFormat="1" applyFont="1" applyAlignment="1">
      <alignment vertical="center"/>
    </xf>
    <xf numFmtId="167" fontId="30" fillId="27" borderId="0" xfId="41" applyNumberFormat="1" applyFont="1" applyFill="1" applyBorder="1"/>
    <xf numFmtId="10" fontId="30" fillId="27" borderId="0" xfId="84" applyNumberFormat="1" applyFont="1" applyFill="1" applyBorder="1" applyAlignment="1">
      <alignment horizontal="center"/>
    </xf>
    <xf numFmtId="9" fontId="30" fillId="27" borderId="0" xfId="84" applyFont="1" applyFill="1" applyBorder="1" applyAlignment="1">
      <alignment horizontal="center"/>
    </xf>
    <xf numFmtId="0" fontId="29" fillId="0" borderId="0" xfId="0" applyFont="1" applyAlignment="1">
      <alignment horizontal="left" wrapText="1"/>
    </xf>
    <xf numFmtId="0" fontId="29" fillId="27" borderId="0" xfId="0" applyFont="1" applyFill="1" applyAlignment="1">
      <alignment horizontal="left" wrapText="1"/>
    </xf>
    <xf numFmtId="0" fontId="29" fillId="27" borderId="0" xfId="0" applyFont="1" applyFill="1" applyAlignment="1">
      <alignment wrapText="1"/>
    </xf>
    <xf numFmtId="0" fontId="0" fillId="29" borderId="0" xfId="0" applyFill="1"/>
    <xf numFmtId="173" fontId="0" fillId="27" borderId="0" xfId="0" applyNumberFormat="1" applyFill="1" applyAlignment="1">
      <alignment horizontal="center" vertical="center" wrapText="1"/>
    </xf>
    <xf numFmtId="173" fontId="0" fillId="27" borderId="0" xfId="0" applyNumberFormat="1" applyFill="1" applyAlignment="1">
      <alignment vertical="center" wrapText="1"/>
    </xf>
    <xf numFmtId="173" fontId="67" fillId="27" borderId="0" xfId="0" applyNumberFormat="1" applyFont="1" applyFill="1" applyAlignment="1">
      <alignment horizontal="right"/>
    </xf>
    <xf numFmtId="173" fontId="32" fillId="27" borderId="89" xfId="0" applyNumberFormat="1" applyFont="1" applyFill="1" applyBorder="1" applyAlignment="1">
      <alignment horizontal="center" vertical="center" wrapText="1"/>
    </xf>
    <xf numFmtId="173" fontId="32" fillId="27" borderId="10" xfId="0" applyNumberFormat="1" applyFont="1" applyFill="1" applyBorder="1" applyAlignment="1">
      <alignment horizontal="left" vertical="center" wrapText="1" indent="1"/>
    </xf>
    <xf numFmtId="49" fontId="31" fillId="27" borderId="10" xfId="0" applyNumberFormat="1" applyFont="1" applyFill="1" applyBorder="1" applyAlignment="1" applyProtection="1">
      <alignment horizontal="center" vertical="center" wrapText="1"/>
      <protection locked="0"/>
    </xf>
    <xf numFmtId="173" fontId="31" fillId="27" borderId="10" xfId="0" applyNumberFormat="1" applyFont="1" applyFill="1" applyBorder="1" applyAlignment="1">
      <alignment vertical="center" wrapText="1"/>
    </xf>
    <xf numFmtId="173" fontId="31" fillId="27" borderId="89" xfId="0" applyNumberFormat="1" applyFont="1" applyFill="1" applyBorder="1" applyAlignment="1">
      <alignment vertical="center" wrapText="1"/>
    </xf>
    <xf numFmtId="173" fontId="56" fillId="27" borderId="10" xfId="0" applyNumberFormat="1" applyFont="1" applyFill="1" applyBorder="1" applyAlignment="1" applyProtection="1">
      <alignment horizontal="left" vertical="center" wrapText="1" indent="1"/>
      <protection locked="0"/>
    </xf>
    <xf numFmtId="173" fontId="0" fillId="27" borderId="0" xfId="0" applyNumberFormat="1" applyFill="1"/>
    <xf numFmtId="173" fontId="32" fillId="27" borderId="90" xfId="0" applyNumberFormat="1" applyFont="1" applyFill="1" applyBorder="1" applyAlignment="1">
      <alignment vertical="center" wrapText="1"/>
    </xf>
    <xf numFmtId="173" fontId="32" fillId="27" borderId="91" xfId="0" applyNumberFormat="1" applyFont="1" applyFill="1" applyBorder="1" applyAlignment="1">
      <alignment vertical="center" wrapText="1"/>
    </xf>
    <xf numFmtId="0" fontId="68" fillId="0" borderId="0" xfId="64" applyFont="1" applyAlignment="1">
      <alignment horizontal="center"/>
    </xf>
    <xf numFmtId="0" fontId="69" fillId="0" borderId="0" xfId="64" applyFont="1"/>
    <xf numFmtId="0" fontId="69" fillId="0" borderId="92" xfId="64" applyFont="1" applyBorder="1"/>
    <xf numFmtId="0" fontId="50" fillId="0" borderId="0" xfId="64" applyFont="1"/>
    <xf numFmtId="0" fontId="69" fillId="0" borderId="0" xfId="64" applyFont="1" applyAlignment="1">
      <alignment horizontal="center"/>
    </xf>
    <xf numFmtId="0" fontId="69" fillId="0" borderId="0" xfId="64" applyFont="1" applyAlignment="1">
      <alignment horizontal="right"/>
    </xf>
    <xf numFmtId="0" fontId="69" fillId="0" borderId="93" xfId="64" applyFont="1" applyBorder="1"/>
    <xf numFmtId="0" fontId="69" fillId="0" borderId="94" xfId="64" applyFont="1" applyBorder="1"/>
    <xf numFmtId="3" fontId="45" fillId="0" borderId="10" xfId="64" applyNumberFormat="1" applyFont="1" applyBorder="1" applyAlignment="1">
      <alignment horizontal="center" vertical="center"/>
    </xf>
    <xf numFmtId="0" fontId="69" fillId="0" borderId="95" xfId="64" applyFont="1" applyBorder="1"/>
    <xf numFmtId="0" fontId="69" fillId="0" borderId="10" xfId="64" applyFont="1" applyBorder="1" applyAlignment="1">
      <alignment horizontal="center" vertical="center"/>
    </xf>
    <xf numFmtId="3" fontId="72" fillId="0" borderId="10" xfId="64" applyNumberFormat="1" applyFont="1" applyBorder="1" applyAlignment="1">
      <alignment horizontal="center" vertical="center" wrapText="1"/>
    </xf>
    <xf numFmtId="0" fontId="69" fillId="0" borderId="96" xfId="64" applyFont="1" applyBorder="1"/>
    <xf numFmtId="14" fontId="69" fillId="0" borderId="10" xfId="64" applyNumberFormat="1" applyFont="1" applyBorder="1" applyAlignment="1">
      <alignment horizontal="center" vertical="center" wrapText="1"/>
    </xf>
    <xf numFmtId="0" fontId="69" fillId="0" borderId="10" xfId="64" applyFont="1" applyBorder="1" applyAlignment="1">
      <alignment horizontal="center" vertical="center" wrapText="1"/>
    </xf>
    <xf numFmtId="3" fontId="73" fillId="0" borderId="10" xfId="64" applyNumberFormat="1" applyFont="1" applyBorder="1" applyAlignment="1">
      <alignment horizontal="center" vertical="center" wrapText="1"/>
    </xf>
    <xf numFmtId="0" fontId="69" fillId="0" borderId="10" xfId="64" applyFont="1" applyBorder="1" applyAlignment="1">
      <alignment horizontal="center"/>
    </xf>
    <xf numFmtId="3" fontId="74" fillId="0" borderId="10" xfId="64" applyNumberFormat="1" applyFont="1" applyBorder="1" applyAlignment="1">
      <alignment horizontal="center" vertical="center"/>
    </xf>
    <xf numFmtId="0" fontId="74" fillId="0" borderId="0" xfId="64" applyFont="1" applyAlignment="1">
      <alignment horizontal="center"/>
    </xf>
    <xf numFmtId="0" fontId="74" fillId="0" borderId="96" xfId="64" applyFont="1" applyBorder="1" applyAlignment="1">
      <alignment horizontal="center"/>
    </xf>
    <xf numFmtId="3" fontId="74" fillId="0" borderId="10" xfId="64" applyNumberFormat="1" applyFont="1" applyBorder="1" applyAlignment="1">
      <alignment horizontal="center" vertical="center" wrapText="1"/>
    </xf>
    <xf numFmtId="0" fontId="73" fillId="0" borderId="0" xfId="64" applyFont="1"/>
    <xf numFmtId="0" fontId="73" fillId="0" borderId="97" xfId="64" applyFont="1" applyBorder="1"/>
    <xf numFmtId="3" fontId="69" fillId="0" borderId="10" xfId="64" applyNumberFormat="1" applyFont="1" applyBorder="1" applyAlignment="1">
      <alignment horizontal="center" vertical="center" wrapText="1"/>
    </xf>
    <xf numFmtId="3" fontId="73" fillId="0" borderId="10" xfId="64" applyNumberFormat="1" applyFont="1" applyBorder="1" applyAlignment="1">
      <alignment horizontal="center" vertical="center"/>
    </xf>
    <xf numFmtId="0" fontId="73" fillId="0" borderId="94" xfId="64" applyFont="1" applyBorder="1"/>
    <xf numFmtId="170" fontId="69" fillId="0" borderId="10" xfId="82" applyNumberFormat="1" applyFont="1" applyFill="1" applyBorder="1" applyAlignment="1">
      <alignment horizontal="center" vertical="center"/>
    </xf>
    <xf numFmtId="170" fontId="71" fillId="0" borderId="10" xfId="82" applyNumberFormat="1" applyFont="1" applyFill="1" applyBorder="1" applyAlignment="1">
      <alignment horizontal="center" vertical="center"/>
    </xf>
    <xf numFmtId="3" fontId="74" fillId="0" borderId="98" xfId="64" applyNumberFormat="1" applyFont="1" applyBorder="1" applyAlignment="1">
      <alignment horizontal="center" vertical="center"/>
    </xf>
    <xf numFmtId="3" fontId="74" fillId="0" borderId="99" xfId="64" applyNumberFormat="1" applyFont="1" applyBorder="1" applyAlignment="1">
      <alignment horizontal="center" vertical="center"/>
    </xf>
    <xf numFmtId="3" fontId="74" fillId="0" borderId="100" xfId="64" applyNumberFormat="1" applyFont="1" applyBorder="1" applyAlignment="1">
      <alignment horizontal="center" vertical="center"/>
    </xf>
    <xf numFmtId="3" fontId="74" fillId="0" borderId="101" xfId="64" applyNumberFormat="1" applyFont="1" applyBorder="1" applyAlignment="1">
      <alignment horizontal="center" vertical="center"/>
    </xf>
    <xf numFmtId="3" fontId="74" fillId="0" borderId="0" xfId="64" applyNumberFormat="1" applyFont="1" applyAlignment="1">
      <alignment horizontal="center" vertical="center"/>
    </xf>
    <xf numFmtId="170" fontId="45" fillId="31" borderId="102" xfId="82" applyNumberFormat="1" applyFont="1" applyFill="1" applyBorder="1" applyAlignment="1">
      <alignment horizontal="center" vertical="center"/>
    </xf>
    <xf numFmtId="170" fontId="76" fillId="32" borderId="103" xfId="82" applyNumberFormat="1" applyFont="1" applyFill="1" applyBorder="1" applyAlignment="1">
      <alignment vertical="center"/>
    </xf>
    <xf numFmtId="0" fontId="69" fillId="0" borderId="104" xfId="64" applyFont="1" applyBorder="1"/>
    <xf numFmtId="170" fontId="77" fillId="0" borderId="0" xfId="82" applyNumberFormat="1" applyFont="1" applyFill="1" applyBorder="1" applyAlignment="1">
      <alignment vertical="center" wrapText="1"/>
    </xf>
    <xf numFmtId="170" fontId="69" fillId="0" borderId="0" xfId="64" applyNumberFormat="1" applyFont="1"/>
    <xf numFmtId="0" fontId="77" fillId="0" borderId="0" xfId="64" applyFont="1"/>
    <xf numFmtId="0" fontId="77" fillId="0" borderId="0" xfId="64" applyFont="1" applyAlignment="1">
      <alignment vertical="center" wrapText="1"/>
    </xf>
    <xf numFmtId="3" fontId="77" fillId="0" borderId="0" xfId="64" applyNumberFormat="1" applyFont="1"/>
    <xf numFmtId="0" fontId="71" fillId="0" borderId="0" xfId="64" applyFont="1"/>
    <xf numFmtId="3" fontId="69" fillId="0" borderId="0" xfId="64" applyNumberFormat="1" applyFont="1"/>
    <xf numFmtId="0" fontId="69" fillId="0" borderId="97" xfId="64" applyFont="1" applyBorder="1"/>
    <xf numFmtId="0" fontId="69" fillId="0" borderId="105" xfId="64" applyFont="1" applyBorder="1"/>
    <xf numFmtId="0" fontId="69" fillId="0" borderId="106" xfId="64" applyFont="1" applyBorder="1"/>
    <xf numFmtId="0" fontId="44" fillId="0" borderId="0" xfId="68" applyFont="1" applyAlignment="1">
      <alignment vertical="center" wrapText="1"/>
    </xf>
    <xf numFmtId="0" fontId="78" fillId="0" borderId="0" xfId="68" applyFont="1" applyAlignment="1">
      <alignment vertical="center" wrapText="1"/>
    </xf>
    <xf numFmtId="0" fontId="44" fillId="0" borderId="11" xfId="68" applyFont="1" applyBorder="1" applyAlignment="1">
      <alignment vertical="center" wrapText="1"/>
    </xf>
    <xf numFmtId="0" fontId="44" fillId="0" borderId="10" xfId="68" applyFont="1" applyBorder="1" applyAlignment="1">
      <alignment vertical="center" wrapText="1"/>
    </xf>
    <xf numFmtId="0" fontId="43" fillId="0" borderId="10" xfId="68" applyFont="1" applyBorder="1" applyAlignment="1">
      <alignment vertical="center" wrapText="1"/>
    </xf>
    <xf numFmtId="3" fontId="43" fillId="0" borderId="10" xfId="68" applyNumberFormat="1" applyFont="1" applyBorder="1" applyAlignment="1">
      <alignment vertical="center" wrapText="1"/>
    </xf>
    <xf numFmtId="3" fontId="44" fillId="0" borderId="10" xfId="68" applyNumberFormat="1" applyFont="1" applyBorder="1" applyAlignment="1">
      <alignment vertical="center" wrapText="1"/>
    </xf>
    <xf numFmtId="3" fontId="0" fillId="0" borderId="0" xfId="0" applyNumberFormat="1"/>
    <xf numFmtId="0" fontId="43" fillId="0" borderId="0" xfId="68" applyFont="1" applyAlignment="1">
      <alignment vertical="center" wrapText="1"/>
    </xf>
    <xf numFmtId="3" fontId="43" fillId="0" borderId="0" xfId="68" applyNumberFormat="1" applyFont="1" applyAlignment="1">
      <alignment vertical="center" wrapText="1"/>
    </xf>
    <xf numFmtId="3" fontId="44" fillId="0" borderId="0" xfId="68" applyNumberFormat="1" applyFont="1" applyAlignment="1">
      <alignment vertical="center" wrapText="1"/>
    </xf>
    <xf numFmtId="167" fontId="43" fillId="0" borderId="10" xfId="41" applyNumberFormat="1" applyFont="1" applyBorder="1" applyAlignment="1">
      <alignment vertical="center" wrapText="1"/>
    </xf>
    <xf numFmtId="3" fontId="43" fillId="0" borderId="107" xfId="68" applyNumberFormat="1" applyFont="1" applyBorder="1" applyAlignment="1">
      <alignment vertical="center" wrapText="1"/>
    </xf>
    <xf numFmtId="3" fontId="43" fillId="0" borderId="108" xfId="68" applyNumberFormat="1" applyFont="1" applyBorder="1" applyAlignment="1">
      <alignment vertical="center" wrapText="1"/>
    </xf>
    <xf numFmtId="3" fontId="43" fillId="0" borderId="27" xfId="68" applyNumberFormat="1" applyFont="1" applyBorder="1" applyAlignment="1">
      <alignment vertical="center" wrapText="1"/>
    </xf>
    <xf numFmtId="3" fontId="43" fillId="0" borderId="25" xfId="68" applyNumberFormat="1" applyFont="1" applyBorder="1" applyAlignment="1">
      <alignment vertical="center" wrapText="1"/>
    </xf>
    <xf numFmtId="167" fontId="44" fillId="0" borderId="10" xfId="41" applyNumberFormat="1" applyFont="1" applyBorder="1" applyAlignment="1">
      <alignment vertical="center" wrapText="1"/>
    </xf>
    <xf numFmtId="0" fontId="43" fillId="0" borderId="27" xfId="68" applyFont="1" applyBorder="1" applyAlignment="1">
      <alignment vertical="center" wrapText="1"/>
    </xf>
    <xf numFmtId="3" fontId="43" fillId="0" borderId="35" xfId="68" applyNumberFormat="1" applyFont="1" applyBorder="1" applyAlignment="1">
      <alignment vertical="center" wrapText="1"/>
    </xf>
    <xf numFmtId="3" fontId="43" fillId="0" borderId="36" xfId="68" applyNumberFormat="1" applyFont="1" applyBorder="1" applyAlignment="1">
      <alignment vertical="center" wrapText="1"/>
    </xf>
    <xf numFmtId="0" fontId="44" fillId="0" borderId="27" xfId="68" applyFont="1" applyBorder="1" applyAlignment="1">
      <alignment vertical="center" wrapText="1"/>
    </xf>
    <xf numFmtId="164" fontId="28" fillId="24" borderId="0" xfId="70" applyNumberFormat="1" applyFont="1" applyFill="1" applyAlignment="1">
      <alignment horizontal="center" vertical="center" wrapText="1"/>
    </xf>
    <xf numFmtId="167" fontId="0" fillId="0" borderId="0" xfId="41" applyNumberFormat="1" applyFont="1"/>
    <xf numFmtId="164" fontId="28" fillId="24" borderId="11" xfId="70" applyNumberFormat="1" applyFont="1" applyFill="1" applyBorder="1" applyAlignment="1">
      <alignment horizontal="center" vertical="center" wrapText="1"/>
    </xf>
    <xf numFmtId="164" fontId="28" fillId="27" borderId="11" xfId="70" applyNumberFormat="1" applyFont="1" applyFill="1" applyBorder="1" applyAlignment="1">
      <alignment horizontal="center" vertical="center" wrapText="1"/>
    </xf>
    <xf numFmtId="164" fontId="55" fillId="24" borderId="10" xfId="70" applyNumberFormat="1" applyFont="1" applyFill="1" applyBorder="1" applyAlignment="1">
      <alignment horizontal="center" vertical="center" wrapText="1"/>
    </xf>
    <xf numFmtId="0" fontId="32" fillId="27" borderId="10" xfId="70" applyFont="1" applyFill="1" applyBorder="1" applyAlignment="1">
      <alignment horizontal="center" vertical="center" wrapText="1"/>
    </xf>
    <xf numFmtId="164" fontId="55" fillId="24" borderId="29" xfId="70" applyNumberFormat="1" applyFont="1" applyFill="1" applyBorder="1" applyAlignment="1">
      <alignment horizontal="center" vertical="center" wrapText="1"/>
    </xf>
    <xf numFmtId="0" fontId="44" fillId="0" borderId="29" xfId="68" applyFont="1" applyBorder="1" applyAlignment="1">
      <alignment vertical="center" wrapText="1"/>
    </xf>
    <xf numFmtId="167" fontId="32" fillId="27" borderId="10" xfId="41" applyNumberFormat="1" applyFont="1" applyFill="1" applyBorder="1" applyAlignment="1">
      <alignment horizontal="center" vertical="center" wrapText="1"/>
    </xf>
    <xf numFmtId="167" fontId="32" fillId="0" borderId="10" xfId="41" applyNumberFormat="1" applyFont="1" applyBorder="1" applyAlignment="1">
      <alignment horizontal="center" vertical="center" wrapText="1"/>
    </xf>
    <xf numFmtId="167" fontId="44" fillId="0" borderId="10" xfId="41" applyNumberFormat="1" applyFont="1" applyBorder="1" applyAlignment="1">
      <alignment horizontal="center" vertical="center" wrapText="1"/>
    </xf>
    <xf numFmtId="0" fontId="54" fillId="24" borderId="29" xfId="70" applyFont="1" applyFill="1" applyBorder="1" applyAlignment="1">
      <alignment horizontal="left" vertical="center" wrapText="1"/>
    </xf>
    <xf numFmtId="165" fontId="80" fillId="24" borderId="10" xfId="70" applyNumberFormat="1" applyFont="1" applyFill="1" applyBorder="1" applyAlignment="1">
      <alignment vertical="center" wrapText="1"/>
    </xf>
    <xf numFmtId="167" fontId="54" fillId="27" borderId="10" xfId="41" applyNumberFormat="1" applyFont="1" applyFill="1" applyBorder="1" applyAlignment="1">
      <alignment horizontal="center" vertical="center" wrapText="1"/>
    </xf>
    <xf numFmtId="167" fontId="54" fillId="0" borderId="10" xfId="41" applyNumberFormat="1" applyFont="1" applyBorder="1" applyAlignment="1">
      <alignment horizontal="center" vertical="center" wrapText="1"/>
    </xf>
    <xf numFmtId="3" fontId="31" fillId="0" borderId="0" xfId="0" applyNumberFormat="1" applyFont="1"/>
    <xf numFmtId="0" fontId="28" fillId="24" borderId="29" xfId="70" applyFont="1" applyFill="1" applyBorder="1" applyAlignment="1">
      <alignment horizontal="left" vertical="center" wrapText="1"/>
    </xf>
    <xf numFmtId="165" fontId="55" fillId="24" borderId="29" xfId="70" applyNumberFormat="1" applyFont="1" applyFill="1" applyBorder="1" applyAlignment="1">
      <alignment vertical="center" wrapText="1"/>
    </xf>
    <xf numFmtId="167" fontId="55" fillId="27" borderId="10" xfId="41" applyNumberFormat="1" applyFont="1" applyFill="1" applyBorder="1" applyAlignment="1">
      <alignment horizontal="center" vertical="center" wrapText="1"/>
    </xf>
    <xf numFmtId="0" fontId="27" fillId="24" borderId="29" xfId="70" applyFont="1" applyFill="1" applyBorder="1" applyAlignment="1">
      <alignment horizontal="left" vertical="center" wrapText="1"/>
    </xf>
    <xf numFmtId="165" fontId="54" fillId="24" borderId="29" xfId="70" applyNumberFormat="1" applyFont="1" applyFill="1" applyBorder="1" applyAlignment="1">
      <alignment vertical="center" wrapText="1"/>
    </xf>
    <xf numFmtId="0" fontId="28" fillId="24" borderId="29" xfId="70" applyFont="1" applyFill="1" applyBorder="1" applyAlignment="1">
      <alignment horizontal="right" vertical="center" wrapText="1"/>
    </xf>
    <xf numFmtId="165" fontId="28" fillId="24" borderId="29" xfId="70" applyNumberFormat="1" applyFont="1" applyFill="1" applyBorder="1" applyAlignment="1">
      <alignment vertical="center" wrapText="1"/>
    </xf>
    <xf numFmtId="0" fontId="54" fillId="24" borderId="29" xfId="70" applyFont="1" applyFill="1" applyBorder="1" applyAlignment="1">
      <alignment vertical="center" wrapText="1"/>
    </xf>
    <xf numFmtId="0" fontId="31" fillId="24" borderId="29" xfId="70" applyFont="1" applyFill="1" applyBorder="1" applyAlignment="1">
      <alignment horizontal="left" vertical="center" wrapText="1"/>
    </xf>
    <xf numFmtId="167" fontId="54" fillId="24" borderId="87" xfId="41" applyNumberFormat="1" applyFont="1" applyFill="1" applyBorder="1" applyAlignment="1">
      <alignment horizontal="center" vertical="center" wrapText="1"/>
    </xf>
    <xf numFmtId="167" fontId="31" fillId="0" borderId="0" xfId="41" applyNumberFormat="1" applyFont="1"/>
    <xf numFmtId="0" fontId="44" fillId="0" borderId="0" xfId="68" applyFont="1" applyAlignment="1">
      <alignment wrapText="1"/>
    </xf>
    <xf numFmtId="0" fontId="31" fillId="0" borderId="0" xfId="74" applyFont="1"/>
    <xf numFmtId="0" fontId="30" fillId="0" borderId="0" xfId="74" applyFont="1" applyProtection="1">
      <protection locked="0"/>
    </xf>
    <xf numFmtId="0" fontId="31" fillId="27" borderId="0" xfId="74" applyFont="1" applyFill="1"/>
    <xf numFmtId="0" fontId="56" fillId="27" borderId="0" xfId="74" applyFont="1" applyFill="1" applyAlignment="1">
      <alignment horizontal="right"/>
    </xf>
    <xf numFmtId="0" fontId="32" fillId="0" borderId="109" xfId="74" applyFont="1" applyBorder="1" applyAlignment="1">
      <alignment vertical="center"/>
    </xf>
    <xf numFmtId="0" fontId="32" fillId="27" borderId="110" xfId="74" applyFont="1" applyFill="1" applyBorder="1" applyAlignment="1">
      <alignment horizontal="center" vertical="center"/>
    </xf>
    <xf numFmtId="0" fontId="32" fillId="0" borderId="110" xfId="74" applyFont="1" applyBorder="1" applyAlignment="1">
      <alignment horizontal="center" vertical="center"/>
    </xf>
    <xf numFmtId="0" fontId="32" fillId="0" borderId="111" xfId="74" applyFont="1" applyBorder="1" applyAlignment="1">
      <alignment horizontal="center" vertical="center"/>
    </xf>
    <xf numFmtId="0" fontId="32" fillId="0" borderId="112" xfId="74" applyFont="1" applyBorder="1" applyAlignment="1">
      <alignment horizontal="center" vertical="center"/>
    </xf>
    <xf numFmtId="49" fontId="31" fillId="0" borderId="113" xfId="74" applyNumberFormat="1" applyFont="1" applyBorder="1" applyAlignment="1">
      <alignment vertical="center"/>
    </xf>
    <xf numFmtId="3" fontId="31" fillId="27" borderId="114" xfId="74" applyNumberFormat="1" applyFont="1" applyFill="1" applyBorder="1" applyAlignment="1" applyProtection="1">
      <alignment vertical="center"/>
      <protection locked="0"/>
    </xf>
    <xf numFmtId="3" fontId="31" fillId="0" borderId="114" xfId="74" applyNumberFormat="1" applyFont="1" applyBorder="1" applyAlignment="1" applyProtection="1">
      <alignment vertical="center"/>
      <protection locked="0"/>
    </xf>
    <xf numFmtId="3" fontId="31" fillId="0" borderId="115" xfId="74" applyNumberFormat="1" applyFont="1" applyBorder="1" applyAlignment="1" applyProtection="1">
      <alignment vertical="center"/>
      <protection locked="0"/>
    </xf>
    <xf numFmtId="3" fontId="31" fillId="0" borderId="116" xfId="74" applyNumberFormat="1" applyFont="1" applyBorder="1" applyAlignment="1">
      <alignment vertical="center"/>
    </xf>
    <xf numFmtId="49" fontId="57" fillId="0" borderId="88" xfId="74" quotePrefix="1" applyNumberFormat="1" applyFont="1" applyBorder="1" applyAlignment="1">
      <alignment horizontal="left" vertical="center" indent="1"/>
    </xf>
    <xf numFmtId="3" fontId="57" fillId="27" borderId="10" xfId="74" applyNumberFormat="1" applyFont="1" applyFill="1" applyBorder="1" applyAlignment="1" applyProtection="1">
      <alignment vertical="center"/>
      <protection locked="0"/>
    </xf>
    <xf numFmtId="3" fontId="57" fillId="0" borderId="10" xfId="74" applyNumberFormat="1" applyFont="1" applyBorder="1" applyAlignment="1" applyProtection="1">
      <alignment vertical="center"/>
      <protection locked="0"/>
    </xf>
    <xf numFmtId="3" fontId="57" fillId="0" borderId="29" xfId="74" applyNumberFormat="1" applyFont="1" applyBorder="1" applyAlignment="1" applyProtection="1">
      <alignment vertical="center"/>
      <protection locked="0"/>
    </xf>
    <xf numFmtId="3" fontId="31" fillId="0" borderId="89" xfId="74" applyNumberFormat="1" applyFont="1" applyBorder="1" applyAlignment="1">
      <alignment vertical="center"/>
    </xf>
    <xf numFmtId="49" fontId="31" fillId="0" borderId="88" xfId="74" applyNumberFormat="1" applyFont="1" applyBorder="1" applyAlignment="1">
      <alignment vertical="center"/>
    </xf>
    <xf numFmtId="3" fontId="31" fillId="27" borderId="10" xfId="74" applyNumberFormat="1" applyFont="1" applyFill="1" applyBorder="1" applyAlignment="1" applyProtection="1">
      <alignment vertical="center"/>
      <protection locked="0"/>
    </xf>
    <xf numFmtId="3" fontId="31" fillId="0" borderId="10" xfId="74" applyNumberFormat="1" applyFont="1" applyBorder="1" applyAlignment="1" applyProtection="1">
      <alignment vertical="center"/>
      <protection locked="0"/>
    </xf>
    <xf numFmtId="3" fontId="31" fillId="0" borderId="29" xfId="74" applyNumberFormat="1" applyFont="1" applyBorder="1" applyAlignment="1" applyProtection="1">
      <alignment vertical="center"/>
      <protection locked="0"/>
    </xf>
    <xf numFmtId="49" fontId="32" fillId="0" borderId="117" xfId="74" applyNumberFormat="1" applyFont="1" applyBorder="1" applyAlignment="1">
      <alignment vertical="center"/>
    </xf>
    <xf numFmtId="3" fontId="31" fillId="27" borderId="118" xfId="74" applyNumberFormat="1" applyFont="1" applyFill="1" applyBorder="1" applyAlignment="1">
      <alignment vertical="center"/>
    </xf>
    <xf numFmtId="3" fontId="31" fillId="0" borderId="118" xfId="74" applyNumberFormat="1" applyFont="1" applyBorder="1" applyAlignment="1">
      <alignment vertical="center"/>
    </xf>
    <xf numFmtId="3" fontId="31" fillId="0" borderId="119" xfId="74" applyNumberFormat="1" applyFont="1" applyBorder="1" applyAlignment="1">
      <alignment vertical="center"/>
    </xf>
    <xf numFmtId="0" fontId="31" fillId="0" borderId="0" xfId="74" applyFont="1" applyAlignment="1">
      <alignment vertical="center"/>
    </xf>
    <xf numFmtId="0" fontId="31" fillId="27" borderId="0" xfId="74" applyFont="1" applyFill="1" applyAlignment="1">
      <alignment vertical="center"/>
    </xf>
    <xf numFmtId="49" fontId="31" fillId="0" borderId="120" xfId="74" applyNumberFormat="1" applyFont="1" applyBorder="1" applyAlignment="1">
      <alignment vertical="center"/>
    </xf>
    <xf numFmtId="3" fontId="31" fillId="27" borderId="66" xfId="74" applyNumberFormat="1" applyFont="1" applyFill="1" applyBorder="1" applyAlignment="1" applyProtection="1">
      <alignment vertical="center"/>
      <protection locked="0"/>
    </xf>
    <xf numFmtId="3" fontId="31" fillId="0" borderId="66" xfId="74" applyNumberFormat="1" applyFont="1" applyBorder="1" applyAlignment="1" applyProtection="1">
      <alignment vertical="center"/>
      <protection locked="0"/>
    </xf>
    <xf numFmtId="3" fontId="31" fillId="0" borderId="35" xfId="74" applyNumberFormat="1" applyFont="1" applyBorder="1" applyAlignment="1" applyProtection="1">
      <alignment vertical="center"/>
      <protection locked="0"/>
    </xf>
    <xf numFmtId="49" fontId="31" fillId="0" borderId="88" xfId="74" applyNumberFormat="1" applyFont="1" applyBorder="1" applyAlignment="1">
      <alignment horizontal="left" vertical="center"/>
    </xf>
    <xf numFmtId="3" fontId="0" fillId="27" borderId="0" xfId="0" applyNumberFormat="1" applyFill="1"/>
    <xf numFmtId="0" fontId="32" fillId="0" borderId="113" xfId="0" applyFont="1" applyBorder="1" applyAlignment="1">
      <alignment vertical="center"/>
    </xf>
    <xf numFmtId="0" fontId="32" fillId="0" borderId="114" xfId="0" applyFont="1" applyBorder="1" applyAlignment="1">
      <alignment horizontal="center" vertical="center" wrapText="1"/>
    </xf>
    <xf numFmtId="0" fontId="32" fillId="0" borderId="116" xfId="0" applyFont="1" applyBorder="1" applyAlignment="1">
      <alignment horizontal="center" vertical="center" wrapText="1"/>
    </xf>
    <xf numFmtId="0" fontId="31" fillId="0" borderId="88" xfId="0" applyFont="1" applyBorder="1" applyAlignment="1">
      <alignment horizontal="center" vertical="center"/>
    </xf>
    <xf numFmtId="170" fontId="31" fillId="0" borderId="10" xfId="79" applyNumberFormat="1" applyFont="1" applyBorder="1" applyAlignment="1">
      <alignment vertical="center"/>
    </xf>
    <xf numFmtId="170" fontId="31" fillId="0" borderId="89" xfId="79" applyNumberFormat="1" applyFont="1" applyBorder="1"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170" fontId="0" fillId="0" borderId="0" xfId="79" applyNumberFormat="1" applyFont="1" applyAlignment="1">
      <alignment vertical="center"/>
    </xf>
    <xf numFmtId="170" fontId="0" fillId="0" borderId="0" xfId="79" applyNumberFormat="1" applyFont="1"/>
    <xf numFmtId="0" fontId="0" fillId="0" borderId="0" xfId="0" applyAlignment="1">
      <alignment horizontal="center"/>
    </xf>
    <xf numFmtId="167" fontId="86" fillId="0" borderId="10" xfId="41" applyNumberFormat="1" applyFont="1" applyFill="1" applyBorder="1" applyAlignment="1">
      <alignment horizontal="center" vertical="center"/>
    </xf>
    <xf numFmtId="167" fontId="34" fillId="0" borderId="0" xfId="41" applyNumberFormat="1" applyFont="1" applyAlignment="1">
      <alignment wrapText="1"/>
    </xf>
    <xf numFmtId="167" fontId="33" fillId="0" borderId="0" xfId="41" applyNumberFormat="1" applyFont="1" applyAlignment="1">
      <alignment horizontal="center" vertical="center" wrapText="1"/>
    </xf>
    <xf numFmtId="173" fontId="31" fillId="0" borderId="10" xfId="0" applyNumberFormat="1" applyFont="1" applyBorder="1" applyAlignment="1">
      <alignment vertical="center" wrapText="1"/>
    </xf>
    <xf numFmtId="173" fontId="31" fillId="0" borderId="89" xfId="0" applyNumberFormat="1" applyFont="1" applyBorder="1" applyAlignment="1">
      <alignment vertical="center" wrapText="1"/>
    </xf>
    <xf numFmtId="173" fontId="31" fillId="0" borderId="10" xfId="0" applyNumberFormat="1" applyFont="1" applyBorder="1" applyAlignment="1" applyProtection="1">
      <alignment vertical="center" wrapText="1"/>
      <protection locked="0"/>
    </xf>
    <xf numFmtId="167" fontId="26" fillId="27" borderId="0" xfId="41" applyNumberFormat="1" applyFont="1" applyFill="1"/>
    <xf numFmtId="167" fontId="87" fillId="27" borderId="0" xfId="41" applyNumberFormat="1" applyFont="1" applyFill="1"/>
    <xf numFmtId="167" fontId="87" fillId="0" borderId="0" xfId="41" applyNumberFormat="1" applyFont="1"/>
    <xf numFmtId="3" fontId="31" fillId="0" borderId="91" xfId="74" applyNumberFormat="1" applyFont="1" applyBorder="1" applyAlignment="1">
      <alignment vertical="center"/>
    </xf>
    <xf numFmtId="3" fontId="31" fillId="0" borderId="52" xfId="74" applyNumberFormat="1" applyFont="1" applyBorder="1" applyAlignment="1">
      <alignment vertical="center"/>
    </xf>
    <xf numFmtId="166" fontId="31" fillId="0" borderId="121" xfId="43" applyNumberFormat="1" applyFont="1" applyFill="1" applyBorder="1" applyAlignment="1" applyProtection="1">
      <alignment vertical="center"/>
    </xf>
    <xf numFmtId="166" fontId="31" fillId="0" borderId="63" xfId="43" applyNumberFormat="1" applyFont="1" applyFill="1" applyBorder="1" applyAlignment="1" applyProtection="1">
      <alignment vertical="center"/>
    </xf>
    <xf numFmtId="170" fontId="30" fillId="0" borderId="90" xfId="79" applyNumberFormat="1" applyFont="1" applyBorder="1" applyAlignment="1">
      <alignment vertical="center"/>
    </xf>
    <xf numFmtId="0" fontId="31" fillId="0" borderId="10" xfId="0" applyFont="1" applyBorder="1" applyAlignment="1">
      <alignment horizontal="center" vertical="center"/>
    </xf>
    <xf numFmtId="164" fontId="55" fillId="0" borderId="29" xfId="70" applyNumberFormat="1" applyFont="1" applyBorder="1" applyAlignment="1">
      <alignment horizontal="center" vertical="center" wrapText="1"/>
    </xf>
    <xf numFmtId="0" fontId="27" fillId="0" borderId="29" xfId="70" applyFont="1" applyBorder="1" applyAlignment="1">
      <alignment horizontal="left" vertical="center" wrapText="1"/>
    </xf>
    <xf numFmtId="165" fontId="54" fillId="0" borderId="29" xfId="70" applyNumberFormat="1" applyFont="1" applyBorder="1" applyAlignment="1">
      <alignment vertical="center" wrapText="1"/>
    </xf>
    <xf numFmtId="167" fontId="54" fillId="0" borderId="10" xfId="41" applyNumberFormat="1" applyFont="1" applyFill="1" applyBorder="1" applyAlignment="1">
      <alignment horizontal="center" vertical="center" wrapText="1"/>
    </xf>
    <xf numFmtId="167" fontId="26" fillId="0" borderId="0" xfId="41" applyNumberFormat="1" applyFont="1" applyFill="1"/>
    <xf numFmtId="173" fontId="31" fillId="0" borderId="10" xfId="0" applyNumberFormat="1" applyFont="1" applyBorder="1" applyAlignment="1">
      <alignment horizontal="center" vertical="center" wrapText="1"/>
    </xf>
    <xf numFmtId="173" fontId="32" fillId="0" borderId="10" xfId="0" applyNumberFormat="1" applyFont="1" applyBorder="1" applyAlignment="1">
      <alignment horizontal="left" vertical="center" wrapText="1" indent="1"/>
    </xf>
    <xf numFmtId="167" fontId="31" fillId="0" borderId="14" xfId="41" applyNumberFormat="1" applyFont="1" applyFill="1" applyBorder="1" applyAlignment="1">
      <alignment horizontal="center" vertical="center"/>
    </xf>
    <xf numFmtId="167" fontId="31" fillId="0" borderId="37" xfId="41" applyNumberFormat="1" applyFont="1" applyFill="1" applyBorder="1" applyAlignment="1">
      <alignment horizontal="center" vertical="center"/>
    </xf>
    <xf numFmtId="167" fontId="32" fillId="0" borderId="14" xfId="41" applyNumberFormat="1" applyFont="1" applyFill="1" applyBorder="1" applyAlignment="1">
      <alignment horizontal="center" vertical="center"/>
    </xf>
    <xf numFmtId="167" fontId="32" fillId="0" borderId="54" xfId="41" applyNumberFormat="1" applyFont="1" applyFill="1" applyBorder="1" applyAlignment="1">
      <alignment vertical="center"/>
    </xf>
    <xf numFmtId="0" fontId="32" fillId="0" borderId="41" xfId="0" applyFont="1" applyBorder="1"/>
    <xf numFmtId="0" fontId="32" fillId="0" borderId="18" xfId="0" applyFont="1" applyBorder="1"/>
    <xf numFmtId="167" fontId="32" fillId="0" borderId="19" xfId="41" applyNumberFormat="1" applyFont="1" applyFill="1" applyBorder="1" applyAlignment="1">
      <alignment vertical="center"/>
    </xf>
    <xf numFmtId="0" fontId="30" fillId="0" borderId="18" xfId="0" applyFont="1" applyBorder="1" applyAlignment="1">
      <alignment vertical="center"/>
    </xf>
    <xf numFmtId="167" fontId="30" fillId="0" borderId="18" xfId="41" applyNumberFormat="1" applyFont="1" applyFill="1" applyBorder="1" applyAlignment="1">
      <alignment vertical="center"/>
    </xf>
    <xf numFmtId="167" fontId="30" fillId="0" borderId="19" xfId="41" applyNumberFormat="1" applyFont="1" applyFill="1" applyBorder="1" applyAlignment="1">
      <alignment vertical="center"/>
    </xf>
    <xf numFmtId="167" fontId="30" fillId="0" borderId="54" xfId="41" applyNumberFormat="1" applyFont="1" applyFill="1" applyBorder="1" applyAlignment="1">
      <alignment vertical="center"/>
    </xf>
    <xf numFmtId="167" fontId="30" fillId="0" borderId="19" xfId="41" applyNumberFormat="1" applyFont="1" applyFill="1" applyBorder="1"/>
    <xf numFmtId="0" fontId="50" fillId="0" borderId="0" xfId="0" applyFont="1" applyAlignment="1">
      <alignment wrapText="1"/>
    </xf>
    <xf numFmtId="10" fontId="30" fillId="29" borderId="10" xfId="84" applyNumberFormat="1" applyFont="1" applyFill="1" applyBorder="1" applyAlignment="1">
      <alignment horizontal="center"/>
    </xf>
    <xf numFmtId="170" fontId="43" fillId="0" borderId="20" xfId="81" applyNumberFormat="1" applyFont="1" applyFill="1" applyBorder="1"/>
    <xf numFmtId="168" fontId="43" fillId="0" borderId="42" xfId="43" applyNumberFormat="1" applyFont="1" applyFill="1" applyBorder="1"/>
    <xf numFmtId="170" fontId="43" fillId="0" borderId="42" xfId="81" applyNumberFormat="1" applyFont="1" applyFill="1" applyBorder="1"/>
    <xf numFmtId="169" fontId="27" fillId="0" borderId="20" xfId="81" applyNumberFormat="1" applyFont="1" applyFill="1" applyBorder="1" applyAlignment="1"/>
    <xf numFmtId="168" fontId="43" fillId="0" borderId="20" xfId="43" applyNumberFormat="1" applyFont="1" applyFill="1" applyBorder="1" applyAlignment="1">
      <alignment horizontal="center"/>
    </xf>
    <xf numFmtId="169" fontId="28" fillId="0" borderId="20" xfId="81" applyNumberFormat="1" applyFont="1" applyFill="1" applyBorder="1" applyAlignment="1">
      <alignment wrapText="1"/>
    </xf>
    <xf numFmtId="169" fontId="28" fillId="0" borderId="20" xfId="81" applyNumberFormat="1" applyFont="1" applyFill="1" applyBorder="1" applyAlignment="1"/>
    <xf numFmtId="169" fontId="28" fillId="0" borderId="34" xfId="81" applyNumberFormat="1" applyFont="1" applyFill="1" applyBorder="1" applyAlignment="1"/>
    <xf numFmtId="167" fontId="31" fillId="0" borderId="0" xfId="0" applyNumberFormat="1" applyFont="1" applyAlignment="1">
      <alignment horizontal="left" vertical="center" wrapText="1"/>
    </xf>
    <xf numFmtId="169" fontId="0" fillId="0" borderId="0" xfId="0" applyNumberFormat="1"/>
    <xf numFmtId="49" fontId="62" fillId="0" borderId="20" xfId="0" applyNumberFormat="1" applyFont="1" applyBorder="1"/>
    <xf numFmtId="0" fontId="31" fillId="24" borderId="20" xfId="0" applyFont="1" applyFill="1" applyBorder="1" applyAlignment="1">
      <alignment horizontal="left" vertical="center" wrapText="1"/>
    </xf>
    <xf numFmtId="49" fontId="31" fillId="0" borderId="17" xfId="0" quotePrefix="1" applyNumberFormat="1" applyFont="1" applyBorder="1" applyAlignment="1">
      <alignment horizontal="center" vertical="center"/>
    </xf>
    <xf numFmtId="0" fontId="31" fillId="0" borderId="17" xfId="0" quotePrefix="1" applyFont="1" applyBorder="1" applyAlignment="1">
      <alignment horizontal="center" vertical="center"/>
    </xf>
    <xf numFmtId="167" fontId="31" fillId="0" borderId="122" xfId="41" applyNumberFormat="1" applyFont="1" applyFill="1" applyBorder="1" applyAlignment="1">
      <alignment vertical="center"/>
    </xf>
    <xf numFmtId="49" fontId="31" fillId="27" borderId="21" xfId="0" applyNumberFormat="1" applyFont="1" applyFill="1" applyBorder="1" applyAlignment="1">
      <alignment horizontal="center" vertical="center"/>
    </xf>
    <xf numFmtId="49" fontId="31" fillId="27" borderId="20" xfId="0" quotePrefix="1" applyNumberFormat="1" applyFont="1" applyFill="1" applyBorder="1" applyAlignment="1">
      <alignment horizontal="center" vertical="center"/>
    </xf>
    <xf numFmtId="167" fontId="31" fillId="0" borderId="122" xfId="41" applyNumberFormat="1" applyFont="1" applyFill="1" applyBorder="1" applyAlignment="1">
      <alignment horizontal="center" vertical="center"/>
    </xf>
    <xf numFmtId="49" fontId="31" fillId="0" borderId="48" xfId="0" applyNumberFormat="1" applyFont="1" applyBorder="1" applyAlignment="1">
      <alignment horizontal="center" vertical="center"/>
    </xf>
    <xf numFmtId="49" fontId="31" fillId="0" borderId="17" xfId="0" applyNumberFormat="1" applyFont="1" applyBorder="1" applyAlignment="1">
      <alignment horizontal="center" vertical="center"/>
    </xf>
    <xf numFmtId="166" fontId="31" fillId="0" borderId="61" xfId="43" applyNumberFormat="1" applyFont="1" applyFill="1" applyBorder="1" applyAlignment="1">
      <alignment horizontal="right" vertical="center"/>
    </xf>
    <xf numFmtId="166" fontId="31" fillId="0" borderId="77" xfId="43" applyNumberFormat="1" applyFont="1" applyFill="1" applyBorder="1" applyAlignment="1">
      <alignment horizontal="right" vertical="center"/>
    </xf>
    <xf numFmtId="166" fontId="31" fillId="0" borderId="63" xfId="43" applyNumberFormat="1" applyFont="1" applyFill="1" applyBorder="1" applyAlignment="1">
      <alignment horizontal="right" vertical="center"/>
    </xf>
    <xf numFmtId="49" fontId="31" fillId="0" borderId="43" xfId="0" applyNumberFormat="1" applyFont="1" applyBorder="1" applyAlignment="1">
      <alignment horizontal="center" vertical="center"/>
    </xf>
    <xf numFmtId="167" fontId="31" fillId="0" borderId="12" xfId="41" applyNumberFormat="1" applyFont="1" applyFill="1" applyBorder="1" applyAlignment="1">
      <alignment vertical="center"/>
    </xf>
    <xf numFmtId="49" fontId="31" fillId="0" borderId="48" xfId="0" quotePrefix="1" applyNumberFormat="1" applyFont="1" applyBorder="1" applyAlignment="1">
      <alignment horizontal="center" vertical="center"/>
    </xf>
    <xf numFmtId="49" fontId="43" fillId="0" borderId="21" xfId="81" applyNumberFormat="1" applyFont="1" applyFill="1" applyBorder="1" applyAlignment="1">
      <alignment horizontal="left"/>
    </xf>
    <xf numFmtId="49" fontId="27" fillId="0" borderId="21" xfId="81" applyNumberFormat="1" applyFont="1" applyFill="1" applyBorder="1" applyAlignment="1">
      <alignment horizontal="left"/>
    </xf>
    <xf numFmtId="49" fontId="31" fillId="0" borderId="21" xfId="0" applyNumberFormat="1" applyFont="1" applyBorder="1" applyAlignment="1">
      <alignment horizontal="left"/>
    </xf>
    <xf numFmtId="167" fontId="32" fillId="0" borderId="54" xfId="41" applyNumberFormat="1" applyFont="1" applyFill="1" applyBorder="1" applyAlignment="1">
      <alignment horizontal="center" vertical="center"/>
    </xf>
    <xf numFmtId="49" fontId="31" fillId="0" borderId="17" xfId="0" quotePrefix="1" applyNumberFormat="1" applyFont="1" applyBorder="1" applyAlignment="1">
      <alignment horizontal="center" vertical="center" wrapText="1"/>
    </xf>
    <xf numFmtId="0" fontId="31" fillId="0" borderId="17" xfId="0" applyFont="1" applyBorder="1" applyAlignment="1">
      <alignment vertical="center" wrapText="1"/>
    </xf>
    <xf numFmtId="0" fontId="88" fillId="0" borderId="18" xfId="92" applyFont="1" applyBorder="1" applyAlignment="1">
      <alignment horizontal="center" vertical="center" wrapText="1"/>
    </xf>
    <xf numFmtId="171" fontId="27" fillId="0" borderId="20" xfId="92" applyNumberFormat="1" applyFont="1" applyBorder="1" applyAlignment="1">
      <alignment horizontal="right" vertical="center" wrapText="1"/>
    </xf>
    <xf numFmtId="5" fontId="27" fillId="0" borderId="20" xfId="92" applyNumberFormat="1" applyFont="1" applyBorder="1" applyAlignment="1">
      <alignment horizontal="right" vertical="center" wrapText="1"/>
    </xf>
    <xf numFmtId="5" fontId="27" fillId="0" borderId="34" xfId="92" applyNumberFormat="1" applyFont="1" applyBorder="1" applyAlignment="1">
      <alignment horizontal="right" vertical="center" wrapText="1"/>
    </xf>
    <xf numFmtId="172" fontId="27" fillId="0" borderId="20" xfId="92" applyNumberFormat="1" applyFont="1" applyBorder="1" applyAlignment="1">
      <alignment horizontal="right" vertical="center" wrapText="1"/>
    </xf>
    <xf numFmtId="5" fontId="43" fillId="0" borderId="20" xfId="92" applyNumberFormat="1" applyFont="1" applyBorder="1"/>
    <xf numFmtId="5" fontId="43" fillId="0" borderId="34" xfId="92" applyNumberFormat="1" applyFont="1" applyBorder="1"/>
    <xf numFmtId="0" fontId="31" fillId="0" borderId="20" xfId="92" applyFont="1" applyBorder="1"/>
    <xf numFmtId="5" fontId="44" fillId="0" borderId="34" xfId="92" applyNumberFormat="1" applyFont="1" applyBorder="1"/>
    <xf numFmtId="169" fontId="59" fillId="0" borderId="20" xfId="92" applyNumberFormat="1" applyFont="1" applyBorder="1"/>
    <xf numFmtId="169" fontId="44" fillId="0" borderId="34" xfId="92" applyNumberFormat="1" applyFont="1" applyBorder="1"/>
    <xf numFmtId="0" fontId="59" fillId="0" borderId="20" xfId="92" applyFont="1" applyBorder="1" applyAlignment="1">
      <alignment wrapText="1"/>
    </xf>
    <xf numFmtId="169" fontId="43" fillId="0" borderId="20" xfId="92" applyNumberFormat="1" applyFont="1" applyBorder="1"/>
    <xf numFmtId="169" fontId="43" fillId="0" borderId="34" xfId="92" applyNumberFormat="1" applyFont="1" applyBorder="1"/>
    <xf numFmtId="0" fontId="88" fillId="0" borderId="20" xfId="92" applyFont="1" applyBorder="1" applyAlignment="1">
      <alignment horizontal="center"/>
    </xf>
    <xf numFmtId="5" fontId="27" fillId="0" borderId="20" xfId="92" applyNumberFormat="1" applyFont="1" applyBorder="1" applyAlignment="1">
      <alignment horizontal="left" vertical="center" wrapText="1"/>
    </xf>
    <xf numFmtId="44" fontId="0" fillId="0" borderId="0" xfId="79" applyFont="1"/>
    <xf numFmtId="167" fontId="31" fillId="27" borderId="17" xfId="41" applyNumberFormat="1" applyFont="1" applyFill="1" applyBorder="1" applyAlignment="1">
      <alignment vertical="center"/>
    </xf>
    <xf numFmtId="167" fontId="31" fillId="27" borderId="20" xfId="41" applyNumberFormat="1" applyFont="1" applyFill="1" applyBorder="1" applyAlignment="1">
      <alignment horizontal="center" vertical="center"/>
    </xf>
    <xf numFmtId="49" fontId="31" fillId="0" borderId="26" xfId="0" applyNumberFormat="1" applyFont="1" applyBorder="1" applyAlignment="1">
      <alignment horizontal="center" vertical="center"/>
    </xf>
    <xf numFmtId="49" fontId="31" fillId="0" borderId="14" xfId="0" quotePrefix="1" applyNumberFormat="1" applyFont="1" applyBorder="1" applyAlignment="1">
      <alignment horizontal="center" vertical="center"/>
    </xf>
    <xf numFmtId="167" fontId="31" fillId="0" borderId="32" xfId="41" applyNumberFormat="1" applyFont="1" applyFill="1" applyBorder="1" applyAlignment="1">
      <alignment vertical="center"/>
    </xf>
    <xf numFmtId="0" fontId="31" fillId="0" borderId="18" xfId="0" applyFont="1" applyBorder="1" applyAlignment="1">
      <alignment horizontal="center" vertical="center" wrapText="1"/>
    </xf>
    <xf numFmtId="167" fontId="31" fillId="0" borderId="18" xfId="41" applyNumberFormat="1" applyFont="1" applyFill="1" applyBorder="1" applyAlignment="1">
      <alignment horizontal="center" vertical="center" wrapText="1"/>
    </xf>
    <xf numFmtId="0" fontId="43" fillId="0" borderId="10" xfId="68" quotePrefix="1" applyFont="1" applyBorder="1" applyAlignment="1">
      <alignment vertical="center" wrapText="1"/>
    </xf>
    <xf numFmtId="0" fontId="49" fillId="24" borderId="0" xfId="0" applyFont="1" applyFill="1" applyAlignment="1">
      <alignment horizontal="center" vertical="center"/>
    </xf>
    <xf numFmtId="167" fontId="32" fillId="29" borderId="10" xfId="41" applyNumberFormat="1" applyFont="1" applyFill="1" applyBorder="1" applyAlignment="1">
      <alignment horizontal="center" vertical="center" wrapText="1"/>
    </xf>
    <xf numFmtId="167" fontId="32" fillId="24" borderId="19" xfId="41" applyNumberFormat="1" applyFont="1" applyFill="1" applyBorder="1" applyAlignment="1">
      <alignment vertical="center"/>
    </xf>
    <xf numFmtId="167" fontId="29" fillId="0" borderId="10" xfId="41" applyNumberFormat="1" applyFont="1" applyFill="1" applyBorder="1"/>
    <xf numFmtId="167" fontId="65" fillId="0" borderId="10" xfId="41" applyNumberFormat="1" applyFont="1" applyFill="1" applyBorder="1"/>
    <xf numFmtId="167" fontId="30" fillId="0" borderId="10" xfId="41" applyNumberFormat="1" applyFont="1" applyFill="1" applyBorder="1"/>
    <xf numFmtId="167" fontId="30" fillId="0" borderId="0" xfId="41" applyNumberFormat="1" applyFont="1" applyFill="1" applyBorder="1"/>
    <xf numFmtId="49" fontId="31" fillId="0" borderId="42" xfId="0" applyNumberFormat="1" applyFont="1" applyBorder="1" applyAlignment="1">
      <alignment horizontal="center" vertical="center" wrapText="1"/>
    </xf>
    <xf numFmtId="49" fontId="31" fillId="0" borderId="20" xfId="0" applyNumberFormat="1" applyFont="1" applyBorder="1" applyAlignment="1">
      <alignment horizontal="center" vertical="center" wrapText="1"/>
    </xf>
    <xf numFmtId="49" fontId="31" fillId="0" borderId="13" xfId="0" applyNumberFormat="1" applyFont="1" applyBorder="1" applyAlignment="1">
      <alignment horizontal="center" vertical="center" wrapText="1"/>
    </xf>
    <xf numFmtId="49" fontId="31" fillId="0" borderId="17" xfId="0" applyNumberFormat="1" applyFont="1" applyBorder="1" applyAlignment="1">
      <alignment horizontal="center" vertical="center" wrapText="1"/>
    </xf>
    <xf numFmtId="0" fontId="32" fillId="0" borderId="18" xfId="0" applyFont="1" applyBorder="1" applyAlignment="1">
      <alignment wrapText="1"/>
    </xf>
    <xf numFmtId="0" fontId="30" fillId="0" borderId="18" xfId="0" applyFont="1" applyBorder="1" applyAlignment="1">
      <alignment wrapText="1"/>
    </xf>
    <xf numFmtId="0" fontId="31" fillId="0" borderId="0" xfId="0" applyFont="1" applyAlignment="1">
      <alignment horizontal="center" vertical="center"/>
    </xf>
    <xf numFmtId="167" fontId="31" fillId="27" borderId="14" xfId="41" applyNumberFormat="1" applyFont="1" applyFill="1" applyBorder="1" applyAlignment="1">
      <alignment horizontal="center" vertical="center"/>
    </xf>
    <xf numFmtId="0" fontId="31" fillId="24" borderId="37" xfId="0" applyFont="1" applyFill="1" applyBorder="1" applyAlignment="1">
      <alignment horizontal="center" vertical="center"/>
    </xf>
    <xf numFmtId="0" fontId="31" fillId="24" borderId="19" xfId="0" applyFont="1" applyFill="1" applyBorder="1" applyAlignment="1">
      <alignment horizontal="center" vertical="center"/>
    </xf>
    <xf numFmtId="0" fontId="31" fillId="24" borderId="41" xfId="0" applyFont="1" applyFill="1" applyBorder="1" applyAlignment="1">
      <alignment horizontal="center"/>
    </xf>
    <xf numFmtId="0" fontId="31" fillId="24" borderId="18" xfId="0" applyFont="1" applyFill="1" applyBorder="1"/>
    <xf numFmtId="167" fontId="31" fillId="24" borderId="18" xfId="41" applyNumberFormat="1" applyFont="1" applyFill="1" applyBorder="1" applyAlignment="1">
      <alignment vertical="center"/>
    </xf>
    <xf numFmtId="0" fontId="31" fillId="24" borderId="19" xfId="0" applyFont="1" applyFill="1" applyBorder="1" applyAlignment="1">
      <alignment vertical="center"/>
    </xf>
    <xf numFmtId="0" fontId="31" fillId="27" borderId="20" xfId="0" applyFont="1" applyFill="1" applyBorder="1" applyAlignment="1">
      <alignment horizontal="left" vertical="center" wrapText="1"/>
    </xf>
    <xf numFmtId="49" fontId="31" fillId="0" borderId="14" xfId="0" applyNumberFormat="1" applyFont="1" applyBorder="1" applyAlignment="1">
      <alignment horizontal="center" vertical="center" wrapText="1"/>
    </xf>
    <xf numFmtId="167" fontId="31" fillId="0" borderId="14" xfId="41" applyNumberFormat="1" applyFont="1" applyFill="1" applyBorder="1"/>
    <xf numFmtId="167" fontId="32" fillId="0" borderId="30" xfId="41" applyNumberFormat="1" applyFont="1" applyFill="1" applyBorder="1" applyAlignment="1">
      <alignment horizontal="center" vertical="center"/>
    </xf>
    <xf numFmtId="167" fontId="27" fillId="0" borderId="10" xfId="41" applyNumberFormat="1" applyFont="1" applyFill="1" applyBorder="1" applyAlignment="1">
      <alignment horizontal="right" vertical="center"/>
    </xf>
    <xf numFmtId="167" fontId="37" fillId="0" borderId="10" xfId="41" applyNumberFormat="1" applyFont="1" applyFill="1" applyBorder="1" applyAlignment="1">
      <alignment horizontal="right" vertical="center"/>
    </xf>
    <xf numFmtId="0" fontId="31" fillId="0" borderId="22" xfId="0" applyFont="1" applyBorder="1" applyAlignment="1">
      <alignment horizontal="center" vertical="center"/>
    </xf>
    <xf numFmtId="0" fontId="31" fillId="0" borderId="42" xfId="0" applyFont="1" applyBorder="1" applyAlignment="1">
      <alignment horizontal="center" vertical="center"/>
    </xf>
    <xf numFmtId="0" fontId="32" fillId="0" borderId="29" xfId="0" applyFont="1" applyBorder="1" applyAlignment="1">
      <alignment horizontal="left" vertical="center"/>
    </xf>
    <xf numFmtId="0" fontId="31" fillId="27" borderId="19" xfId="0" applyFont="1" applyFill="1" applyBorder="1" applyAlignment="1">
      <alignment horizontal="center" vertical="center"/>
    </xf>
    <xf numFmtId="5" fontId="59" fillId="0" borderId="20" xfId="92" applyNumberFormat="1" applyFont="1" applyBorder="1"/>
    <xf numFmtId="0" fontId="29" fillId="24" borderId="107" xfId="71" applyFont="1" applyFill="1" applyBorder="1"/>
    <xf numFmtId="0" fontId="29" fillId="24" borderId="28" xfId="71" applyFont="1" applyFill="1" applyBorder="1"/>
    <xf numFmtId="0" fontId="29" fillId="24" borderId="28" xfId="71" applyFont="1" applyFill="1" applyBorder="1" applyAlignment="1">
      <alignment horizontal="left" vertical="center"/>
    </xf>
    <xf numFmtId="167" fontId="29" fillId="27" borderId="0" xfId="49" applyNumberFormat="1" applyFont="1" applyFill="1" applyBorder="1" applyAlignment="1">
      <alignment vertical="center" wrapText="1"/>
    </xf>
    <xf numFmtId="0" fontId="29" fillId="24" borderId="28" xfId="71" applyFont="1" applyFill="1" applyBorder="1" applyAlignment="1">
      <alignment vertical="center"/>
    </xf>
    <xf numFmtId="0" fontId="29" fillId="24" borderId="28" xfId="71" applyFont="1" applyFill="1" applyBorder="1" applyAlignment="1">
      <alignment horizontal="center"/>
    </xf>
    <xf numFmtId="0" fontId="6" fillId="24" borderId="107" xfId="72" applyFill="1" applyBorder="1"/>
    <xf numFmtId="0" fontId="6" fillId="24" borderId="28" xfId="72" applyFill="1" applyBorder="1"/>
    <xf numFmtId="0" fontId="6" fillId="24" borderId="28" xfId="72" applyFill="1" applyBorder="1" applyAlignment="1">
      <alignment vertical="center"/>
    </xf>
    <xf numFmtId="0" fontId="6" fillId="24" borderId="28" xfId="72" applyFill="1" applyBorder="1" applyAlignment="1">
      <alignment horizontal="left" vertical="center"/>
    </xf>
    <xf numFmtId="0" fontId="29" fillId="27" borderId="23" xfId="0" applyFont="1" applyFill="1" applyBorder="1" applyAlignment="1">
      <alignment horizontal="center" vertical="center" wrapText="1"/>
    </xf>
    <xf numFmtId="1" fontId="27" fillId="24" borderId="29" xfId="0" applyNumberFormat="1" applyFont="1" applyFill="1" applyBorder="1" applyAlignment="1">
      <alignment horizontal="center" vertical="center"/>
    </xf>
    <xf numFmtId="164" fontId="28" fillId="24" borderId="29" xfId="0" quotePrefix="1" applyNumberFormat="1" applyFont="1" applyFill="1" applyBorder="1" applyAlignment="1">
      <alignment horizontal="center" vertical="center"/>
    </xf>
    <xf numFmtId="167" fontId="27" fillId="0" borderId="66" xfId="41" applyNumberFormat="1" applyFont="1" applyFill="1" applyBorder="1"/>
    <xf numFmtId="167" fontId="32" fillId="24" borderId="23" xfId="41" applyNumberFormat="1" applyFont="1" applyFill="1" applyBorder="1" applyAlignment="1">
      <alignment vertical="center"/>
    </xf>
    <xf numFmtId="0" fontId="29" fillId="27" borderId="41" xfId="0" applyFont="1" applyFill="1" applyBorder="1" applyAlignment="1">
      <alignment horizontal="center" vertical="center" wrapText="1"/>
    </xf>
    <xf numFmtId="0" fontId="31" fillId="24" borderId="18" xfId="0" applyFont="1" applyFill="1" applyBorder="1" applyAlignment="1">
      <alignment horizontal="center" vertical="center" wrapText="1"/>
    </xf>
    <xf numFmtId="0" fontId="31" fillId="0" borderId="20" xfId="0" applyFont="1" applyBorder="1" applyAlignment="1">
      <alignment wrapText="1"/>
    </xf>
    <xf numFmtId="0" fontId="31" fillId="0" borderId="20" xfId="0" applyFont="1" applyBorder="1" applyAlignment="1">
      <alignment vertical="center" wrapText="1"/>
    </xf>
    <xf numFmtId="167" fontId="31" fillId="0" borderId="37" xfId="41" applyNumberFormat="1" applyFont="1" applyFill="1" applyBorder="1" applyAlignment="1">
      <alignment vertical="center"/>
    </xf>
    <xf numFmtId="0" fontId="29" fillId="27" borderId="54" xfId="0" applyFont="1" applyFill="1" applyBorder="1" applyAlignment="1">
      <alignment horizontal="center" vertical="center" wrapText="1"/>
    </xf>
    <xf numFmtId="167" fontId="32" fillId="24" borderId="54" xfId="41" applyNumberFormat="1" applyFont="1" applyFill="1" applyBorder="1" applyAlignment="1">
      <alignment vertical="center"/>
    </xf>
    <xf numFmtId="167" fontId="31" fillId="0" borderId="86" xfId="41" applyNumberFormat="1" applyFont="1" applyFill="1" applyBorder="1" applyAlignment="1">
      <alignment vertical="center"/>
    </xf>
    <xf numFmtId="167" fontId="31" fillId="0" borderId="19" xfId="41" applyNumberFormat="1" applyFont="1" applyFill="1" applyBorder="1" applyAlignment="1">
      <alignment vertical="center"/>
    </xf>
    <xf numFmtId="167" fontId="32" fillId="24" borderId="85" xfId="41" applyNumberFormat="1" applyFont="1" applyFill="1" applyBorder="1" applyAlignment="1">
      <alignment vertical="center"/>
    </xf>
    <xf numFmtId="0" fontId="31" fillId="0" borderId="13" xfId="0" applyFont="1" applyBorder="1" applyAlignment="1">
      <alignment horizontal="center" vertical="center" wrapText="1"/>
    </xf>
    <xf numFmtId="167" fontId="31" fillId="0" borderId="85" xfId="41" applyNumberFormat="1" applyFont="1" applyFill="1" applyBorder="1" applyAlignment="1">
      <alignment horizontal="center" vertical="center" wrapText="1"/>
    </xf>
    <xf numFmtId="0" fontId="31" fillId="24" borderId="82" xfId="0" applyFont="1" applyFill="1" applyBorder="1" applyAlignment="1">
      <alignment horizontal="center" vertical="center" wrapText="1"/>
    </xf>
    <xf numFmtId="0" fontId="31" fillId="24" borderId="51" xfId="0" applyFont="1" applyFill="1" applyBorder="1" applyAlignment="1">
      <alignment horizontal="center" vertical="center" wrapText="1"/>
    </xf>
    <xf numFmtId="0" fontId="31" fillId="24" borderId="46" xfId="0" applyFont="1" applyFill="1" applyBorder="1" applyAlignment="1">
      <alignment horizontal="center" vertical="center" wrapText="1"/>
    </xf>
    <xf numFmtId="167" fontId="31" fillId="24" borderId="18" xfId="41" applyNumberFormat="1" applyFont="1" applyFill="1" applyBorder="1" applyAlignment="1">
      <alignment horizontal="center" vertical="center" wrapText="1"/>
    </xf>
    <xf numFmtId="167" fontId="31" fillId="24" borderId="19" xfId="41" applyNumberFormat="1" applyFont="1" applyFill="1" applyBorder="1" applyAlignment="1">
      <alignment horizontal="center" vertical="center" wrapText="1"/>
    </xf>
    <xf numFmtId="0" fontId="31" fillId="24" borderId="19" xfId="0" applyFont="1" applyFill="1" applyBorder="1" applyAlignment="1">
      <alignment horizontal="center" vertical="center" wrapText="1"/>
    </xf>
    <xf numFmtId="0" fontId="31" fillId="0" borderId="15" xfId="0" applyFont="1" applyBorder="1" applyAlignment="1">
      <alignment horizontal="center" vertical="center" wrapText="1"/>
    </xf>
    <xf numFmtId="167" fontId="32" fillId="0" borderId="18" xfId="41" applyNumberFormat="1" applyFont="1" applyFill="1" applyBorder="1"/>
    <xf numFmtId="167" fontId="31" fillId="0" borderId="18" xfId="41" applyNumberFormat="1" applyFont="1" applyFill="1" applyBorder="1"/>
    <xf numFmtId="0" fontId="31" fillId="0" borderId="49" xfId="0" applyFont="1" applyBorder="1" applyAlignment="1">
      <alignment horizontal="center" vertical="center" textRotation="90"/>
    </xf>
    <xf numFmtId="0" fontId="31" fillId="0" borderId="15" xfId="0" applyFont="1" applyBorder="1" applyAlignment="1">
      <alignment horizontal="center" vertical="center" textRotation="90"/>
    </xf>
    <xf numFmtId="0" fontId="31" fillId="0" borderId="15" xfId="0" applyFont="1" applyBorder="1" applyAlignment="1">
      <alignment horizontal="center" vertical="center"/>
    </xf>
    <xf numFmtId="167" fontId="35" fillId="24" borderId="18" xfId="41" applyNumberFormat="1" applyFont="1" applyFill="1" applyBorder="1" applyAlignment="1">
      <alignment horizontal="center" vertical="center"/>
    </xf>
    <xf numFmtId="167" fontId="35" fillId="24" borderId="19" xfId="41" applyNumberFormat="1" applyFont="1" applyFill="1" applyBorder="1" applyAlignment="1">
      <alignment horizontal="center" vertical="center"/>
    </xf>
    <xf numFmtId="0" fontId="31" fillId="0" borderId="19" xfId="0" applyFont="1" applyBorder="1" applyAlignment="1">
      <alignment horizontal="center" vertical="center"/>
    </xf>
    <xf numFmtId="167" fontId="32" fillId="0" borderId="18" xfId="41" applyNumberFormat="1" applyFont="1" applyBorder="1" applyAlignment="1">
      <alignment horizontal="center" vertical="center"/>
    </xf>
    <xf numFmtId="167" fontId="32" fillId="0" borderId="20" xfId="41" applyNumberFormat="1" applyFont="1" applyFill="1" applyBorder="1" applyAlignment="1">
      <alignment vertical="center"/>
    </xf>
    <xf numFmtId="167" fontId="31" fillId="0" borderId="19" xfId="41" applyNumberFormat="1" applyFont="1" applyFill="1" applyBorder="1" applyAlignment="1">
      <alignment horizontal="center" vertical="center"/>
    </xf>
    <xf numFmtId="167" fontId="32" fillId="0" borderId="54" xfId="41" applyNumberFormat="1" applyFont="1" applyBorder="1" applyAlignment="1">
      <alignment horizontal="center" vertical="center"/>
    </xf>
    <xf numFmtId="167" fontId="32" fillId="0" borderId="19" xfId="41" applyNumberFormat="1" applyFont="1" applyBorder="1" applyAlignment="1">
      <alignment horizontal="center" vertical="center"/>
    </xf>
    <xf numFmtId="0" fontId="32" fillId="0" borderId="41" xfId="0" applyFont="1" applyBorder="1" applyAlignment="1">
      <alignment vertical="center"/>
    </xf>
    <xf numFmtId="0" fontId="30" fillId="0" borderId="18" xfId="0" applyFont="1" applyBorder="1"/>
    <xf numFmtId="167" fontId="32" fillId="27" borderId="18" xfId="41" applyNumberFormat="1" applyFont="1" applyFill="1" applyBorder="1" applyAlignment="1">
      <alignment horizontal="center" vertical="center"/>
    </xf>
    <xf numFmtId="167" fontId="32" fillId="0" borderId="20" xfId="41" applyNumberFormat="1" applyFont="1" applyFill="1" applyBorder="1" applyAlignment="1">
      <alignment horizontal="center" vertical="center"/>
    </xf>
    <xf numFmtId="167" fontId="32" fillId="0" borderId="17" xfId="41" applyNumberFormat="1" applyFont="1" applyFill="1" applyBorder="1" applyAlignment="1">
      <alignment horizontal="center" vertical="center"/>
    </xf>
    <xf numFmtId="0" fontId="34" fillId="27" borderId="0" xfId="0" applyFont="1" applyFill="1"/>
    <xf numFmtId="0" fontId="31" fillId="0" borderId="18" xfId="0" applyFont="1" applyBorder="1" applyAlignment="1">
      <alignment horizontal="left" vertical="center" wrapText="1"/>
    </xf>
    <xf numFmtId="167" fontId="31" fillId="27" borderId="18" xfId="41" applyNumberFormat="1" applyFont="1" applyFill="1" applyBorder="1"/>
    <xf numFmtId="0" fontId="49" fillId="27" borderId="0" xfId="0" applyFont="1" applyFill="1" applyAlignment="1">
      <alignment vertical="center"/>
    </xf>
    <xf numFmtId="167" fontId="32" fillId="0" borderId="42" xfId="41" applyNumberFormat="1" applyFont="1" applyFill="1" applyBorder="1" applyAlignment="1">
      <alignment vertical="center"/>
    </xf>
    <xf numFmtId="167" fontId="31" fillId="24" borderId="30" xfId="41" applyNumberFormat="1" applyFont="1" applyFill="1" applyBorder="1" applyAlignment="1">
      <alignment horizontal="center" vertical="center" wrapText="1"/>
    </xf>
    <xf numFmtId="0" fontId="31" fillId="24" borderId="25" xfId="0" applyFont="1" applyFill="1" applyBorder="1" applyAlignment="1">
      <alignment horizontal="center"/>
    </xf>
    <xf numFmtId="0" fontId="31" fillId="0" borderId="32" xfId="0" applyFont="1" applyBorder="1" applyAlignment="1">
      <alignment horizontal="center" vertical="center"/>
    </xf>
    <xf numFmtId="0" fontId="31" fillId="24" borderId="29" xfId="0" applyFont="1" applyFill="1" applyBorder="1" applyAlignment="1">
      <alignment horizontal="center" vertical="center"/>
    </xf>
    <xf numFmtId="0" fontId="31" fillId="0" borderId="17" xfId="0" applyFont="1" applyBorder="1" applyAlignment="1">
      <alignment horizontal="center" vertical="center" wrapText="1"/>
    </xf>
    <xf numFmtId="167" fontId="32" fillId="0" borderId="18" xfId="0" applyNumberFormat="1" applyFont="1" applyBorder="1" applyAlignment="1">
      <alignment vertical="center"/>
    </xf>
    <xf numFmtId="167" fontId="31" fillId="0" borderId="26" xfId="41" applyNumberFormat="1" applyFont="1" applyBorder="1" applyAlignment="1">
      <alignment vertical="center"/>
    </xf>
    <xf numFmtId="167" fontId="31" fillId="0" borderId="21" xfId="41" applyNumberFormat="1" applyFont="1" applyBorder="1" applyAlignment="1">
      <alignment vertical="center"/>
    </xf>
    <xf numFmtId="167" fontId="31" fillId="0" borderId="48" xfId="41" applyNumberFormat="1" applyFont="1" applyBorder="1" applyAlignment="1">
      <alignment vertical="center"/>
    </xf>
    <xf numFmtId="167" fontId="31" fillId="0" borderId="37" xfId="41" applyNumberFormat="1" applyFont="1" applyBorder="1" applyAlignment="1">
      <alignment vertical="center"/>
    </xf>
    <xf numFmtId="167" fontId="31" fillId="0" borderId="34" xfId="41" applyNumberFormat="1" applyFont="1" applyBorder="1" applyAlignment="1">
      <alignment vertical="center"/>
    </xf>
    <xf numFmtId="167" fontId="31" fillId="0" borderId="12" xfId="41" applyNumberFormat="1" applyFont="1" applyBorder="1" applyAlignment="1">
      <alignment vertical="center"/>
    </xf>
    <xf numFmtId="167" fontId="30" fillId="0" borderId="18" xfId="41" applyNumberFormat="1" applyFont="1" applyBorder="1" applyAlignment="1">
      <alignment vertical="center"/>
    </xf>
    <xf numFmtId="0" fontId="30" fillId="0" borderId="19" xfId="0" applyFont="1" applyBorder="1" applyAlignment="1">
      <alignment vertical="center"/>
    </xf>
    <xf numFmtId="5" fontId="61" fillId="0" borderId="0" xfId="92" applyNumberFormat="1" applyFont="1" applyAlignment="1">
      <alignment vertical="center" wrapText="1"/>
    </xf>
    <xf numFmtId="0" fontId="0" fillId="0" borderId="14" xfId="0" applyBorder="1"/>
    <xf numFmtId="5" fontId="27" fillId="0" borderId="21" xfId="92" applyNumberFormat="1" applyFont="1" applyBorder="1" applyAlignment="1">
      <alignment horizontal="left" vertical="center" wrapText="1"/>
    </xf>
    <xf numFmtId="0" fontId="88" fillId="0" borderId="41" xfId="92" applyFont="1" applyBorder="1" applyAlignment="1">
      <alignment horizontal="center" vertical="center" wrapText="1"/>
    </xf>
    <xf numFmtId="5" fontId="27" fillId="0" borderId="22" xfId="92" applyNumberFormat="1" applyFont="1" applyBorder="1" applyAlignment="1">
      <alignment horizontal="left" vertical="center" wrapText="1"/>
    </xf>
    <xf numFmtId="5" fontId="27" fillId="0" borderId="42" xfId="92" applyNumberFormat="1" applyFont="1" applyBorder="1" applyAlignment="1">
      <alignment horizontal="left" vertical="center" wrapText="1"/>
    </xf>
    <xf numFmtId="171" fontId="27" fillId="0" borderId="42" xfId="92" applyNumberFormat="1" applyFont="1" applyBorder="1" applyAlignment="1">
      <alignment horizontal="right" vertical="center" wrapText="1"/>
    </xf>
    <xf numFmtId="5" fontId="27" fillId="0" borderId="42" xfId="92" applyNumberFormat="1" applyFont="1" applyBorder="1" applyAlignment="1">
      <alignment horizontal="right" vertical="center" wrapText="1"/>
    </xf>
    <xf numFmtId="5" fontId="27" fillId="0" borderId="32" xfId="92" applyNumberFormat="1" applyFont="1" applyBorder="1" applyAlignment="1">
      <alignment horizontal="right" vertical="center" wrapText="1"/>
    </xf>
    <xf numFmtId="49" fontId="61" fillId="0" borderId="41" xfId="92" applyNumberFormat="1" applyFont="1" applyBorder="1" applyAlignment="1">
      <alignment horizontal="left" vertical="center" wrapText="1"/>
    </xf>
    <xf numFmtId="0" fontId="0" fillId="0" borderId="18" xfId="0" applyBorder="1"/>
    <xf numFmtId="5" fontId="58" fillId="0" borderId="18" xfId="92" applyNumberFormat="1" applyFont="1" applyBorder="1" applyAlignment="1">
      <alignment vertical="center" wrapText="1"/>
    </xf>
    <xf numFmtId="5" fontId="58" fillId="0" borderId="19" xfId="92" applyNumberFormat="1" applyFont="1" applyBorder="1" applyAlignment="1">
      <alignment vertical="center" wrapText="1"/>
    </xf>
    <xf numFmtId="49" fontId="43" fillId="0" borderId="26" xfId="92" applyNumberFormat="1" applyFont="1" applyBorder="1" applyAlignment="1">
      <alignment horizontal="left"/>
    </xf>
    <xf numFmtId="5" fontId="44" fillId="0" borderId="14" xfId="92" applyNumberFormat="1" applyFont="1" applyBorder="1"/>
    <xf numFmtId="5" fontId="59" fillId="0" borderId="14" xfId="92" applyNumberFormat="1" applyFont="1" applyBorder="1"/>
    <xf numFmtId="49" fontId="43" fillId="0" borderId="21" xfId="92" applyNumberFormat="1" applyFont="1" applyBorder="1" applyAlignment="1">
      <alignment horizontal="left"/>
    </xf>
    <xf numFmtId="49" fontId="60" fillId="0" borderId="21" xfId="92" applyNumberFormat="1" applyFont="1" applyBorder="1" applyAlignment="1">
      <alignment horizontal="left"/>
    </xf>
    <xf numFmtId="5" fontId="44" fillId="0" borderId="20" xfId="92" applyNumberFormat="1" applyFont="1" applyBorder="1"/>
    <xf numFmtId="5" fontId="43" fillId="0" borderId="20" xfId="81" applyNumberFormat="1" applyFont="1" applyFill="1" applyBorder="1" applyAlignment="1">
      <alignment wrapText="1"/>
    </xf>
    <xf numFmtId="5" fontId="43" fillId="0" borderId="20" xfId="81" applyNumberFormat="1" applyFont="1" applyFill="1" applyBorder="1"/>
    <xf numFmtId="5" fontId="44" fillId="0" borderId="20" xfId="81" applyNumberFormat="1" applyFont="1" applyFill="1" applyBorder="1" applyAlignment="1">
      <alignment wrapText="1"/>
    </xf>
    <xf numFmtId="5" fontId="44" fillId="0" borderId="20" xfId="81" applyNumberFormat="1" applyFont="1" applyFill="1" applyBorder="1" applyAlignment="1">
      <alignment vertical="center"/>
    </xf>
    <xf numFmtId="5" fontId="44" fillId="0" borderId="34" xfId="81" applyNumberFormat="1" applyFont="1" applyFill="1" applyBorder="1" applyAlignment="1">
      <alignment vertical="center"/>
    </xf>
    <xf numFmtId="49" fontId="60" fillId="0" borderId="21" xfId="81" applyNumberFormat="1" applyFont="1" applyFill="1" applyBorder="1" applyAlignment="1">
      <alignment horizontal="left"/>
    </xf>
    <xf numFmtId="5" fontId="60" fillId="0" borderId="20" xfId="81" applyNumberFormat="1" applyFont="1" applyFill="1" applyBorder="1" applyAlignment="1"/>
    <xf numFmtId="5" fontId="60" fillId="0" borderId="34" xfId="81" applyNumberFormat="1" applyFont="1" applyFill="1" applyBorder="1" applyAlignment="1"/>
    <xf numFmtId="49" fontId="43" fillId="0" borderId="21" xfId="43" applyNumberFormat="1" applyFont="1" applyFill="1" applyBorder="1" applyAlignment="1">
      <alignment horizontal="left"/>
    </xf>
    <xf numFmtId="169" fontId="44" fillId="0" borderId="20" xfId="92" applyNumberFormat="1" applyFont="1" applyBorder="1" applyAlignment="1">
      <alignment horizontal="left"/>
    </xf>
    <xf numFmtId="169" fontId="44" fillId="0" borderId="20" xfId="92" applyNumberFormat="1" applyFont="1" applyBorder="1"/>
    <xf numFmtId="5" fontId="44" fillId="0" borderId="20" xfId="81" applyNumberFormat="1" applyFont="1" applyFill="1" applyBorder="1"/>
    <xf numFmtId="49" fontId="43" fillId="0" borderId="22" xfId="92" applyNumberFormat="1" applyFont="1" applyBorder="1" applyAlignment="1">
      <alignment horizontal="left"/>
    </xf>
    <xf numFmtId="169" fontId="43" fillId="0" borderId="42" xfId="92" applyNumberFormat="1" applyFont="1" applyBorder="1"/>
    <xf numFmtId="169" fontId="44" fillId="0" borderId="42" xfId="92" applyNumberFormat="1" applyFont="1" applyBorder="1"/>
    <xf numFmtId="49" fontId="61" fillId="0" borderId="41" xfId="92" applyNumberFormat="1" applyFont="1" applyBorder="1" applyAlignment="1">
      <alignment horizontal="left"/>
    </xf>
    <xf numFmtId="169" fontId="58" fillId="0" borderId="18" xfId="92" applyNumberFormat="1" applyFont="1" applyBorder="1"/>
    <xf numFmtId="168" fontId="43" fillId="0" borderId="18" xfId="43" applyNumberFormat="1" applyFont="1" applyFill="1" applyBorder="1"/>
    <xf numFmtId="170" fontId="43" fillId="0" borderId="18" xfId="81" applyNumberFormat="1" applyFont="1" applyFill="1" applyBorder="1"/>
    <xf numFmtId="169" fontId="58" fillId="0" borderId="19" xfId="92" applyNumberFormat="1" applyFont="1" applyBorder="1"/>
    <xf numFmtId="169" fontId="44" fillId="0" borderId="14" xfId="92" applyNumberFormat="1" applyFont="1" applyBorder="1"/>
    <xf numFmtId="168" fontId="44" fillId="0" borderId="14" xfId="43" applyNumberFormat="1" applyFont="1" applyFill="1" applyBorder="1"/>
    <xf numFmtId="170" fontId="44" fillId="0" borderId="14" xfId="81" applyNumberFormat="1" applyFont="1" applyFill="1" applyBorder="1"/>
    <xf numFmtId="169" fontId="44" fillId="0" borderId="37" xfId="92" applyNumberFormat="1" applyFont="1" applyBorder="1"/>
    <xf numFmtId="5" fontId="59" fillId="0" borderId="20" xfId="43" applyNumberFormat="1" applyFont="1" applyFill="1" applyBorder="1" applyAlignment="1"/>
    <xf numFmtId="5" fontId="59" fillId="0" borderId="34" xfId="43" applyNumberFormat="1" applyFont="1" applyFill="1" applyBorder="1" applyAlignment="1"/>
    <xf numFmtId="0" fontId="59" fillId="0" borderId="20" xfId="92" applyFont="1" applyBorder="1"/>
    <xf numFmtId="169" fontId="59" fillId="0" borderId="34" xfId="92" applyNumberFormat="1" applyFont="1" applyBorder="1"/>
    <xf numFmtId="49" fontId="27" fillId="0" borderId="22" xfId="92" applyNumberFormat="1" applyFont="1" applyBorder="1" applyAlignment="1">
      <alignment horizontal="left" vertical="center" wrapText="1"/>
    </xf>
    <xf numFmtId="168" fontId="43" fillId="0" borderId="42" xfId="43" applyNumberFormat="1" applyFont="1" applyFill="1" applyBorder="1" applyAlignment="1">
      <alignment horizontal="center"/>
    </xf>
    <xf numFmtId="0" fontId="63" fillId="0" borderId="18" xfId="0" applyFont="1" applyBorder="1"/>
    <xf numFmtId="170" fontId="58" fillId="0" borderId="18" xfId="79" applyNumberFormat="1" applyFont="1" applyFill="1" applyBorder="1" applyAlignment="1"/>
    <xf numFmtId="170" fontId="58" fillId="0" borderId="19" xfId="79" applyNumberFormat="1" applyFont="1" applyFill="1" applyBorder="1" applyAlignment="1"/>
    <xf numFmtId="49" fontId="27" fillId="0" borderId="26" xfId="81" applyNumberFormat="1" applyFont="1" applyFill="1" applyBorder="1" applyAlignment="1">
      <alignment horizontal="left"/>
    </xf>
    <xf numFmtId="169" fontId="28" fillId="0" borderId="14" xfId="81" applyNumberFormat="1" applyFont="1" applyFill="1" applyBorder="1" applyAlignment="1">
      <alignment wrapText="1"/>
    </xf>
    <xf numFmtId="168" fontId="43" fillId="0" borderId="14" xfId="43" applyNumberFormat="1" applyFont="1" applyFill="1" applyBorder="1" applyAlignment="1">
      <alignment horizontal="center"/>
    </xf>
    <xf numFmtId="0" fontId="31" fillId="0" borderId="14" xfId="0" applyFont="1" applyBorder="1"/>
    <xf numFmtId="5" fontId="44" fillId="0" borderId="14" xfId="81" applyNumberFormat="1" applyFont="1" applyFill="1" applyBorder="1"/>
    <xf numFmtId="5" fontId="44" fillId="0" borderId="37" xfId="81" applyNumberFormat="1" applyFont="1" applyFill="1" applyBorder="1"/>
    <xf numFmtId="49" fontId="27" fillId="0" borderId="22" xfId="81" applyNumberFormat="1" applyFont="1" applyFill="1" applyBorder="1" applyAlignment="1"/>
    <xf numFmtId="169" fontId="28" fillId="0" borderId="42" xfId="81" applyNumberFormat="1" applyFont="1" applyFill="1" applyBorder="1" applyAlignment="1"/>
    <xf numFmtId="170" fontId="28" fillId="0" borderId="42" xfId="79" applyNumberFormat="1" applyFont="1" applyFill="1" applyBorder="1" applyAlignment="1"/>
    <xf numFmtId="49" fontId="61" fillId="0" borderId="41" xfId="81" applyNumberFormat="1" applyFont="1" applyFill="1" applyBorder="1" applyAlignment="1"/>
    <xf numFmtId="0" fontId="61" fillId="0" borderId="18" xfId="92" applyFont="1" applyBorder="1"/>
    <xf numFmtId="49" fontId="27" fillId="0" borderId="49" xfId="81" applyNumberFormat="1" applyFont="1" applyFill="1" applyBorder="1" applyAlignment="1"/>
    <xf numFmtId="0" fontId="31" fillId="0" borderId="15" xfId="92" applyFont="1" applyBorder="1"/>
    <xf numFmtId="168" fontId="43" fillId="0" borderId="15" xfId="43" applyNumberFormat="1" applyFont="1" applyFill="1" applyBorder="1" applyAlignment="1">
      <alignment horizontal="center"/>
    </xf>
    <xf numFmtId="5" fontId="27" fillId="0" borderId="15" xfId="92" applyNumberFormat="1" applyFont="1" applyBorder="1" applyAlignment="1">
      <alignment horizontal="right" vertical="center" wrapText="1"/>
    </xf>
    <xf numFmtId="170" fontId="28" fillId="0" borderId="15" xfId="79" applyNumberFormat="1" applyFont="1" applyBorder="1"/>
    <xf numFmtId="170" fontId="28" fillId="0" borderId="16" xfId="79" applyNumberFormat="1" applyFont="1" applyBorder="1"/>
    <xf numFmtId="169" fontId="28" fillId="0" borderId="18" xfId="81" applyNumberFormat="1" applyFont="1" applyFill="1" applyBorder="1" applyAlignment="1"/>
    <xf numFmtId="169" fontId="28" fillId="0" borderId="19" xfId="81" applyNumberFormat="1" applyFont="1" applyFill="1" applyBorder="1" applyAlignment="1"/>
    <xf numFmtId="49" fontId="27" fillId="0" borderId="41" xfId="81" applyNumberFormat="1" applyFont="1" applyFill="1" applyBorder="1" applyAlignment="1"/>
    <xf numFmtId="0" fontId="27" fillId="0" borderId="18" xfId="92" applyFont="1" applyBorder="1"/>
    <xf numFmtId="0" fontId="0" fillId="0" borderId="19" xfId="0" applyBorder="1"/>
    <xf numFmtId="0" fontId="0" fillId="33" borderId="18" xfId="0" applyFill="1" applyBorder="1"/>
    <xf numFmtId="0" fontId="35" fillId="33" borderId="18" xfId="0" applyFont="1" applyFill="1" applyBorder="1"/>
    <xf numFmtId="169" fontId="35" fillId="33" borderId="18" xfId="0" applyNumberFormat="1" applyFont="1" applyFill="1" applyBorder="1"/>
    <xf numFmtId="169" fontId="35" fillId="33" borderId="19" xfId="0" applyNumberFormat="1" applyFont="1" applyFill="1" applyBorder="1"/>
    <xf numFmtId="169" fontId="27" fillId="27" borderId="20" xfId="81" applyNumberFormat="1" applyFont="1" applyFill="1" applyBorder="1" applyAlignment="1"/>
    <xf numFmtId="49" fontId="27" fillId="0" borderId="43" xfId="92" applyNumberFormat="1" applyFont="1" applyBorder="1" applyAlignment="1">
      <alignment horizontal="left" vertical="center" wrapText="1"/>
    </xf>
    <xf numFmtId="5" fontId="28" fillId="0" borderId="13" xfId="92" applyNumberFormat="1" applyFont="1" applyBorder="1" applyAlignment="1">
      <alignment horizontal="left" vertical="center" wrapText="1"/>
    </xf>
    <xf numFmtId="0" fontId="0" fillId="0" borderId="13" xfId="0" applyBorder="1"/>
    <xf numFmtId="5" fontId="28" fillId="0" borderId="13" xfId="92" applyNumberFormat="1" applyFont="1" applyBorder="1" applyAlignment="1">
      <alignment vertical="center" wrapText="1"/>
    </xf>
    <xf numFmtId="5" fontId="58" fillId="0" borderId="18" xfId="92" applyNumberFormat="1" applyFont="1" applyBorder="1" applyAlignment="1">
      <alignment horizontal="left" vertical="center" wrapText="1"/>
    </xf>
    <xf numFmtId="5" fontId="61" fillId="0" borderId="18" xfId="92" applyNumberFormat="1" applyFont="1" applyBorder="1" applyAlignment="1">
      <alignment vertical="center" wrapText="1"/>
    </xf>
    <xf numFmtId="0" fontId="58" fillId="0" borderId="18" xfId="92" applyFont="1" applyBorder="1" applyAlignment="1">
      <alignment wrapText="1"/>
    </xf>
    <xf numFmtId="169" fontId="58" fillId="0" borderId="18" xfId="92" applyNumberFormat="1" applyFont="1" applyBorder="1" applyAlignment="1">
      <alignment wrapText="1"/>
    </xf>
    <xf numFmtId="169" fontId="0" fillId="0" borderId="19" xfId="0" applyNumberFormat="1" applyBorder="1" applyAlignment="1">
      <alignment horizontal="center" vertical="center" wrapText="1"/>
    </xf>
    <xf numFmtId="5" fontId="28" fillId="0" borderId="33" xfId="92" applyNumberFormat="1" applyFont="1" applyBorder="1" applyAlignment="1">
      <alignment vertical="center" wrapText="1"/>
    </xf>
    <xf numFmtId="5" fontId="59" fillId="0" borderId="37" xfId="92" applyNumberFormat="1" applyFont="1" applyBorder="1"/>
    <xf numFmtId="0" fontId="0" fillId="0" borderId="34" xfId="0" applyBorder="1"/>
    <xf numFmtId="0" fontId="0" fillId="0" borderId="32" xfId="0" applyBorder="1"/>
    <xf numFmtId="170" fontId="0" fillId="0" borderId="34" xfId="79" applyNumberFormat="1" applyFont="1" applyBorder="1"/>
    <xf numFmtId="170" fontId="0" fillId="0" borderId="32" xfId="79" applyNumberFormat="1" applyFont="1" applyBorder="1"/>
    <xf numFmtId="170" fontId="50" fillId="0" borderId="32" xfId="79" applyNumberFormat="1" applyFont="1" applyBorder="1"/>
    <xf numFmtId="0" fontId="29" fillId="27" borderId="85" xfId="0" applyFont="1" applyFill="1" applyBorder="1" applyAlignment="1">
      <alignment horizontal="center" vertical="center" wrapText="1"/>
    </xf>
    <xf numFmtId="0" fontId="31" fillId="24" borderId="41" xfId="0" applyFont="1" applyFill="1" applyBorder="1" applyAlignment="1">
      <alignment horizontal="center" vertical="center" wrapText="1"/>
    </xf>
    <xf numFmtId="167" fontId="31" fillId="0" borderId="84" xfId="41" applyNumberFormat="1" applyFont="1" applyFill="1" applyBorder="1" applyAlignment="1">
      <alignment vertical="center"/>
    </xf>
    <xf numFmtId="167" fontId="31" fillId="24" borderId="31" xfId="41" applyNumberFormat="1" applyFont="1" applyFill="1" applyBorder="1" applyAlignment="1">
      <alignment horizontal="center" vertical="center" wrapText="1"/>
    </xf>
    <xf numFmtId="0" fontId="31" fillId="0" borderId="46" xfId="0" applyFont="1" applyBorder="1" applyAlignment="1">
      <alignment horizontal="center" vertical="center" wrapText="1"/>
    </xf>
    <xf numFmtId="0" fontId="31" fillId="27" borderId="0" xfId="0" applyFont="1" applyFill="1" applyAlignment="1">
      <alignment horizontal="right"/>
    </xf>
    <xf numFmtId="166" fontId="57" fillId="24" borderId="62" xfId="43" applyNumberFormat="1" applyFont="1" applyFill="1" applyBorder="1" applyAlignment="1" applyProtection="1">
      <alignment vertical="center"/>
    </xf>
    <xf numFmtId="0" fontId="54" fillId="24" borderId="0" xfId="67" applyFont="1" applyFill="1" applyAlignment="1">
      <alignment horizontal="center"/>
    </xf>
    <xf numFmtId="0" fontId="31" fillId="24" borderId="137" xfId="0" applyFont="1" applyFill="1" applyBorder="1" applyAlignment="1">
      <alignment horizontal="center" vertical="center" wrapText="1"/>
    </xf>
    <xf numFmtId="0" fontId="54" fillId="24" borderId="138" xfId="67" applyFont="1" applyFill="1" applyBorder="1" applyAlignment="1">
      <alignment horizontal="center" vertical="center" wrapText="1"/>
    </xf>
    <xf numFmtId="166" fontId="55" fillId="24" borderId="139" xfId="67" applyNumberFormat="1" applyFont="1" applyFill="1" applyBorder="1" applyAlignment="1">
      <alignment horizontal="left" vertical="center"/>
    </xf>
    <xf numFmtId="166" fontId="55" fillId="24" borderId="140" xfId="67" applyNumberFormat="1" applyFont="1" applyFill="1" applyBorder="1" applyAlignment="1">
      <alignment horizontal="left" vertical="center"/>
    </xf>
    <xf numFmtId="0" fontId="54" fillId="24" borderId="139" xfId="67" applyFont="1" applyFill="1" applyBorder="1" applyAlignment="1">
      <alignment horizontal="center" vertical="center" wrapText="1"/>
    </xf>
    <xf numFmtId="0" fontId="54" fillId="24" borderId="141" xfId="67" applyFont="1" applyFill="1" applyBorder="1" applyAlignment="1">
      <alignment horizontal="center" vertical="center" wrapText="1"/>
    </xf>
    <xf numFmtId="0" fontId="54" fillId="24" borderId="142" xfId="67" applyFont="1" applyFill="1" applyBorder="1" applyAlignment="1">
      <alignment horizontal="center" vertical="center" textRotation="90"/>
    </xf>
    <xf numFmtId="0" fontId="85" fillId="27" borderId="0" xfId="0" applyFont="1" applyFill="1" applyAlignment="1">
      <alignment vertical="center" wrapText="1"/>
    </xf>
    <xf numFmtId="0" fontId="31" fillId="27" borderId="11" xfId="0" applyFont="1" applyFill="1" applyBorder="1" applyAlignment="1">
      <alignment wrapText="1"/>
    </xf>
    <xf numFmtId="0" fontId="31" fillId="27" borderId="0" xfId="0" applyFont="1" applyFill="1" applyAlignment="1">
      <alignment wrapText="1"/>
    </xf>
    <xf numFmtId="0" fontId="31" fillId="27" borderId="0" xfId="0" applyFont="1" applyFill="1" applyAlignment="1">
      <alignment horizontal="right" wrapText="1"/>
    </xf>
    <xf numFmtId="0" fontId="35" fillId="27" borderId="28" xfId="0" applyFont="1" applyFill="1" applyBorder="1" applyAlignment="1">
      <alignment horizontal="center" vertical="center" wrapText="1"/>
    </xf>
    <xf numFmtId="167" fontId="34" fillId="0" borderId="10" xfId="41" applyNumberFormat="1" applyFont="1" applyBorder="1" applyAlignment="1">
      <alignment wrapText="1"/>
    </xf>
    <xf numFmtId="167" fontId="34" fillId="27" borderId="24" xfId="41" applyNumberFormat="1" applyFont="1" applyFill="1" applyBorder="1" applyAlignment="1">
      <alignment wrapText="1"/>
    </xf>
    <xf numFmtId="167" fontId="33" fillId="27" borderId="0" xfId="41" applyNumberFormat="1" applyFont="1" applyFill="1" applyAlignment="1">
      <alignment horizontal="center" vertical="center" wrapText="1"/>
    </xf>
    <xf numFmtId="0" fontId="35" fillId="27" borderId="62" xfId="0" applyFont="1" applyFill="1" applyBorder="1" applyAlignment="1">
      <alignment horizontal="center" vertical="center" wrapText="1"/>
    </xf>
    <xf numFmtId="0" fontId="32" fillId="27" borderId="87" xfId="0" applyFont="1" applyFill="1" applyBorder="1" applyAlignment="1">
      <alignment horizontal="center" vertical="center" wrapText="1"/>
    </xf>
    <xf numFmtId="3" fontId="29" fillId="27" borderId="87" xfId="0" applyNumberFormat="1" applyFont="1" applyFill="1" applyBorder="1" applyAlignment="1">
      <alignment vertical="center" wrapText="1"/>
    </xf>
    <xf numFmtId="3" fontId="29" fillId="27" borderId="66" xfId="0" applyNumberFormat="1" applyFont="1" applyFill="1" applyBorder="1" applyAlignment="1">
      <alignment vertical="center" wrapText="1"/>
    </xf>
    <xf numFmtId="167" fontId="27" fillId="24" borderId="10" xfId="50" applyNumberFormat="1" applyFont="1" applyFill="1" applyBorder="1" applyAlignment="1">
      <alignment horizontal="center" vertical="center"/>
    </xf>
    <xf numFmtId="0" fontId="84" fillId="27" borderId="0" xfId="73" applyFont="1" applyFill="1" applyAlignment="1">
      <alignment horizontal="center" vertical="center" wrapText="1"/>
    </xf>
    <xf numFmtId="0" fontId="84" fillId="27" borderId="0" xfId="73" applyFont="1" applyFill="1" applyAlignment="1">
      <alignment vertical="center" wrapText="1"/>
    </xf>
    <xf numFmtId="0" fontId="83" fillId="27" borderId="0" xfId="73" applyFont="1" applyFill="1" applyAlignment="1">
      <alignment horizontal="center" vertical="center" wrapText="1"/>
    </xf>
    <xf numFmtId="0" fontId="83" fillId="27" borderId="0" xfId="73" quotePrefix="1" applyFont="1" applyFill="1" applyAlignment="1">
      <alignment horizontal="center" vertical="center" wrapText="1"/>
    </xf>
    <xf numFmtId="49" fontId="83" fillId="27" borderId="0" xfId="73" quotePrefix="1" applyNumberFormat="1" applyFont="1" applyFill="1" applyAlignment="1">
      <alignment horizontal="center" vertical="center" wrapText="1"/>
    </xf>
    <xf numFmtId="3" fontId="84" fillId="27" borderId="0" xfId="73" applyNumberFormat="1" applyFont="1" applyFill="1" applyAlignment="1">
      <alignment horizontal="right" vertical="center" wrapText="1"/>
    </xf>
    <xf numFmtId="3" fontId="54" fillId="27" borderId="0" xfId="73" applyNumberFormat="1" applyFont="1" applyFill="1" applyAlignment="1">
      <alignment horizontal="right" vertical="center" wrapText="1"/>
    </xf>
    <xf numFmtId="0" fontId="88" fillId="27" borderId="0" xfId="73" applyFont="1" applyFill="1"/>
    <xf numFmtId="0" fontId="84" fillId="27" borderId="27" xfId="73" applyFont="1" applyFill="1" applyBorder="1" applyAlignment="1">
      <alignment horizontal="center" vertical="center" wrapText="1"/>
    </xf>
    <xf numFmtId="3" fontId="84" fillId="27" borderId="25" xfId="73" applyNumberFormat="1" applyFont="1" applyFill="1" applyBorder="1" applyAlignment="1">
      <alignment horizontal="right" vertical="center" wrapText="1"/>
    </xf>
    <xf numFmtId="0" fontId="90" fillId="27" borderId="58" xfId="73" applyFont="1" applyFill="1" applyBorder="1" applyAlignment="1">
      <alignment horizontal="center"/>
    </xf>
    <xf numFmtId="0" fontId="54" fillId="27" borderId="17" xfId="73" applyFont="1" applyFill="1" applyBorder="1" applyAlignment="1">
      <alignment horizontal="center" vertical="top" wrapText="1"/>
    </xf>
    <xf numFmtId="0" fontId="84" fillId="27" borderId="17" xfId="73" applyFont="1" applyFill="1" applyBorder="1" applyAlignment="1">
      <alignment horizontal="center" vertical="top" wrapText="1"/>
    </xf>
    <xf numFmtId="0" fontId="54" fillId="27" borderId="48" xfId="73" applyFont="1" applyFill="1" applyBorder="1" applyAlignment="1">
      <alignment horizontal="center" vertical="top" wrapText="1"/>
    </xf>
    <xf numFmtId="0" fontId="54" fillId="27" borderId="12" xfId="73" applyFont="1" applyFill="1" applyBorder="1" applyAlignment="1">
      <alignment horizontal="center" vertical="top" wrapText="1"/>
    </xf>
    <xf numFmtId="0" fontId="84" fillId="27" borderId="14" xfId="73" applyFont="1" applyFill="1" applyBorder="1" applyAlignment="1">
      <alignment vertical="center" wrapText="1"/>
    </xf>
    <xf numFmtId="0" fontId="83" fillId="27" borderId="14" xfId="73" applyFont="1" applyFill="1" applyBorder="1" applyAlignment="1">
      <alignment horizontal="center" vertical="center" wrapText="1"/>
    </xf>
    <xf numFmtId="0" fontId="83" fillId="27" borderId="14" xfId="73" quotePrefix="1" applyFont="1" applyFill="1" applyBorder="1" applyAlignment="1">
      <alignment horizontal="center" vertical="center" wrapText="1"/>
    </xf>
    <xf numFmtId="3" fontId="84" fillId="27" borderId="14" xfId="73" applyNumberFormat="1" applyFont="1" applyFill="1" applyBorder="1" applyAlignment="1">
      <alignment horizontal="right" vertical="center" wrapText="1"/>
    </xf>
    <xf numFmtId="3" fontId="54" fillId="27" borderId="14" xfId="73" applyNumberFormat="1" applyFont="1" applyFill="1" applyBorder="1" applyAlignment="1">
      <alignment horizontal="right" vertical="center" wrapText="1"/>
    </xf>
    <xf numFmtId="3" fontId="84" fillId="27" borderId="26" xfId="73" applyNumberFormat="1" applyFont="1" applyFill="1" applyBorder="1" applyAlignment="1">
      <alignment horizontal="right" vertical="center" wrapText="1"/>
    </xf>
    <xf numFmtId="3" fontId="84" fillId="27" borderId="37" xfId="73" applyNumberFormat="1" applyFont="1" applyFill="1" applyBorder="1" applyAlignment="1">
      <alignment horizontal="right" vertical="center" wrapText="1"/>
    </xf>
    <xf numFmtId="0" fontId="84" fillId="27" borderId="20" xfId="73" applyFont="1" applyFill="1" applyBorder="1" applyAlignment="1">
      <alignment vertical="center" wrapText="1"/>
    </xf>
    <xf numFmtId="0" fontId="83" fillId="27" borderId="20" xfId="73" applyFont="1" applyFill="1" applyBorder="1" applyAlignment="1">
      <alignment horizontal="center" vertical="center" wrapText="1"/>
    </xf>
    <xf numFmtId="0" fontId="83" fillId="27" borderId="17" xfId="73" applyFont="1" applyFill="1" applyBorder="1" applyAlignment="1">
      <alignment horizontal="center" vertical="center" wrapText="1"/>
    </xf>
    <xf numFmtId="0" fontId="83" fillId="27" borderId="17" xfId="73" quotePrefix="1" applyFont="1" applyFill="1" applyBorder="1" applyAlignment="1">
      <alignment horizontal="center" vertical="center" wrapText="1"/>
    </xf>
    <xf numFmtId="0" fontId="91" fillId="27" borderId="18" xfId="73" applyFont="1" applyFill="1" applyBorder="1"/>
    <xf numFmtId="0" fontId="84" fillId="27" borderId="0" xfId="73" applyFont="1" applyFill="1" applyAlignment="1">
      <alignment horizontal="left" vertical="center" wrapText="1"/>
    </xf>
    <xf numFmtId="0" fontId="84" fillId="27" borderId="0" xfId="73" applyFont="1" applyFill="1" applyAlignment="1">
      <alignment horizontal="center" vertical="center" textRotation="90" wrapText="1"/>
    </xf>
    <xf numFmtId="3" fontId="84" fillId="27" borderId="0" xfId="73" applyNumberFormat="1" applyFont="1" applyFill="1" applyAlignment="1">
      <alignment horizontal="center" vertical="top" wrapText="1"/>
    </xf>
    <xf numFmtId="0" fontId="88" fillId="27" borderId="0" xfId="73" applyFont="1" applyFill="1" applyAlignment="1">
      <alignment horizontal="center" vertical="top"/>
    </xf>
    <xf numFmtId="0" fontId="88" fillId="27" borderId="0" xfId="73" applyFont="1" applyFill="1" applyAlignment="1">
      <alignment horizontal="left" vertical="top"/>
    </xf>
    <xf numFmtId="0" fontId="88" fillId="27" borderId="0" xfId="73" applyFont="1" applyFill="1" applyAlignment="1">
      <alignment vertical="top"/>
    </xf>
    <xf numFmtId="3" fontId="88" fillId="27" borderId="0" xfId="73" applyNumberFormat="1" applyFont="1" applyFill="1" applyAlignment="1">
      <alignment vertical="top"/>
    </xf>
    <xf numFmtId="0" fontId="88" fillId="27" borderId="0" xfId="73" applyFont="1" applyFill="1" applyAlignment="1">
      <alignment horizontal="center" vertical="center"/>
    </xf>
    <xf numFmtId="0" fontId="88" fillId="27" borderId="0" xfId="73" applyFont="1" applyFill="1" applyAlignment="1">
      <alignment horizontal="left"/>
    </xf>
    <xf numFmtId="3" fontId="88" fillId="27" borderId="0" xfId="73" applyNumberFormat="1" applyFont="1" applyFill="1"/>
    <xf numFmtId="0" fontId="88" fillId="27" borderId="27" xfId="73" applyFont="1" applyFill="1" applyBorder="1"/>
    <xf numFmtId="0" fontId="43" fillId="27" borderId="0" xfId="73" applyFont="1" applyFill="1"/>
    <xf numFmtId="0" fontId="44" fillId="27" borderId="0" xfId="73" applyFont="1" applyFill="1" applyAlignment="1">
      <alignment horizontal="left"/>
    </xf>
    <xf numFmtId="0" fontId="44" fillId="27" borderId="0" xfId="73" applyFont="1" applyFill="1" applyAlignment="1">
      <alignment horizontal="center"/>
    </xf>
    <xf numFmtId="0" fontId="43" fillId="27" borderId="0" xfId="73" applyFont="1" applyFill="1" applyAlignment="1">
      <alignment horizontal="left"/>
    </xf>
    <xf numFmtId="0" fontId="43" fillId="27" borderId="11" xfId="73" applyFont="1" applyFill="1" applyBorder="1"/>
    <xf numFmtId="0" fontId="54" fillId="27" borderId="14" xfId="73" applyFont="1" applyFill="1" applyBorder="1" applyAlignment="1">
      <alignment vertical="center" wrapText="1"/>
    </xf>
    <xf numFmtId="49" fontId="55" fillId="27" borderId="14" xfId="73" quotePrefix="1" applyNumberFormat="1" applyFont="1" applyFill="1" applyBorder="1" applyAlignment="1">
      <alignment horizontal="center" vertical="center" wrapText="1"/>
    </xf>
    <xf numFmtId="0" fontId="55" fillId="27" borderId="14" xfId="73" quotePrefix="1" applyFont="1" applyFill="1" applyBorder="1" applyAlignment="1">
      <alignment horizontal="center" vertical="center" wrapText="1"/>
    </xf>
    <xf numFmtId="3" fontId="54" fillId="27" borderId="37" xfId="73" applyNumberFormat="1" applyFont="1" applyFill="1" applyBorder="1" applyAlignment="1">
      <alignment horizontal="right" vertical="center" wrapText="1"/>
    </xf>
    <xf numFmtId="0" fontId="54" fillId="27" borderId="20" xfId="73" applyFont="1" applyFill="1" applyBorder="1" applyAlignment="1">
      <alignment vertical="center" wrapText="1"/>
    </xf>
    <xf numFmtId="49" fontId="55" fillId="27" borderId="20" xfId="73" quotePrefix="1" applyNumberFormat="1" applyFont="1" applyFill="1" applyBorder="1" applyAlignment="1">
      <alignment horizontal="center" vertical="center" wrapText="1"/>
    </xf>
    <xf numFmtId="0" fontId="55" fillId="27" borderId="20" xfId="73" quotePrefix="1" applyFont="1" applyFill="1" applyBorder="1" applyAlignment="1">
      <alignment horizontal="center" vertical="center" wrapText="1"/>
    </xf>
    <xf numFmtId="3" fontId="54" fillId="27" borderId="20" xfId="73" applyNumberFormat="1" applyFont="1" applyFill="1" applyBorder="1" applyAlignment="1">
      <alignment horizontal="right" vertical="center" wrapText="1"/>
    </xf>
    <xf numFmtId="3" fontId="54" fillId="27" borderId="34" xfId="73" applyNumberFormat="1" applyFont="1" applyFill="1" applyBorder="1" applyAlignment="1">
      <alignment horizontal="right" vertical="center" wrapText="1"/>
    </xf>
    <xf numFmtId="0" fontId="54" fillId="27" borderId="17" xfId="73" applyFont="1" applyFill="1" applyBorder="1" applyAlignment="1">
      <alignment vertical="center" wrapText="1"/>
    </xf>
    <xf numFmtId="49" fontId="55" fillId="27" borderId="17" xfId="73" quotePrefix="1" applyNumberFormat="1" applyFont="1" applyFill="1" applyBorder="1" applyAlignment="1">
      <alignment horizontal="center" vertical="center" wrapText="1"/>
    </xf>
    <xf numFmtId="0" fontId="55" fillId="27" borderId="17" xfId="73" quotePrefix="1" applyFont="1" applyFill="1" applyBorder="1" applyAlignment="1">
      <alignment horizontal="center" vertical="center" wrapText="1"/>
    </xf>
    <xf numFmtId="3" fontId="54" fillId="27" borderId="17" xfId="73" applyNumberFormat="1" applyFont="1" applyFill="1" applyBorder="1" applyAlignment="1">
      <alignment horizontal="right" vertical="center" wrapText="1"/>
    </xf>
    <xf numFmtId="3" fontId="54" fillId="27" borderId="12" xfId="73" applyNumberFormat="1" applyFont="1" applyFill="1" applyBorder="1" applyAlignment="1">
      <alignment horizontal="right" vertical="center" wrapText="1"/>
    </xf>
    <xf numFmtId="1" fontId="91" fillId="27" borderId="18" xfId="73" applyNumberFormat="1" applyFont="1" applyFill="1" applyBorder="1"/>
    <xf numFmtId="0" fontId="91" fillId="27" borderId="0" xfId="73" applyFont="1" applyFill="1" applyAlignment="1">
      <alignment horizontal="center"/>
    </xf>
    <xf numFmtId="1" fontId="91" fillId="27" borderId="0" xfId="73" applyNumberFormat="1" applyFont="1" applyFill="1"/>
    <xf numFmtId="0" fontId="91" fillId="27" borderId="0" xfId="73" applyFont="1" applyFill="1"/>
    <xf numFmtId="0" fontId="54" fillId="27" borderId="0" xfId="73" applyFont="1" applyFill="1" applyAlignment="1">
      <alignment horizontal="center" vertical="center" wrapText="1"/>
    </xf>
    <xf numFmtId="0" fontId="54" fillId="27" borderId="0" xfId="73" applyFont="1" applyFill="1" applyAlignment="1">
      <alignment horizontal="left" vertical="center" wrapText="1"/>
    </xf>
    <xf numFmtId="49" fontId="55" fillId="27" borderId="0" xfId="73" quotePrefix="1" applyNumberFormat="1" applyFont="1" applyFill="1" applyAlignment="1">
      <alignment horizontal="center" vertical="center" wrapText="1"/>
    </xf>
    <xf numFmtId="0" fontId="55" fillId="27" borderId="0" xfId="73" quotePrefix="1" applyFont="1" applyFill="1" applyAlignment="1">
      <alignment horizontal="center" vertical="center" wrapText="1"/>
    </xf>
    <xf numFmtId="3" fontId="43" fillId="27" borderId="0" xfId="73" applyNumberFormat="1" applyFont="1" applyFill="1"/>
    <xf numFmtId="3" fontId="43" fillId="27" borderId="0" xfId="73" applyNumberFormat="1" applyFont="1" applyFill="1" applyAlignment="1">
      <alignment vertical="center"/>
    </xf>
    <xf numFmtId="0" fontId="43" fillId="27" borderId="27" xfId="73" applyFont="1" applyFill="1" applyBorder="1"/>
    <xf numFmtId="0" fontId="43" fillId="27" borderId="0" xfId="73" applyFont="1" applyFill="1" applyAlignment="1">
      <alignment horizontal="center"/>
    </xf>
    <xf numFmtId="0" fontId="54" fillId="27" borderId="122" xfId="73" applyFont="1" applyFill="1" applyBorder="1" applyAlignment="1">
      <alignment horizontal="center" vertical="top" wrapText="1"/>
    </xf>
    <xf numFmtId="49" fontId="55" fillId="27" borderId="20" xfId="73" quotePrefix="1" applyNumberFormat="1" applyFont="1" applyFill="1" applyBorder="1" applyAlignment="1">
      <alignment horizontal="center" vertical="center"/>
    </xf>
    <xf numFmtId="3" fontId="54" fillId="27" borderId="20" xfId="73" applyNumberFormat="1" applyFont="1" applyFill="1" applyBorder="1" applyAlignment="1">
      <alignment horizontal="right" vertical="center"/>
    </xf>
    <xf numFmtId="3" fontId="54" fillId="27" borderId="34" xfId="73" applyNumberFormat="1" applyFont="1" applyFill="1" applyBorder="1" applyAlignment="1">
      <alignment horizontal="right" vertical="center"/>
    </xf>
    <xf numFmtId="3" fontId="54" fillId="27" borderId="64" xfId="73" applyNumberFormat="1" applyFont="1" applyFill="1" applyBorder="1" applyAlignment="1">
      <alignment horizontal="right" vertical="center"/>
    </xf>
    <xf numFmtId="3" fontId="54" fillId="27" borderId="17" xfId="73" applyNumberFormat="1" applyFont="1" applyFill="1" applyBorder="1" applyAlignment="1">
      <alignment horizontal="right" vertical="center"/>
    </xf>
    <xf numFmtId="3" fontId="54" fillId="27" borderId="12" xfId="73" applyNumberFormat="1" applyFont="1" applyFill="1" applyBorder="1" applyAlignment="1">
      <alignment horizontal="right" vertical="center"/>
    </xf>
    <xf numFmtId="3" fontId="54" fillId="27" borderId="122" xfId="73" applyNumberFormat="1" applyFont="1" applyFill="1" applyBorder="1" applyAlignment="1">
      <alignment horizontal="right" vertical="center"/>
    </xf>
    <xf numFmtId="0" fontId="44" fillId="27" borderId="0" xfId="73" applyFont="1" applyFill="1" applyAlignment="1">
      <alignment horizontal="center" vertical="center"/>
    </xf>
    <xf numFmtId="0" fontId="44" fillId="27" borderId="0" xfId="73" applyFont="1" applyFill="1" applyAlignment="1">
      <alignment horizontal="left" vertical="center" wrapText="1"/>
    </xf>
    <xf numFmtId="49" fontId="44" fillId="27" borderId="0" xfId="73" applyNumberFormat="1" applyFont="1" applyFill="1" applyAlignment="1">
      <alignment horizontal="center"/>
    </xf>
    <xf numFmtId="0" fontId="43" fillId="27" borderId="0" xfId="73" applyFont="1" applyFill="1" applyAlignment="1">
      <alignment horizontal="center" vertical="center"/>
    </xf>
    <xf numFmtId="49" fontId="55" fillId="27" borderId="14" xfId="73" quotePrefix="1" applyNumberFormat="1" applyFont="1" applyFill="1" applyBorder="1" applyAlignment="1">
      <alignment horizontal="center" vertical="center"/>
    </xf>
    <xf numFmtId="0" fontId="31" fillId="27" borderId="17" xfId="0" applyFont="1" applyFill="1" applyBorder="1" applyAlignment="1">
      <alignment vertical="center" wrapText="1"/>
    </xf>
    <xf numFmtId="1" fontId="55" fillId="27" borderId="17" xfId="73" quotePrefix="1" applyNumberFormat="1" applyFont="1" applyFill="1" applyBorder="1" applyAlignment="1">
      <alignment horizontal="center" vertical="center" wrapText="1"/>
    </xf>
    <xf numFmtId="0" fontId="43" fillId="27" borderId="0" xfId="73" applyFont="1" applyFill="1" applyAlignment="1">
      <alignment vertical="center" wrapText="1"/>
    </xf>
    <xf numFmtId="49" fontId="44" fillId="27" borderId="0" xfId="73" quotePrefix="1" applyNumberFormat="1" applyFont="1" applyFill="1" applyAlignment="1">
      <alignment horizontal="center"/>
    </xf>
    <xf numFmtId="3" fontId="43" fillId="27" borderId="0" xfId="73" applyNumberFormat="1" applyFont="1" applyFill="1" applyAlignment="1">
      <alignment horizontal="right" vertical="center"/>
    </xf>
    <xf numFmtId="0" fontId="54" fillId="27" borderId="17" xfId="73" applyFont="1" applyFill="1" applyBorder="1"/>
    <xf numFmtId="3" fontId="88" fillId="27" borderId="28" xfId="73" applyNumberFormat="1" applyFont="1" applyFill="1" applyBorder="1"/>
    <xf numFmtId="3" fontId="54" fillId="27" borderId="14" xfId="73" applyNumberFormat="1" applyFont="1" applyFill="1" applyBorder="1" applyAlignment="1">
      <alignment horizontal="right" vertical="center"/>
    </xf>
    <xf numFmtId="3" fontId="54" fillId="27" borderId="37" xfId="73" applyNumberFormat="1" applyFont="1" applyFill="1" applyBorder="1" applyAlignment="1">
      <alignment horizontal="right" vertical="center"/>
    </xf>
    <xf numFmtId="3" fontId="54" fillId="27" borderId="86" xfId="73" applyNumberFormat="1" applyFont="1" applyFill="1" applyBorder="1" applyAlignment="1">
      <alignment horizontal="right" vertical="center"/>
    </xf>
    <xf numFmtId="0" fontId="27" fillId="27" borderId="17" xfId="73" applyFont="1" applyFill="1" applyBorder="1" applyAlignment="1">
      <alignment vertical="center" wrapText="1"/>
    </xf>
    <xf numFmtId="1" fontId="44" fillId="27" borderId="17" xfId="73" quotePrefix="1" applyNumberFormat="1" applyFont="1" applyFill="1" applyBorder="1" applyAlignment="1">
      <alignment horizontal="center" vertical="center"/>
    </xf>
    <xf numFmtId="49" fontId="44" fillId="27" borderId="17" xfId="73" quotePrefix="1" applyNumberFormat="1" applyFont="1" applyFill="1" applyBorder="1" applyAlignment="1">
      <alignment horizontal="center" vertical="center"/>
    </xf>
    <xf numFmtId="49" fontId="44" fillId="27" borderId="17" xfId="73" applyNumberFormat="1" applyFont="1" applyFill="1" applyBorder="1" applyAlignment="1">
      <alignment horizontal="center" vertical="center"/>
    </xf>
    <xf numFmtId="3" fontId="27" fillId="27" borderId="17" xfId="73" applyNumberFormat="1" applyFont="1" applyFill="1" applyBorder="1" applyAlignment="1">
      <alignment horizontal="right" vertical="center"/>
    </xf>
    <xf numFmtId="3" fontId="27" fillId="27" borderId="12" xfId="73" applyNumberFormat="1" applyFont="1" applyFill="1" applyBorder="1" applyAlignment="1">
      <alignment horizontal="right" vertical="center"/>
    </xf>
    <xf numFmtId="0" fontId="88" fillId="27" borderId="0" xfId="73" applyFont="1" applyFill="1" applyAlignment="1">
      <alignment horizontal="center"/>
    </xf>
    <xf numFmtId="0" fontId="43" fillId="0" borderId="0" xfId="73" applyFont="1"/>
    <xf numFmtId="0" fontId="43" fillId="0" borderId="0" xfId="73" applyFont="1" applyAlignment="1">
      <alignment horizontal="center"/>
    </xf>
    <xf numFmtId="0" fontId="44" fillId="0" borderId="58" xfId="73" applyFont="1" applyBorder="1" applyAlignment="1">
      <alignment horizontal="center"/>
    </xf>
    <xf numFmtId="0" fontId="54" fillId="0" borderId="42" xfId="73" applyFont="1" applyBorder="1" applyAlignment="1">
      <alignment horizontal="center" vertical="top" wrapText="1"/>
    </xf>
    <xf numFmtId="0" fontId="54" fillId="0" borderId="22" xfId="73" applyFont="1" applyBorder="1" applyAlignment="1">
      <alignment horizontal="center" vertical="top" wrapText="1"/>
    </xf>
    <xf numFmtId="0" fontId="54" fillId="0" borderId="32" xfId="73" applyFont="1" applyBorder="1" applyAlignment="1">
      <alignment horizontal="center" vertical="top" wrapText="1"/>
    </xf>
    <xf numFmtId="0" fontId="55" fillId="0" borderId="14" xfId="73" quotePrefix="1" applyFont="1" applyBorder="1" applyAlignment="1">
      <alignment horizontal="center" vertical="center" wrapText="1"/>
    </xf>
    <xf numFmtId="3" fontId="54" fillId="0" borderId="14" xfId="73" applyNumberFormat="1" applyFont="1" applyBorder="1" applyAlignment="1">
      <alignment horizontal="right" vertical="center" wrapText="1"/>
    </xf>
    <xf numFmtId="3" fontId="54" fillId="0" borderId="37" xfId="73" applyNumberFormat="1" applyFont="1" applyBorder="1" applyAlignment="1">
      <alignment horizontal="right" vertical="center" wrapText="1"/>
    </xf>
    <xf numFmtId="49" fontId="55" fillId="0" borderId="20" xfId="73" applyNumberFormat="1" applyFont="1" applyBorder="1" applyAlignment="1">
      <alignment horizontal="center" vertical="center"/>
    </xf>
    <xf numFmtId="49" fontId="55" fillId="0" borderId="20" xfId="73" quotePrefix="1" applyNumberFormat="1" applyFont="1" applyBorder="1" applyAlignment="1">
      <alignment horizontal="center" vertical="center"/>
    </xf>
    <xf numFmtId="3" fontId="54" fillId="0" borderId="20" xfId="73" applyNumberFormat="1" applyFont="1" applyBorder="1" applyAlignment="1">
      <alignment horizontal="right" vertical="center" wrapText="1"/>
    </xf>
    <xf numFmtId="3" fontId="54" fillId="0" borderId="34" xfId="73" applyNumberFormat="1" applyFont="1" applyBorder="1" applyAlignment="1">
      <alignment horizontal="right" vertical="center" wrapText="1"/>
    </xf>
    <xf numFmtId="0" fontId="55" fillId="0" borderId="20" xfId="73" quotePrefix="1" applyFont="1" applyBorder="1" applyAlignment="1">
      <alignment horizontal="center" vertical="center" wrapText="1"/>
    </xf>
    <xf numFmtId="0" fontId="54" fillId="0" borderId="17" xfId="73" applyFont="1" applyBorder="1" applyAlignment="1">
      <alignment vertical="center" wrapText="1"/>
    </xf>
    <xf numFmtId="49" fontId="55" fillId="0" borderId="17" xfId="73" quotePrefix="1" applyNumberFormat="1" applyFont="1" applyBorder="1" applyAlignment="1">
      <alignment horizontal="center" vertical="center"/>
    </xf>
    <xf numFmtId="0" fontId="55" fillId="0" borderId="17" xfId="73" quotePrefix="1" applyFont="1" applyBorder="1" applyAlignment="1">
      <alignment horizontal="center" vertical="center" wrapText="1"/>
    </xf>
    <xf numFmtId="3" fontId="54" fillId="0" borderId="17" xfId="73" applyNumberFormat="1" applyFont="1" applyBorder="1" applyAlignment="1">
      <alignment horizontal="right" vertical="center" wrapText="1"/>
    </xf>
    <xf numFmtId="3" fontId="54" fillId="0" borderId="12" xfId="73" applyNumberFormat="1" applyFont="1" applyBorder="1" applyAlignment="1">
      <alignment horizontal="right" vertical="center" wrapText="1"/>
    </xf>
    <xf numFmtId="3" fontId="43" fillId="0" borderId="0" xfId="73" applyNumberFormat="1" applyFont="1"/>
    <xf numFmtId="0" fontId="84" fillId="27" borderId="28" xfId="73" applyFont="1" applyFill="1" applyBorder="1" applyAlignment="1">
      <alignment horizontal="center"/>
    </xf>
    <xf numFmtId="0" fontId="84" fillId="27" borderId="0" xfId="73" applyFont="1" applyFill="1" applyAlignment="1">
      <alignment horizontal="center"/>
    </xf>
    <xf numFmtId="0" fontId="84" fillId="27" borderId="0" xfId="73" applyFont="1" applyFill="1"/>
    <xf numFmtId="3" fontId="84" fillId="27" borderId="0" xfId="73" applyNumberFormat="1" applyFont="1" applyFill="1"/>
    <xf numFmtId="3" fontId="43" fillId="27" borderId="0" xfId="73" applyNumberFormat="1" applyFont="1" applyFill="1" applyAlignment="1">
      <alignment horizontal="center"/>
    </xf>
    <xf numFmtId="0" fontId="43" fillId="0" borderId="27" xfId="73" applyFont="1" applyBorder="1"/>
    <xf numFmtId="0" fontId="55" fillId="27" borderId="17" xfId="73" quotePrefix="1" applyFont="1" applyFill="1" applyBorder="1" applyAlignment="1">
      <alignment vertical="center"/>
    </xf>
    <xf numFmtId="49" fontId="55" fillId="27" borderId="17" xfId="73" applyNumberFormat="1" applyFont="1" applyFill="1" applyBorder="1" applyAlignment="1">
      <alignment horizontal="center" vertical="center"/>
    </xf>
    <xf numFmtId="0" fontId="92" fillId="27" borderId="18" xfId="73" applyFont="1" applyFill="1" applyBorder="1"/>
    <xf numFmtId="3" fontId="92" fillId="27" borderId="30" xfId="73" applyNumberFormat="1" applyFont="1" applyFill="1" applyBorder="1" applyAlignment="1">
      <alignment horizontal="right" vertical="center"/>
    </xf>
    <xf numFmtId="3" fontId="92" fillId="27" borderId="19" xfId="73" applyNumberFormat="1" applyFont="1" applyFill="1" applyBorder="1" applyAlignment="1">
      <alignment horizontal="right" vertical="center"/>
    </xf>
    <xf numFmtId="3" fontId="92" fillId="27" borderId="31" xfId="73" applyNumberFormat="1" applyFont="1" applyFill="1" applyBorder="1" applyAlignment="1">
      <alignment horizontal="right" vertical="center"/>
    </xf>
    <xf numFmtId="0" fontId="55" fillId="27" borderId="0" xfId="73" applyFont="1" applyFill="1" applyAlignment="1">
      <alignment horizontal="center"/>
    </xf>
    <xf numFmtId="49" fontId="55" fillId="27" borderId="0" xfId="73" applyNumberFormat="1" applyFont="1" applyFill="1"/>
    <xf numFmtId="49" fontId="54" fillId="27" borderId="0" xfId="73" applyNumberFormat="1" applyFont="1" applyFill="1" applyAlignment="1">
      <alignment horizontal="center"/>
    </xf>
    <xf numFmtId="174" fontId="54" fillId="27" borderId="0" xfId="73" applyNumberFormat="1" applyFont="1" applyFill="1" applyAlignment="1">
      <alignment horizontal="center" vertical="top" wrapText="1"/>
    </xf>
    <xf numFmtId="0" fontId="27" fillId="27" borderId="0" xfId="73" applyFont="1" applyFill="1" applyAlignment="1">
      <alignment horizontal="center" vertical="center" wrapText="1"/>
    </xf>
    <xf numFmtId="49" fontId="44" fillId="27" borderId="0" xfId="73" applyNumberFormat="1" applyFont="1" applyFill="1"/>
    <xf numFmtId="49" fontId="43" fillId="27" borderId="0" xfId="73" applyNumberFormat="1" applyFont="1" applyFill="1" applyAlignment="1">
      <alignment horizontal="center"/>
    </xf>
    <xf numFmtId="3" fontId="27" fillId="27" borderId="0" xfId="73" applyNumberFormat="1" applyFont="1" applyFill="1" applyAlignment="1">
      <alignment horizontal="center" vertical="top" wrapText="1"/>
    </xf>
    <xf numFmtId="0" fontId="90" fillId="27" borderId="0" xfId="73" applyFont="1" applyFill="1" applyAlignment="1">
      <alignment horizontal="center" vertical="center"/>
    </xf>
    <xf numFmtId="0" fontId="90" fillId="27" borderId="0" xfId="73" applyFont="1" applyFill="1" applyAlignment="1">
      <alignment horizontal="left"/>
    </xf>
    <xf numFmtId="0" fontId="90" fillId="27" borderId="0" xfId="73" applyFont="1" applyFill="1" applyAlignment="1">
      <alignment horizontal="center"/>
    </xf>
    <xf numFmtId="0" fontId="88" fillId="27" borderId="11" xfId="73" applyFont="1" applyFill="1" applyBorder="1"/>
    <xf numFmtId="175" fontId="54" fillId="27" borderId="14" xfId="41" applyNumberFormat="1" applyFont="1" applyFill="1" applyBorder="1" applyAlignment="1">
      <alignment horizontal="right" vertical="center" wrapText="1"/>
    </xf>
    <xf numFmtId="175" fontId="84" fillId="27" borderId="14" xfId="41" applyNumberFormat="1" applyFont="1" applyFill="1" applyBorder="1" applyAlignment="1">
      <alignment horizontal="right" vertical="center" wrapText="1"/>
    </xf>
    <xf numFmtId="175" fontId="54" fillId="27" borderId="37" xfId="41" applyNumberFormat="1" applyFont="1" applyFill="1" applyBorder="1" applyAlignment="1">
      <alignment horizontal="right" vertical="center" wrapText="1"/>
    </xf>
    <xf numFmtId="175" fontId="84" fillId="27" borderId="86" xfId="41" applyNumberFormat="1" applyFont="1" applyFill="1" applyBorder="1" applyAlignment="1">
      <alignment horizontal="right" vertical="center" wrapText="1"/>
    </xf>
    <xf numFmtId="175" fontId="54" fillId="27" borderId="20" xfId="41" applyNumberFormat="1" applyFont="1" applyFill="1" applyBorder="1" applyAlignment="1">
      <alignment horizontal="right" vertical="center" wrapText="1"/>
    </xf>
    <xf numFmtId="175" fontId="84" fillId="27" borderId="20" xfId="41" applyNumberFormat="1" applyFont="1" applyFill="1" applyBorder="1" applyAlignment="1">
      <alignment horizontal="right" vertical="center" wrapText="1"/>
    </xf>
    <xf numFmtId="175" fontId="54" fillId="27" borderId="34" xfId="41" applyNumberFormat="1" applyFont="1" applyFill="1" applyBorder="1" applyAlignment="1">
      <alignment horizontal="right" vertical="center" wrapText="1"/>
    </xf>
    <xf numFmtId="175" fontId="84" fillId="27" borderId="64" xfId="41" applyNumberFormat="1" applyFont="1" applyFill="1" applyBorder="1" applyAlignment="1">
      <alignment horizontal="right" vertical="center" wrapText="1"/>
    </xf>
    <xf numFmtId="175" fontId="54" fillId="27" borderId="64" xfId="41" applyNumberFormat="1" applyFont="1" applyFill="1" applyBorder="1" applyAlignment="1">
      <alignment horizontal="right" vertical="center" wrapText="1"/>
    </xf>
    <xf numFmtId="0" fontId="83" fillId="27" borderId="20" xfId="73" quotePrefix="1" applyFont="1" applyFill="1" applyBorder="1" applyAlignment="1">
      <alignment horizontal="center" vertical="center" wrapText="1"/>
    </xf>
    <xf numFmtId="49" fontId="55" fillId="27" borderId="17" xfId="73" quotePrefix="1" applyNumberFormat="1" applyFont="1" applyFill="1" applyBorder="1" applyAlignment="1">
      <alignment horizontal="center" vertical="center"/>
    </xf>
    <xf numFmtId="167" fontId="83" fillId="27" borderId="17" xfId="73" quotePrefix="1" applyNumberFormat="1" applyFont="1" applyFill="1" applyBorder="1" applyAlignment="1">
      <alignment horizontal="center" vertical="center" wrapText="1"/>
    </xf>
    <xf numFmtId="167" fontId="54" fillId="27" borderId="20" xfId="41" applyNumberFormat="1" applyFont="1" applyFill="1" applyBorder="1" applyAlignment="1">
      <alignment horizontal="center" vertical="top" wrapText="1"/>
    </xf>
    <xf numFmtId="167" fontId="54" fillId="27" borderId="34" xfId="41" applyNumberFormat="1" applyFont="1" applyFill="1" applyBorder="1" applyAlignment="1">
      <alignment horizontal="center" vertical="top" wrapText="1"/>
    </xf>
    <xf numFmtId="167" fontId="54" fillId="27" borderId="64" xfId="41" applyNumberFormat="1" applyFont="1" applyFill="1" applyBorder="1" applyAlignment="1">
      <alignment horizontal="center" vertical="top" wrapText="1"/>
    </xf>
    <xf numFmtId="167" fontId="83" fillId="27" borderId="20" xfId="73" quotePrefix="1" applyNumberFormat="1" applyFont="1" applyFill="1" applyBorder="1" applyAlignment="1">
      <alignment horizontal="center" vertical="center" wrapText="1"/>
    </xf>
    <xf numFmtId="0" fontId="0" fillId="0" borderId="0" xfId="0" applyAlignment="1">
      <alignment horizontal="left"/>
    </xf>
    <xf numFmtId="0" fontId="84" fillId="27" borderId="17" xfId="73" applyFont="1" applyFill="1" applyBorder="1" applyAlignment="1">
      <alignment vertical="center" wrapText="1"/>
    </xf>
    <xf numFmtId="0" fontId="44" fillId="27" borderId="0" xfId="73" applyFont="1" applyFill="1"/>
    <xf numFmtId="0" fontId="88" fillId="0" borderId="0" xfId="73" applyFont="1"/>
    <xf numFmtId="0" fontId="54" fillId="0" borderId="17" xfId="73" applyFont="1" applyBorder="1" applyAlignment="1">
      <alignment horizontal="center" vertical="top" wrapText="1"/>
    </xf>
    <xf numFmtId="0" fontId="84" fillId="0" borderId="17" xfId="73" applyFont="1" applyBorder="1" applyAlignment="1">
      <alignment horizontal="center" vertical="top" wrapText="1"/>
    </xf>
    <xf numFmtId="0" fontId="54" fillId="0" borderId="12" xfId="73" applyFont="1" applyBorder="1" applyAlignment="1">
      <alignment horizontal="center" vertical="top" wrapText="1"/>
    </xf>
    <xf numFmtId="0" fontId="84" fillId="0" borderId="21" xfId="73" applyFont="1" applyBorder="1" applyAlignment="1">
      <alignment horizontal="center" vertical="center" wrapText="1"/>
    </xf>
    <xf numFmtId="0" fontId="84" fillId="0" borderId="20" xfId="73" applyFont="1" applyBorder="1" applyAlignment="1">
      <alignment horizontal="center" vertical="center" wrapText="1"/>
    </xf>
    <xf numFmtId="3" fontId="92" fillId="0" borderId="18" xfId="73" applyNumberFormat="1" applyFont="1" applyBorder="1" applyAlignment="1">
      <alignment vertical="center"/>
    </xf>
    <xf numFmtId="3" fontId="92" fillId="0" borderId="19" xfId="73" applyNumberFormat="1" applyFont="1" applyBorder="1" applyAlignment="1">
      <alignment vertical="center"/>
    </xf>
    <xf numFmtId="3" fontId="92" fillId="0" borderId="54" xfId="73" applyNumberFormat="1" applyFont="1" applyBorder="1" applyAlignment="1">
      <alignment vertical="center"/>
    </xf>
    <xf numFmtId="0" fontId="88" fillId="0" borderId="27" xfId="73" applyFont="1" applyBorder="1"/>
    <xf numFmtId="0" fontId="31" fillId="0" borderId="41" xfId="0" applyFont="1" applyBorder="1" applyAlignment="1">
      <alignment horizontal="center" vertical="center" textRotation="90" wrapText="1"/>
    </xf>
    <xf numFmtId="3" fontId="32" fillId="0" borderId="41" xfId="41" applyNumberFormat="1" applyFont="1" applyFill="1" applyBorder="1" applyAlignment="1">
      <alignment horizontal="center" vertical="center"/>
    </xf>
    <xf numFmtId="3" fontId="32" fillId="0" borderId="68" xfId="41" applyNumberFormat="1" applyFont="1" applyFill="1" applyBorder="1" applyAlignment="1">
      <alignment horizontal="center" vertical="center"/>
    </xf>
    <xf numFmtId="0" fontId="32" fillId="0" borderId="86" xfId="0" applyFont="1" applyBorder="1" applyAlignment="1">
      <alignment horizontal="left" vertical="center" wrapText="1"/>
    </xf>
    <xf numFmtId="3" fontId="32" fillId="0" borderId="14" xfId="41" applyNumberFormat="1" applyFont="1" applyFill="1" applyBorder="1" applyAlignment="1">
      <alignment horizontal="right" vertical="center"/>
    </xf>
    <xf numFmtId="3" fontId="32" fillId="24" borderId="14" xfId="41" applyNumberFormat="1" applyFont="1" applyFill="1" applyBorder="1" applyAlignment="1">
      <alignment horizontal="right" vertical="center"/>
    </xf>
    <xf numFmtId="3" fontId="32" fillId="27" borderId="14" xfId="41" applyNumberFormat="1" applyFont="1" applyFill="1" applyBorder="1" applyAlignment="1">
      <alignment horizontal="right" vertical="center"/>
    </xf>
    <xf numFmtId="3" fontId="32" fillId="0" borderId="37" xfId="41" applyNumberFormat="1" applyFont="1" applyFill="1" applyBorder="1" applyAlignment="1">
      <alignment horizontal="right" vertical="center"/>
    </xf>
    <xf numFmtId="3" fontId="31" fillId="0" borderId="42" xfId="41" applyNumberFormat="1" applyFont="1" applyFill="1" applyBorder="1" applyAlignment="1">
      <alignment horizontal="right" vertical="center"/>
    </xf>
    <xf numFmtId="3" fontId="31" fillId="0" borderId="32" xfId="41" applyNumberFormat="1" applyFont="1" applyFill="1" applyBorder="1" applyAlignment="1">
      <alignment horizontal="right" vertical="center"/>
    </xf>
    <xf numFmtId="3" fontId="30" fillId="0" borderId="18" xfId="41" applyNumberFormat="1" applyFont="1" applyFill="1" applyBorder="1" applyAlignment="1">
      <alignment horizontal="center" vertical="center"/>
    </xf>
    <xf numFmtId="3" fontId="46" fillId="0" borderId="0" xfId="0" applyNumberFormat="1" applyFont="1"/>
    <xf numFmtId="0" fontId="27" fillId="27" borderId="11" xfId="0" applyFont="1" applyFill="1" applyBorder="1" applyAlignment="1">
      <alignment horizontal="right"/>
    </xf>
    <xf numFmtId="0" fontId="29" fillId="27" borderId="18" xfId="0" applyFont="1" applyFill="1" applyBorder="1" applyAlignment="1">
      <alignment horizontal="center" vertical="center" wrapText="1"/>
    </xf>
    <xf numFmtId="0" fontId="29" fillId="27" borderId="19" xfId="0" applyFont="1" applyFill="1" applyBorder="1" applyAlignment="1">
      <alignment horizontal="center" vertical="center" wrapText="1"/>
    </xf>
    <xf numFmtId="3" fontId="32" fillId="0" borderId="15" xfId="41" applyNumberFormat="1" applyFont="1" applyFill="1" applyBorder="1" applyAlignment="1">
      <alignment horizontal="right" vertical="center"/>
    </xf>
    <xf numFmtId="3" fontId="30" fillId="27" borderId="0" xfId="41" applyNumberFormat="1" applyFont="1" applyFill="1" applyBorder="1" applyAlignment="1">
      <alignment horizontal="center" vertical="center"/>
    </xf>
    <xf numFmtId="0" fontId="29" fillId="24" borderId="0" xfId="0" applyFont="1" applyFill="1" applyAlignment="1">
      <alignment vertical="top" wrapText="1"/>
    </xf>
    <xf numFmtId="3" fontId="29" fillId="24" borderId="0" xfId="0" applyNumberFormat="1" applyFont="1" applyFill="1" applyAlignment="1">
      <alignment horizontal="center" vertical="top"/>
    </xf>
    <xf numFmtId="0" fontId="61" fillId="24" borderId="0" xfId="0" applyFont="1" applyFill="1"/>
    <xf numFmtId="0" fontId="95" fillId="24" borderId="0" xfId="71" applyFont="1" applyFill="1"/>
    <xf numFmtId="0" fontId="27" fillId="24" borderId="107" xfId="0" applyFont="1" applyFill="1" applyBorder="1"/>
    <xf numFmtId="0" fontId="27" fillId="24" borderId="28" xfId="0" applyFont="1" applyFill="1" applyBorder="1"/>
    <xf numFmtId="0" fontId="27" fillId="24" borderId="108" xfId="0" applyFont="1" applyFill="1" applyBorder="1"/>
    <xf numFmtId="0" fontId="27" fillId="24" borderId="27" xfId="0" applyFont="1" applyFill="1" applyBorder="1"/>
    <xf numFmtId="175" fontId="58" fillId="24" borderId="0" xfId="79" applyNumberFormat="1" applyFont="1" applyFill="1" applyBorder="1"/>
    <xf numFmtId="167" fontId="28" fillId="24" borderId="0" xfId="0" applyNumberFormat="1" applyFont="1" applyFill="1"/>
    <xf numFmtId="0" fontId="58" fillId="24" borderId="0" xfId="0" applyFont="1" applyFill="1"/>
    <xf numFmtId="0" fontId="27" fillId="24" borderId="25" xfId="0" applyFont="1" applyFill="1" applyBorder="1"/>
    <xf numFmtId="175" fontId="28" fillId="24" borderId="0" xfId="79" applyNumberFormat="1" applyFont="1" applyFill="1" applyBorder="1"/>
    <xf numFmtId="0" fontId="37" fillId="24" borderId="27" xfId="0" applyFont="1" applyFill="1" applyBorder="1"/>
    <xf numFmtId="167" fontId="37" fillId="24" borderId="0" xfId="0" applyNumberFormat="1" applyFont="1" applyFill="1"/>
    <xf numFmtId="0" fontId="96" fillId="24" borderId="0" xfId="0" applyFont="1" applyFill="1"/>
    <xf numFmtId="0" fontId="37" fillId="24" borderId="25" xfId="0" applyFont="1" applyFill="1" applyBorder="1"/>
    <xf numFmtId="0" fontId="28" fillId="24" borderId="27" xfId="0" applyFont="1" applyFill="1" applyBorder="1"/>
    <xf numFmtId="0" fontId="28" fillId="24" borderId="25" xfId="0" applyFont="1" applyFill="1" applyBorder="1"/>
    <xf numFmtId="167" fontId="31" fillId="0" borderId="14" xfId="41" applyNumberFormat="1" applyFont="1" applyFill="1" applyBorder="1" applyAlignment="1">
      <alignment horizontal="center" vertical="center" wrapText="1"/>
    </xf>
    <xf numFmtId="167" fontId="31" fillId="0" borderId="20" xfId="41" applyNumberFormat="1" applyFont="1" applyFill="1" applyBorder="1" applyAlignment="1">
      <alignment horizontal="center" vertical="center" wrapText="1"/>
    </xf>
    <xf numFmtId="0" fontId="31" fillId="24" borderId="54" xfId="0" applyFont="1" applyFill="1" applyBorder="1" applyAlignment="1">
      <alignment horizontal="center" vertical="center" wrapText="1"/>
    </xf>
    <xf numFmtId="49" fontId="83" fillId="27" borderId="14" xfId="73" quotePrefix="1" applyNumberFormat="1" applyFont="1" applyFill="1" applyBorder="1" applyAlignment="1">
      <alignment horizontal="center" vertical="center" wrapText="1"/>
    </xf>
    <xf numFmtId="0" fontId="36" fillId="24" borderId="27" xfId="0" applyFont="1" applyFill="1" applyBorder="1"/>
    <xf numFmtId="0" fontId="36" fillId="24" borderId="25" xfId="0" applyFont="1" applyFill="1" applyBorder="1"/>
    <xf numFmtId="0" fontId="36" fillId="24" borderId="35" xfId="0" applyFont="1" applyFill="1" applyBorder="1"/>
    <xf numFmtId="0" fontId="36" fillId="24" borderId="11" xfId="0" applyFont="1" applyFill="1" applyBorder="1"/>
    <xf numFmtId="0" fontId="36" fillId="24" borderId="36" xfId="0" applyFont="1" applyFill="1" applyBorder="1"/>
    <xf numFmtId="167" fontId="31" fillId="27" borderId="20" xfId="41" applyNumberFormat="1" applyFont="1" applyFill="1" applyBorder="1" applyAlignment="1">
      <alignment vertical="center"/>
    </xf>
    <xf numFmtId="0" fontId="35" fillId="27" borderId="27" xfId="0" applyFont="1" applyFill="1" applyBorder="1" applyAlignment="1">
      <alignment horizontal="center"/>
    </xf>
    <xf numFmtId="0" fontId="35" fillId="27" borderId="0" xfId="0" applyFont="1" applyFill="1" applyAlignment="1">
      <alignment horizontal="center"/>
    </xf>
    <xf numFmtId="0" fontId="35" fillId="27" borderId="0" xfId="0" applyFont="1" applyFill="1"/>
    <xf numFmtId="169" fontId="35" fillId="27" borderId="0" xfId="0" applyNumberFormat="1" applyFont="1" applyFill="1"/>
    <xf numFmtId="169" fontId="35" fillId="27" borderId="25" xfId="0" applyNumberFormat="1" applyFont="1" applyFill="1" applyBorder="1"/>
    <xf numFmtId="0" fontId="31" fillId="0" borderId="26" xfId="0" applyFont="1" applyBorder="1" applyAlignment="1">
      <alignment vertical="center" wrapText="1"/>
    </xf>
    <xf numFmtId="0" fontId="31" fillId="0" borderId="14" xfId="0" applyFont="1" applyBorder="1" applyAlignment="1">
      <alignment vertical="center" wrapText="1"/>
    </xf>
    <xf numFmtId="5" fontId="27" fillId="0" borderId="37" xfId="63" applyNumberFormat="1" applyFont="1" applyBorder="1" applyAlignment="1">
      <alignment horizontal="right" vertical="center" wrapText="1"/>
    </xf>
    <xf numFmtId="0" fontId="31" fillId="0" borderId="21" xfId="0" applyFont="1" applyBorder="1" applyAlignment="1">
      <alignment vertical="center"/>
    </xf>
    <xf numFmtId="5" fontId="27" fillId="0" borderId="34" xfId="63" applyNumberFormat="1" applyFont="1" applyBorder="1" applyAlignment="1">
      <alignment horizontal="right" vertical="center" wrapText="1"/>
    </xf>
    <xf numFmtId="0" fontId="31" fillId="0" borderId="48" xfId="0" applyFont="1" applyBorder="1" applyAlignment="1">
      <alignment vertical="center"/>
    </xf>
    <xf numFmtId="5" fontId="27" fillId="0" borderId="12" xfId="63" applyNumberFormat="1" applyFont="1" applyBorder="1" applyAlignment="1">
      <alignment horizontal="right" vertical="center" wrapText="1"/>
    </xf>
    <xf numFmtId="169" fontId="28" fillId="0" borderId="19" xfId="81" applyNumberFormat="1" applyFont="1" applyBorder="1" applyAlignment="1"/>
    <xf numFmtId="0" fontId="58" fillId="0" borderId="19" xfId="63" applyFont="1" applyBorder="1" applyAlignment="1">
      <alignment horizontal="center" wrapText="1"/>
    </xf>
    <xf numFmtId="0" fontId="58" fillId="0" borderId="18" xfId="63" applyFont="1" applyBorder="1" applyAlignment="1">
      <alignment wrapText="1"/>
    </xf>
    <xf numFmtId="5" fontId="0" fillId="0" borderId="0" xfId="0" applyNumberFormat="1"/>
    <xf numFmtId="167" fontId="31" fillId="0" borderId="37" xfId="41" applyNumberFormat="1" applyFont="1" applyFill="1" applyBorder="1" applyAlignment="1">
      <alignment horizontal="center" vertical="center" wrapText="1"/>
    </xf>
    <xf numFmtId="0" fontId="32" fillId="0" borderId="14" xfId="0" applyFont="1" applyBorder="1" applyAlignment="1">
      <alignment horizontal="center" vertical="center"/>
    </xf>
    <xf numFmtId="167" fontId="31" fillId="27" borderId="54" xfId="41" applyNumberFormat="1" applyFont="1" applyFill="1" applyBorder="1" applyAlignment="1">
      <alignment vertical="center"/>
    </xf>
    <xf numFmtId="167" fontId="31" fillId="27" borderId="86" xfId="41" applyNumberFormat="1" applyFont="1" applyFill="1" applyBorder="1" applyAlignment="1">
      <alignment horizontal="center" vertical="center"/>
    </xf>
    <xf numFmtId="167" fontId="31" fillId="27" borderId="37" xfId="41" applyNumberFormat="1" applyFont="1" applyFill="1" applyBorder="1" applyAlignment="1">
      <alignment horizontal="center" vertical="center"/>
    </xf>
    <xf numFmtId="49" fontId="55" fillId="0" borderId="14" xfId="73" quotePrefix="1" applyNumberFormat="1" applyFont="1" applyBorder="1" applyAlignment="1">
      <alignment horizontal="center" vertical="center" wrapText="1"/>
    </xf>
    <xf numFmtId="0" fontId="54" fillId="27" borderId="48" xfId="73" applyFont="1" applyFill="1" applyBorder="1" applyAlignment="1">
      <alignment horizontal="center" vertical="center"/>
    </xf>
    <xf numFmtId="0" fontId="54" fillId="27" borderId="17" xfId="73" applyFont="1" applyFill="1" applyBorder="1" applyAlignment="1">
      <alignment horizontal="center" vertical="center"/>
    </xf>
    <xf numFmtId="0" fontId="54" fillId="27" borderId="17" xfId="73" applyFont="1" applyFill="1" applyBorder="1" applyAlignment="1">
      <alignment horizontal="left" vertical="center" wrapText="1"/>
    </xf>
    <xf numFmtId="49" fontId="54" fillId="27" borderId="17" xfId="73" applyNumberFormat="1" applyFont="1" applyFill="1" applyBorder="1"/>
    <xf numFmtId="3" fontId="31" fillId="0" borderId="21" xfId="41" applyNumberFormat="1" applyFont="1" applyFill="1" applyBorder="1" applyAlignment="1">
      <alignment horizontal="center" vertical="center"/>
    </xf>
    <xf numFmtId="0" fontId="27" fillId="27" borderId="0" xfId="0" applyFont="1" applyFill="1" applyAlignment="1">
      <alignment horizontal="right"/>
    </xf>
    <xf numFmtId="0" fontId="54" fillId="0" borderId="122" xfId="73" applyFont="1" applyBorder="1" applyAlignment="1">
      <alignment horizontal="center" vertical="top" wrapText="1"/>
    </xf>
    <xf numFmtId="0" fontId="90" fillId="0" borderId="145" xfId="73" applyFont="1" applyBorder="1" applyAlignment="1">
      <alignment horizontal="center" vertical="center"/>
    </xf>
    <xf numFmtId="0" fontId="88" fillId="27" borderId="0" xfId="73" applyFont="1" applyFill="1" applyAlignment="1">
      <alignment horizontal="right"/>
    </xf>
    <xf numFmtId="167" fontId="27" fillId="24" borderId="10" xfId="41" applyNumberFormat="1" applyFont="1" applyFill="1" applyBorder="1" applyAlignment="1">
      <alignment horizontal="center"/>
    </xf>
    <xf numFmtId="167" fontId="28" fillId="24" borderId="10" xfId="41" applyNumberFormat="1" applyFont="1" applyFill="1" applyBorder="1" applyAlignment="1">
      <alignment horizontal="center"/>
    </xf>
    <xf numFmtId="169" fontId="0" fillId="27" borderId="0" xfId="0" applyNumberFormat="1" applyFill="1"/>
    <xf numFmtId="0" fontId="32" fillId="0" borderId="20" xfId="0" applyFont="1" applyBorder="1" applyAlignment="1">
      <alignment horizontal="center" vertical="center"/>
    </xf>
    <xf numFmtId="167" fontId="31" fillId="27" borderId="64" xfId="41" applyNumberFormat="1" applyFont="1" applyFill="1" applyBorder="1" applyAlignment="1">
      <alignment horizontal="center" vertical="center"/>
    </xf>
    <xf numFmtId="167" fontId="31" fillId="27" borderId="34" xfId="41" applyNumberFormat="1" applyFont="1" applyFill="1" applyBorder="1" applyAlignment="1">
      <alignment horizontal="center" vertical="center"/>
    </xf>
    <xf numFmtId="0" fontId="32" fillId="0" borderId="13" xfId="0" applyFont="1" applyBorder="1" applyAlignment="1">
      <alignment horizontal="center" vertical="center"/>
    </xf>
    <xf numFmtId="0" fontId="31" fillId="0" borderId="18" xfId="0" quotePrefix="1" applyFont="1" applyBorder="1" applyAlignment="1">
      <alignment horizontal="center" vertical="center"/>
    </xf>
    <xf numFmtId="0" fontId="31" fillId="24" borderId="68" xfId="0" applyFont="1" applyFill="1" applyBorder="1" applyAlignment="1">
      <alignment horizontal="center" vertical="center" wrapText="1"/>
    </xf>
    <xf numFmtId="0" fontId="83" fillId="0" borderId="18" xfId="0" applyFont="1" applyBorder="1" applyAlignment="1">
      <alignment horizontal="center" vertical="center" wrapText="1"/>
    </xf>
    <xf numFmtId="0" fontId="31" fillId="0" borderId="26" xfId="0" quotePrefix="1" applyFont="1" applyBorder="1" applyAlignment="1">
      <alignment horizontal="center" vertical="center"/>
    </xf>
    <xf numFmtId="0" fontId="31" fillId="0" borderId="49" xfId="0" quotePrefix="1" applyFont="1" applyBorder="1" applyAlignment="1">
      <alignment horizontal="center" vertical="center"/>
    </xf>
    <xf numFmtId="0" fontId="31" fillId="0" borderId="15" xfId="0" quotePrefix="1" applyFont="1" applyBorder="1" applyAlignment="1">
      <alignment horizontal="center" vertical="center"/>
    </xf>
    <xf numFmtId="167" fontId="31" fillId="27" borderId="23" xfId="41" applyNumberFormat="1" applyFont="1" applyFill="1" applyBorder="1" applyAlignment="1">
      <alignment horizontal="center" vertical="center" wrapText="1"/>
    </xf>
    <xf numFmtId="167" fontId="32" fillId="27" borderId="23" xfId="41" applyNumberFormat="1" applyFont="1" applyFill="1" applyBorder="1" applyAlignment="1">
      <alignment horizontal="center" vertical="center" wrapText="1"/>
    </xf>
    <xf numFmtId="167" fontId="32" fillId="27" borderId="24" xfId="41" applyNumberFormat="1" applyFont="1" applyFill="1" applyBorder="1" applyAlignment="1">
      <alignment horizontal="center" vertical="center" wrapText="1"/>
    </xf>
    <xf numFmtId="167" fontId="33" fillId="27" borderId="23" xfId="41" applyNumberFormat="1" applyFont="1" applyFill="1" applyBorder="1" applyAlignment="1">
      <alignment horizontal="center" vertical="center" wrapText="1"/>
    </xf>
    <xf numFmtId="49" fontId="32" fillId="24" borderId="18" xfId="0" applyNumberFormat="1" applyFont="1" applyFill="1" applyBorder="1" applyAlignment="1">
      <alignment vertical="center"/>
    </xf>
    <xf numFmtId="0" fontId="30" fillId="27" borderId="18" xfId="0" applyFont="1" applyFill="1" applyBorder="1" applyAlignment="1">
      <alignment vertical="center"/>
    </xf>
    <xf numFmtId="0" fontId="30" fillId="27" borderId="19" xfId="0" applyFont="1" applyFill="1" applyBorder="1" applyAlignment="1">
      <alignment vertical="center"/>
    </xf>
    <xf numFmtId="0" fontId="31" fillId="0" borderId="18" xfId="0" applyFont="1" applyBorder="1" applyAlignment="1">
      <alignment vertical="center"/>
    </xf>
    <xf numFmtId="0" fontId="31" fillId="0" borderId="18" xfId="0" applyFont="1" applyBorder="1" applyAlignment="1">
      <alignment vertical="center" wrapText="1"/>
    </xf>
    <xf numFmtId="0" fontId="31" fillId="0" borderId="19" xfId="0" applyFont="1" applyBorder="1" applyAlignment="1">
      <alignment vertical="center" wrapText="1"/>
    </xf>
    <xf numFmtId="5" fontId="59" fillId="0" borderId="34" xfId="81" applyNumberFormat="1" applyFont="1" applyFill="1" applyBorder="1" applyAlignment="1"/>
    <xf numFmtId="5" fontId="0" fillId="0" borderId="34" xfId="0" applyNumberFormat="1" applyBorder="1"/>
    <xf numFmtId="3" fontId="31" fillId="0" borderId="21" xfId="41" quotePrefix="1" applyNumberFormat="1" applyFont="1" applyFill="1" applyBorder="1" applyAlignment="1">
      <alignment horizontal="center" vertical="center"/>
    </xf>
    <xf numFmtId="3" fontId="31" fillId="0" borderId="20" xfId="41" quotePrefix="1" applyNumberFormat="1" applyFont="1" applyFill="1" applyBorder="1" applyAlignment="1">
      <alignment horizontal="center" vertical="center"/>
    </xf>
    <xf numFmtId="3" fontId="31" fillId="0" borderId="20" xfId="41" applyNumberFormat="1" applyFont="1" applyFill="1" applyBorder="1" applyAlignment="1">
      <alignment horizontal="center" vertical="center"/>
    </xf>
    <xf numFmtId="3" fontId="31" fillId="0" borderId="20" xfId="41" applyNumberFormat="1" applyFont="1" applyFill="1" applyBorder="1" applyAlignment="1">
      <alignment horizontal="center" vertical="center" wrapText="1"/>
    </xf>
    <xf numFmtId="3" fontId="31" fillId="0" borderId="48" xfId="41" applyNumberFormat="1" applyFont="1" applyFill="1" applyBorder="1" applyAlignment="1">
      <alignment horizontal="center" vertical="center"/>
    </xf>
    <xf numFmtId="3" fontId="31" fillId="0" borderId="17" xfId="41" applyNumberFormat="1" applyFont="1" applyFill="1" applyBorder="1" applyAlignment="1">
      <alignment horizontal="center" vertical="center"/>
    </xf>
    <xf numFmtId="49" fontId="31" fillId="27" borderId="0" xfId="0" applyNumberFormat="1" applyFont="1" applyFill="1"/>
    <xf numFmtId="167" fontId="31" fillId="27" borderId="0" xfId="41" applyNumberFormat="1" applyFont="1" applyFill="1"/>
    <xf numFmtId="167" fontId="31" fillId="0" borderId="12" xfId="41" applyNumberFormat="1" applyFont="1" applyFill="1" applyBorder="1" applyAlignment="1">
      <alignment horizontal="center" vertical="center" wrapText="1"/>
    </xf>
    <xf numFmtId="49" fontId="31" fillId="0" borderId="26" xfId="0" quotePrefix="1" applyNumberFormat="1" applyFont="1" applyBorder="1" applyAlignment="1">
      <alignment horizontal="center" vertical="center"/>
    </xf>
    <xf numFmtId="167" fontId="32" fillId="0" borderId="19" xfId="0" applyNumberFormat="1" applyFont="1" applyBorder="1" applyAlignment="1">
      <alignment vertical="center"/>
    </xf>
    <xf numFmtId="167" fontId="31" fillId="0" borderId="37" xfId="41" applyNumberFormat="1" applyFont="1" applyFill="1" applyBorder="1" applyAlignment="1">
      <alignment vertical="center" wrapText="1"/>
    </xf>
    <xf numFmtId="167" fontId="31" fillId="0" borderId="34" xfId="41" applyNumberFormat="1" applyFont="1" applyFill="1" applyBorder="1" applyAlignment="1">
      <alignment vertical="center" wrapText="1"/>
    </xf>
    <xf numFmtId="0" fontId="75" fillId="31" borderId="147" xfId="64" applyFont="1" applyFill="1" applyBorder="1" applyAlignment="1">
      <alignment horizontal="center" vertical="center" wrapText="1"/>
    </xf>
    <xf numFmtId="170" fontId="45" fillId="31" borderId="148" xfId="82" applyNumberFormat="1" applyFont="1" applyFill="1" applyBorder="1" applyAlignment="1">
      <alignment horizontal="center" vertical="center"/>
    </xf>
    <xf numFmtId="0" fontId="76" fillId="32" borderId="149" xfId="64" applyFont="1" applyFill="1" applyBorder="1" applyAlignment="1">
      <alignment horizontal="center" vertical="center" wrapText="1"/>
    </xf>
    <xf numFmtId="3" fontId="92" fillId="27" borderId="38" xfId="73" applyNumberFormat="1" applyFont="1" applyFill="1" applyBorder="1" applyAlignment="1">
      <alignment horizontal="right" vertical="center"/>
    </xf>
    <xf numFmtId="3" fontId="30" fillId="0" borderId="19" xfId="41" applyNumberFormat="1" applyFont="1" applyFill="1" applyBorder="1" applyAlignment="1">
      <alignment horizontal="center" vertical="center"/>
    </xf>
    <xf numFmtId="167" fontId="32" fillId="27" borderId="18" xfId="41" applyNumberFormat="1" applyFont="1" applyFill="1" applyBorder="1" applyAlignment="1">
      <alignment vertical="center"/>
    </xf>
    <xf numFmtId="0" fontId="31" fillId="27" borderId="26" xfId="0" applyFont="1" applyFill="1" applyBorder="1" applyAlignment="1">
      <alignment horizontal="center" vertical="center"/>
    </xf>
    <xf numFmtId="0" fontId="31" fillId="27" borderId="14" xfId="0" quotePrefix="1" applyFont="1" applyFill="1" applyBorder="1" applyAlignment="1">
      <alignment horizontal="center" vertical="center"/>
    </xf>
    <xf numFmtId="0" fontId="31" fillId="27" borderId="14" xfId="0" applyFont="1" applyFill="1" applyBorder="1" applyAlignment="1">
      <alignment horizontal="center" vertical="center"/>
    </xf>
    <xf numFmtId="0" fontId="31" fillId="27" borderId="14" xfId="0" applyFont="1" applyFill="1" applyBorder="1" applyAlignment="1">
      <alignment horizontal="left" vertical="center" wrapText="1"/>
    </xf>
    <xf numFmtId="167" fontId="31" fillId="27" borderId="14" xfId="41" applyNumberFormat="1" applyFont="1" applyFill="1" applyBorder="1" applyAlignment="1">
      <alignment horizontal="center" vertical="center" wrapText="1"/>
    </xf>
    <xf numFmtId="0" fontId="31" fillId="27" borderId="21" xfId="0" applyFont="1" applyFill="1" applyBorder="1" applyAlignment="1">
      <alignment horizontal="center" vertical="center"/>
    </xf>
    <xf numFmtId="0" fontId="31" fillId="27" borderId="20" xfId="0" quotePrefix="1" applyFont="1" applyFill="1" applyBorder="1" applyAlignment="1">
      <alignment horizontal="center" vertical="center"/>
    </xf>
    <xf numFmtId="0" fontId="31" fillId="27" borderId="20" xfId="0" applyFont="1" applyFill="1" applyBorder="1" applyAlignment="1">
      <alignment horizontal="center" vertical="center"/>
    </xf>
    <xf numFmtId="167" fontId="31" fillId="27" borderId="20" xfId="41" applyNumberFormat="1" applyFont="1" applyFill="1" applyBorder="1" applyAlignment="1">
      <alignment horizontal="center" vertical="center" wrapText="1"/>
    </xf>
    <xf numFmtId="167" fontId="31" fillId="27" borderId="42" xfId="41" applyNumberFormat="1" applyFont="1" applyFill="1" applyBorder="1" applyAlignment="1">
      <alignment horizontal="center" vertical="center" wrapText="1"/>
    </xf>
    <xf numFmtId="0" fontId="31" fillId="27" borderId="30" xfId="0" applyFont="1" applyFill="1" applyBorder="1"/>
    <xf numFmtId="0" fontId="31" fillId="27" borderId="48" xfId="0" applyFont="1" applyFill="1" applyBorder="1" applyAlignment="1">
      <alignment horizontal="center" vertical="center"/>
    </xf>
    <xf numFmtId="0" fontId="31" fillId="27" borderId="17" xfId="0" applyFont="1" applyFill="1" applyBorder="1" applyAlignment="1">
      <alignment horizontal="center" vertical="center"/>
    </xf>
    <xf numFmtId="0" fontId="31" fillId="27" borderId="17" xfId="0" applyFont="1" applyFill="1" applyBorder="1" applyAlignment="1">
      <alignment vertical="center"/>
    </xf>
    <xf numFmtId="167" fontId="32" fillId="27" borderId="85" xfId="41" applyNumberFormat="1" applyFont="1" applyFill="1" applyBorder="1" applyAlignment="1">
      <alignment vertical="center"/>
    </xf>
    <xf numFmtId="167" fontId="31" fillId="27" borderId="83" xfId="41" applyNumberFormat="1" applyFont="1" applyFill="1" applyBorder="1" applyAlignment="1">
      <alignment vertical="center" wrapText="1"/>
    </xf>
    <xf numFmtId="167" fontId="31" fillId="27" borderId="44" xfId="41" applyNumberFormat="1" applyFont="1" applyFill="1" applyBorder="1" applyAlignment="1">
      <alignment vertical="center" wrapText="1"/>
    </xf>
    <xf numFmtId="0" fontId="31" fillId="27" borderId="65" xfId="0" applyFont="1" applyFill="1" applyBorder="1"/>
    <xf numFmtId="0" fontId="31" fillId="27" borderId="42" xfId="0" applyFont="1" applyFill="1" applyBorder="1" applyAlignment="1">
      <alignment horizontal="left" vertical="center" wrapText="1"/>
    </xf>
    <xf numFmtId="0" fontId="31" fillId="27" borderId="30" xfId="0" applyFont="1" applyFill="1" applyBorder="1" applyAlignment="1">
      <alignment vertical="center"/>
    </xf>
    <xf numFmtId="49" fontId="31" fillId="27" borderId="17" xfId="0" applyNumberFormat="1" applyFont="1" applyFill="1" applyBorder="1" applyAlignment="1">
      <alignment horizontal="center" vertical="center"/>
    </xf>
    <xf numFmtId="167" fontId="30" fillId="0" borderId="54" xfId="41" applyNumberFormat="1" applyFont="1" applyBorder="1" applyAlignment="1">
      <alignment vertical="center"/>
    </xf>
    <xf numFmtId="167" fontId="30" fillId="0" borderId="19" xfId="41" applyNumberFormat="1" applyFont="1" applyBorder="1" applyAlignment="1">
      <alignment vertical="center"/>
    </xf>
    <xf numFmtId="0" fontId="28" fillId="27" borderId="0" xfId="73" applyFont="1" applyFill="1" applyAlignment="1">
      <alignment horizontal="center"/>
    </xf>
    <xf numFmtId="3" fontId="88" fillId="27" borderId="0" xfId="73" applyNumberFormat="1" applyFont="1" applyFill="1" applyAlignment="1">
      <alignment horizontal="center" vertical="center"/>
    </xf>
    <xf numFmtId="0" fontId="90" fillId="27" borderId="145" xfId="73" applyFont="1" applyFill="1" applyBorder="1" applyAlignment="1">
      <alignment horizontal="center"/>
    </xf>
    <xf numFmtId="3" fontId="43" fillId="27" borderId="0" xfId="73" applyNumberFormat="1" applyFont="1" applyFill="1" applyAlignment="1">
      <alignment horizontal="center" vertical="center"/>
    </xf>
    <xf numFmtId="0" fontId="54" fillId="0" borderId="81" xfId="73" applyFont="1" applyBorder="1" applyAlignment="1">
      <alignment horizontal="center" vertical="top" wrapText="1"/>
    </xf>
    <xf numFmtId="0" fontId="44" fillId="0" borderId="145" xfId="73" applyFont="1" applyBorder="1" applyAlignment="1">
      <alignment horizontal="center"/>
    </xf>
    <xf numFmtId="3" fontId="92" fillId="27" borderId="18" xfId="73" applyNumberFormat="1" applyFont="1" applyFill="1" applyBorder="1" applyAlignment="1">
      <alignment horizontal="right" vertical="center"/>
    </xf>
    <xf numFmtId="49" fontId="31" fillId="0" borderId="14" xfId="0" applyNumberFormat="1" applyFont="1" applyBorder="1" applyAlignment="1">
      <alignment horizontal="center" vertical="center"/>
    </xf>
    <xf numFmtId="167" fontId="84" fillId="27" borderId="14" xfId="41" applyNumberFormat="1" applyFont="1" applyFill="1" applyBorder="1" applyAlignment="1">
      <alignment horizontal="center" vertical="center"/>
    </xf>
    <xf numFmtId="167" fontId="84" fillId="27" borderId="17" xfId="41" applyNumberFormat="1" applyFont="1" applyFill="1" applyBorder="1" applyAlignment="1">
      <alignment horizontal="center" vertical="center"/>
    </xf>
    <xf numFmtId="49" fontId="31" fillId="0" borderId="14" xfId="0" quotePrefix="1" applyNumberFormat="1" applyFont="1" applyBorder="1" applyAlignment="1">
      <alignment vertical="center"/>
    </xf>
    <xf numFmtId="0" fontId="31" fillId="27" borderId="19" xfId="0" applyFont="1" applyFill="1" applyBorder="1" applyAlignment="1">
      <alignment horizontal="center" vertical="center" wrapText="1"/>
    </xf>
    <xf numFmtId="0" fontId="84" fillId="0" borderId="18" xfId="0" applyFont="1" applyBorder="1" applyAlignment="1">
      <alignment horizontal="center" vertical="center" wrapText="1"/>
    </xf>
    <xf numFmtId="0" fontId="88" fillId="27" borderId="20" xfId="73" applyFont="1" applyFill="1" applyBorder="1" applyAlignment="1">
      <alignment vertical="center" wrapText="1"/>
    </xf>
    <xf numFmtId="167" fontId="31" fillId="0" borderId="26" xfId="41" applyNumberFormat="1" applyFont="1" applyFill="1" applyBorder="1" applyAlignment="1">
      <alignment vertical="center"/>
    </xf>
    <xf numFmtId="167" fontId="31" fillId="0" borderId="21" xfId="41" applyNumberFormat="1" applyFont="1" applyFill="1" applyBorder="1" applyAlignment="1">
      <alignment vertical="center"/>
    </xf>
    <xf numFmtId="167" fontId="31" fillId="0" borderId="21" xfId="41" applyNumberFormat="1" applyFont="1" applyFill="1" applyBorder="1" applyAlignment="1">
      <alignment horizontal="center" vertical="center"/>
    </xf>
    <xf numFmtId="167" fontId="31" fillId="0" borderId="48" xfId="41" applyNumberFormat="1" applyFont="1" applyFill="1" applyBorder="1" applyAlignment="1">
      <alignment horizontal="center" vertical="center"/>
    </xf>
    <xf numFmtId="49" fontId="55" fillId="0" borderId="20" xfId="73" quotePrefix="1" applyNumberFormat="1" applyFont="1" applyBorder="1" applyAlignment="1">
      <alignment horizontal="center" vertical="center" wrapText="1"/>
    </xf>
    <xf numFmtId="167" fontId="31" fillId="27" borderId="46" xfId="41" applyNumberFormat="1" applyFont="1" applyFill="1" applyBorder="1" applyAlignment="1">
      <alignment horizontal="center" vertical="center" wrapText="1"/>
    </xf>
    <xf numFmtId="0" fontId="31" fillId="24" borderId="20" xfId="0" applyFont="1" applyFill="1" applyBorder="1"/>
    <xf numFmtId="49" fontId="43" fillId="0" borderId="10" xfId="0" applyNumberFormat="1" applyFont="1" applyBorder="1" applyAlignment="1">
      <alignment horizontal="center" vertical="center" wrapText="1"/>
    </xf>
    <xf numFmtId="49" fontId="31" fillId="0" borderId="18" xfId="0" quotePrefix="1" applyNumberFormat="1" applyFont="1" applyBorder="1" applyAlignment="1">
      <alignment horizontal="center" vertical="center"/>
    </xf>
    <xf numFmtId="0" fontId="98" fillId="24" borderId="18" xfId="0" applyFont="1" applyFill="1" applyBorder="1" applyAlignment="1">
      <alignment horizontal="center" vertical="center" wrapText="1"/>
    </xf>
    <xf numFmtId="0" fontId="31" fillId="0" borderId="42" xfId="0" applyFont="1" applyBorder="1" applyAlignment="1">
      <alignment horizontal="left" vertical="center" wrapText="1"/>
    </xf>
    <xf numFmtId="0" fontId="31" fillId="0" borderId="13" xfId="0" applyFont="1" applyBorder="1" applyAlignment="1">
      <alignment horizontal="left" vertical="center" wrapText="1"/>
    </xf>
    <xf numFmtId="0" fontId="31" fillId="0" borderId="42" xfId="0" applyFont="1" applyBorder="1" applyAlignment="1">
      <alignment vertical="center" wrapText="1"/>
    </xf>
    <xf numFmtId="0" fontId="31" fillId="0" borderId="13" xfId="0" applyFont="1" applyBorder="1" applyAlignment="1">
      <alignment vertical="center" wrapText="1"/>
    </xf>
    <xf numFmtId="0" fontId="31" fillId="0" borderId="10" xfId="0" applyFont="1" applyBorder="1" applyAlignment="1">
      <alignment horizontal="center" vertical="center" wrapText="1"/>
    </xf>
    <xf numFmtId="0" fontId="31" fillId="0" borderId="62" xfId="0" applyFont="1" applyBorder="1" applyAlignment="1">
      <alignment horizontal="center" vertical="center" wrapText="1"/>
    </xf>
    <xf numFmtId="173" fontId="32" fillId="27" borderId="88" xfId="0" applyNumberFormat="1" applyFont="1" applyFill="1" applyBorder="1" applyAlignment="1">
      <alignment horizontal="center" vertical="center" wrapText="1"/>
    </xf>
    <xf numFmtId="173" fontId="32" fillId="27" borderId="10" xfId="0" applyNumberFormat="1" applyFont="1" applyFill="1" applyBorder="1" applyAlignment="1">
      <alignment horizontal="center" vertical="center"/>
    </xf>
    <xf numFmtId="173" fontId="32" fillId="27" borderId="10" xfId="0" applyNumberFormat="1" applyFont="1" applyFill="1" applyBorder="1" applyAlignment="1">
      <alignment horizontal="center" vertical="center" wrapText="1"/>
    </xf>
    <xf numFmtId="3" fontId="69" fillId="0" borderId="10" xfId="64" applyNumberFormat="1" applyFont="1" applyBorder="1" applyAlignment="1">
      <alignment horizontal="center" vertical="center"/>
    </xf>
    <xf numFmtId="3" fontId="71" fillId="0" borderId="10" xfId="64" applyNumberFormat="1" applyFont="1" applyBorder="1" applyAlignment="1">
      <alignment horizontal="center" vertical="center" wrapText="1"/>
    </xf>
    <xf numFmtId="0" fontId="44" fillId="0" borderId="10" xfId="68" applyFont="1" applyBorder="1" applyAlignment="1">
      <alignment horizontal="center" vertical="center" wrapText="1"/>
    </xf>
    <xf numFmtId="0" fontId="79" fillId="24" borderId="107" xfId="70" applyFont="1" applyFill="1" applyBorder="1" applyAlignment="1">
      <alignment horizontal="center" vertical="center" wrapText="1"/>
    </xf>
    <xf numFmtId="0" fontId="32" fillId="0" borderId="10" xfId="70" applyFont="1" applyBorder="1" applyAlignment="1">
      <alignment horizontal="center" vertical="center" wrapText="1"/>
    </xf>
    <xf numFmtId="0" fontId="84" fillId="0" borderId="14" xfId="0" applyFont="1" applyBorder="1" applyAlignment="1">
      <alignment horizontal="center" vertical="center" wrapText="1"/>
    </xf>
    <xf numFmtId="0" fontId="84" fillId="0" borderId="20" xfId="0" applyFont="1" applyBorder="1" applyAlignment="1">
      <alignment horizontal="center" vertical="center" wrapText="1"/>
    </xf>
    <xf numFmtId="0" fontId="84" fillId="0" borderId="17" xfId="0" applyFont="1" applyBorder="1" applyAlignment="1">
      <alignment horizontal="center" vertical="center" wrapText="1"/>
    </xf>
    <xf numFmtId="167" fontId="84" fillId="27" borderId="14" xfId="41" applyNumberFormat="1" applyFont="1" applyFill="1" applyBorder="1" applyAlignment="1">
      <alignment vertical="center"/>
    </xf>
    <xf numFmtId="0" fontId="32" fillId="24" borderId="18" xfId="0" applyFont="1" applyFill="1" applyBorder="1" applyAlignment="1">
      <alignment vertical="center"/>
    </xf>
    <xf numFmtId="0" fontId="32" fillId="24" borderId="19" xfId="0" applyFont="1" applyFill="1" applyBorder="1" applyAlignment="1">
      <alignment vertical="center"/>
    </xf>
    <xf numFmtId="49" fontId="31" fillId="0" borderId="14" xfId="0" quotePrefix="1" applyNumberFormat="1" applyFont="1" applyBorder="1" applyAlignment="1">
      <alignment horizontal="center" vertical="center" wrapText="1"/>
    </xf>
    <xf numFmtId="0" fontId="31" fillId="0" borderId="20" xfId="0" quotePrefix="1" applyFont="1" applyBorder="1" applyAlignment="1">
      <alignment horizontal="center" vertical="center" wrapText="1"/>
    </xf>
    <xf numFmtId="167" fontId="32" fillId="0" borderId="48" xfId="41" applyNumberFormat="1" applyFont="1" applyFill="1" applyBorder="1" applyAlignment="1">
      <alignment horizontal="center" vertical="center"/>
    </xf>
    <xf numFmtId="167" fontId="31" fillId="0" borderId="26" xfId="41" applyNumberFormat="1" applyFont="1" applyFill="1" applyBorder="1" applyAlignment="1">
      <alignment horizontal="center" vertical="center"/>
    </xf>
    <xf numFmtId="167" fontId="31" fillId="0" borderId="48" xfId="41" applyNumberFormat="1" applyFont="1" applyFill="1" applyBorder="1" applyAlignment="1">
      <alignment vertical="center"/>
    </xf>
    <xf numFmtId="167" fontId="32" fillId="27" borderId="54" xfId="41" applyNumberFormat="1" applyFont="1" applyFill="1" applyBorder="1" applyAlignment="1">
      <alignment horizontal="center" vertical="center"/>
    </xf>
    <xf numFmtId="167" fontId="32" fillId="27" borderId="19" xfId="41" applyNumberFormat="1" applyFont="1" applyFill="1" applyBorder="1" applyAlignment="1">
      <alignment horizontal="center" vertical="center"/>
    </xf>
    <xf numFmtId="167" fontId="31" fillId="0" borderId="12" xfId="41" applyNumberFormat="1" applyFont="1" applyFill="1" applyBorder="1" applyAlignment="1">
      <alignment vertical="center" wrapText="1"/>
    </xf>
    <xf numFmtId="5" fontId="28" fillId="0" borderId="41" xfId="92" applyNumberFormat="1" applyFont="1" applyBorder="1" applyAlignment="1">
      <alignment vertical="center" wrapText="1"/>
    </xf>
    <xf numFmtId="5" fontId="28" fillId="0" borderId="18" xfId="92" applyNumberFormat="1" applyFont="1" applyBorder="1" applyAlignment="1">
      <alignment vertical="center" wrapText="1"/>
    </xf>
    <xf numFmtId="5" fontId="28" fillId="0" borderId="19" xfId="92" applyNumberFormat="1" applyFont="1" applyBorder="1" applyAlignment="1">
      <alignment vertical="center" wrapText="1"/>
    </xf>
    <xf numFmtId="0" fontId="27" fillId="0" borderId="41" xfId="92" applyFont="1" applyBorder="1"/>
    <xf numFmtId="5" fontId="27" fillId="0" borderId="14" xfId="63" applyNumberFormat="1" applyFont="1" applyBorder="1" applyAlignment="1">
      <alignment horizontal="right" vertical="center" wrapText="1"/>
    </xf>
    <xf numFmtId="167" fontId="31" fillId="0" borderId="54" xfId="41" applyNumberFormat="1" applyFont="1" applyFill="1" applyBorder="1" applyAlignment="1">
      <alignment vertical="center"/>
    </xf>
    <xf numFmtId="49" fontId="54" fillId="0" borderId="41" xfId="0" quotePrefix="1" applyNumberFormat="1" applyFont="1" applyBorder="1" applyAlignment="1">
      <alignment horizontal="center" vertical="center" wrapText="1"/>
    </xf>
    <xf numFmtId="49" fontId="54" fillId="0" borderId="18" xfId="0" quotePrefix="1" applyNumberFormat="1" applyFont="1" applyBorder="1" applyAlignment="1">
      <alignment horizontal="center" vertical="center" wrapText="1"/>
    </xf>
    <xf numFmtId="167" fontId="32" fillId="27" borderId="18" xfId="0" applyNumberFormat="1" applyFont="1" applyFill="1" applyBorder="1" applyAlignment="1">
      <alignment horizontal="center" vertical="center" wrapText="1"/>
    </xf>
    <xf numFmtId="49" fontId="83" fillId="27" borderId="20" xfId="73" quotePrefix="1" applyNumberFormat="1" applyFont="1" applyFill="1" applyBorder="1" applyAlignment="1">
      <alignment horizontal="center" vertical="center" wrapText="1"/>
    </xf>
    <xf numFmtId="3" fontId="84" fillId="27" borderId="20" xfId="73" applyNumberFormat="1" applyFont="1" applyFill="1" applyBorder="1" applyAlignment="1">
      <alignment horizontal="right" vertical="center" wrapText="1"/>
    </xf>
    <xf numFmtId="49" fontId="83" fillId="27" borderId="17" xfId="73" quotePrefix="1" applyNumberFormat="1" applyFont="1" applyFill="1" applyBorder="1" applyAlignment="1">
      <alignment horizontal="center" vertical="center" wrapText="1"/>
    </xf>
    <xf numFmtId="3" fontId="84" fillId="27" borderId="17" xfId="73" applyNumberFormat="1" applyFont="1" applyFill="1" applyBorder="1" applyAlignment="1">
      <alignment horizontal="right" vertical="center" wrapText="1"/>
    </xf>
    <xf numFmtId="0" fontId="88" fillId="27" borderId="17" xfId="73" applyFont="1" applyFill="1" applyBorder="1" applyAlignment="1">
      <alignment horizontal="center" vertical="center"/>
    </xf>
    <xf numFmtId="0" fontId="88" fillId="27" borderId="17" xfId="73" applyFont="1" applyFill="1" applyBorder="1" applyAlignment="1">
      <alignment horizontal="left" wrapText="1"/>
    </xf>
    <xf numFmtId="3" fontId="84" fillId="27" borderId="21" xfId="73" applyNumberFormat="1" applyFont="1" applyFill="1" applyBorder="1" applyAlignment="1">
      <alignment horizontal="right" vertical="center" wrapText="1"/>
    </xf>
    <xf numFmtId="3" fontId="84" fillId="27" borderId="34" xfId="73" applyNumberFormat="1" applyFont="1" applyFill="1" applyBorder="1" applyAlignment="1">
      <alignment horizontal="right" vertical="center" wrapText="1"/>
    </xf>
    <xf numFmtId="3" fontId="84" fillId="27" borderId="48" xfId="73" applyNumberFormat="1" applyFont="1" applyFill="1" applyBorder="1" applyAlignment="1">
      <alignment horizontal="right" vertical="center" wrapText="1"/>
    </xf>
    <xf numFmtId="3" fontId="84" fillId="27" borderId="12" xfId="73" applyNumberFormat="1" applyFont="1" applyFill="1" applyBorder="1" applyAlignment="1">
      <alignment horizontal="right" vertical="center" wrapText="1"/>
    </xf>
    <xf numFmtId="3" fontId="54" fillId="27" borderId="26" xfId="73" applyNumberFormat="1" applyFont="1" applyFill="1" applyBorder="1" applyAlignment="1">
      <alignment horizontal="right" vertical="center" wrapText="1"/>
    </xf>
    <xf numFmtId="3" fontId="54" fillId="27" borderId="21" xfId="73" applyNumberFormat="1" applyFont="1" applyFill="1" applyBorder="1" applyAlignment="1">
      <alignment horizontal="right" vertical="center" wrapText="1"/>
    </xf>
    <xf numFmtId="3" fontId="54" fillId="27" borderId="48" xfId="73" applyNumberFormat="1" applyFont="1" applyFill="1" applyBorder="1" applyAlignment="1">
      <alignment horizontal="right" vertical="center" wrapText="1"/>
    </xf>
    <xf numFmtId="3" fontId="54" fillId="27" borderId="26" xfId="73" applyNumberFormat="1" applyFont="1" applyFill="1" applyBorder="1" applyAlignment="1">
      <alignment horizontal="right" vertical="center"/>
    </xf>
    <xf numFmtId="3" fontId="54" fillId="27" borderId="21" xfId="73" applyNumberFormat="1" applyFont="1" applyFill="1" applyBorder="1" applyAlignment="1">
      <alignment horizontal="right" vertical="center"/>
    </xf>
    <xf numFmtId="3" fontId="54" fillId="27" borderId="48" xfId="73" applyNumberFormat="1" applyFont="1" applyFill="1" applyBorder="1" applyAlignment="1">
      <alignment horizontal="right" vertical="center"/>
    </xf>
    <xf numFmtId="3" fontId="27" fillId="27" borderId="48" xfId="73" applyNumberFormat="1" applyFont="1" applyFill="1" applyBorder="1" applyAlignment="1">
      <alignment horizontal="right" vertical="center"/>
    </xf>
    <xf numFmtId="0" fontId="54" fillId="0" borderId="48" xfId="73" applyFont="1" applyBorder="1" applyAlignment="1">
      <alignment horizontal="center" vertical="center" wrapText="1"/>
    </xf>
    <xf numFmtId="0" fontId="54" fillId="0" borderId="17" xfId="73" applyFont="1" applyBorder="1" applyAlignment="1">
      <alignment horizontal="center" vertical="center" wrapText="1"/>
    </xf>
    <xf numFmtId="3" fontId="54" fillId="0" borderId="26" xfId="73" applyNumberFormat="1" applyFont="1" applyBorder="1" applyAlignment="1">
      <alignment horizontal="right" vertical="center" wrapText="1"/>
    </xf>
    <xf numFmtId="3" fontId="54" fillId="0" borderId="21" xfId="73" applyNumberFormat="1" applyFont="1" applyBorder="1" applyAlignment="1">
      <alignment horizontal="right" vertical="center" wrapText="1"/>
    </xf>
    <xf numFmtId="3" fontId="54" fillId="0" borderId="48" xfId="73" applyNumberFormat="1" applyFont="1" applyBorder="1" applyAlignment="1">
      <alignment horizontal="right" vertical="center" wrapText="1"/>
    </xf>
    <xf numFmtId="49" fontId="55" fillId="0" borderId="17" xfId="73" applyNumberFormat="1" applyFont="1" applyBorder="1" applyAlignment="1">
      <alignment horizontal="center" vertical="center"/>
    </xf>
    <xf numFmtId="3" fontId="92" fillId="27" borderId="41" xfId="73" applyNumberFormat="1" applyFont="1" applyFill="1" applyBorder="1" applyAlignment="1">
      <alignment horizontal="right" vertical="center"/>
    </xf>
    <xf numFmtId="167" fontId="54" fillId="27" borderId="17" xfId="41" applyNumberFormat="1" applyFont="1" applyFill="1" applyBorder="1" applyAlignment="1">
      <alignment horizontal="center" vertical="top" wrapText="1"/>
    </xf>
    <xf numFmtId="167" fontId="54" fillId="27" borderId="17" xfId="41" applyNumberFormat="1" applyFont="1" applyFill="1" applyBorder="1" applyAlignment="1">
      <alignment wrapText="1"/>
    </xf>
    <xf numFmtId="167" fontId="54" fillId="27" borderId="12" xfId="41" applyNumberFormat="1" applyFont="1" applyFill="1" applyBorder="1" applyAlignment="1">
      <alignment horizontal="center" vertical="top" wrapText="1"/>
    </xf>
    <xf numFmtId="0" fontId="84" fillId="27" borderId="48" xfId="73" applyFont="1" applyFill="1" applyBorder="1" applyAlignment="1">
      <alignment vertical="center" wrapText="1"/>
    </xf>
    <xf numFmtId="175" fontId="54" fillId="27" borderId="17" xfId="41" applyNumberFormat="1" applyFont="1" applyFill="1" applyBorder="1" applyAlignment="1">
      <alignment horizontal="right" vertical="center" wrapText="1"/>
    </xf>
    <xf numFmtId="175" fontId="54" fillId="27" borderId="12" xfId="41" applyNumberFormat="1" applyFont="1" applyFill="1" applyBorder="1" applyAlignment="1">
      <alignment horizontal="right" vertical="center" wrapText="1"/>
    </xf>
    <xf numFmtId="175" fontId="84" fillId="27" borderId="26" xfId="41" applyNumberFormat="1" applyFont="1" applyFill="1" applyBorder="1" applyAlignment="1">
      <alignment horizontal="right" vertical="center" wrapText="1"/>
    </xf>
    <xf numFmtId="175" fontId="84" fillId="27" borderId="21" xfId="41" applyNumberFormat="1" applyFont="1" applyFill="1" applyBorder="1" applyAlignment="1">
      <alignment horizontal="right" vertical="center" wrapText="1"/>
    </xf>
    <xf numFmtId="175" fontId="54" fillId="27" borderId="48" xfId="41" applyNumberFormat="1" applyFont="1" applyFill="1" applyBorder="1" applyAlignment="1">
      <alignment horizontal="right" vertical="center" wrapText="1"/>
    </xf>
    <xf numFmtId="167" fontId="83" fillId="27" borderId="14" xfId="73" quotePrefix="1" applyNumberFormat="1" applyFont="1" applyFill="1" applyBorder="1" applyAlignment="1">
      <alignment horizontal="center" vertical="center" wrapText="1"/>
    </xf>
    <xf numFmtId="167" fontId="54" fillId="27" borderId="17" xfId="41" applyNumberFormat="1" applyFont="1" applyFill="1" applyBorder="1" applyAlignment="1">
      <alignment horizontal="right" vertical="top" wrapText="1"/>
    </xf>
    <xf numFmtId="167" fontId="54" fillId="27" borderId="17" xfId="41" applyNumberFormat="1" applyFont="1" applyFill="1" applyBorder="1" applyAlignment="1">
      <alignment horizontal="right" wrapText="1"/>
    </xf>
    <xf numFmtId="167" fontId="54" fillId="27" borderId="12" xfId="41" applyNumberFormat="1" applyFont="1" applyFill="1" applyBorder="1" applyAlignment="1">
      <alignment horizontal="right" vertical="top" wrapText="1"/>
    </xf>
    <xf numFmtId="175" fontId="54" fillId="27" borderId="26" xfId="41" applyNumberFormat="1" applyFont="1" applyFill="1" applyBorder="1" applyAlignment="1">
      <alignment horizontal="right" vertical="center" wrapText="1"/>
    </xf>
    <xf numFmtId="175" fontId="54" fillId="27" borderId="21" xfId="41" applyNumberFormat="1" applyFont="1" applyFill="1" applyBorder="1" applyAlignment="1">
      <alignment horizontal="right" vertical="center" wrapText="1"/>
    </xf>
    <xf numFmtId="167" fontId="54" fillId="27" borderId="48" xfId="41" applyNumberFormat="1" applyFont="1" applyFill="1" applyBorder="1" applyAlignment="1">
      <alignment horizontal="right" vertical="top" wrapText="1"/>
    </xf>
    <xf numFmtId="3" fontId="84" fillId="0" borderId="14" xfId="73" applyNumberFormat="1" applyFont="1" applyBorder="1" applyAlignment="1">
      <alignment horizontal="center" vertical="center" wrapText="1"/>
    </xf>
    <xf numFmtId="3" fontId="84" fillId="0" borderId="37" xfId="73" applyNumberFormat="1" applyFont="1" applyBorder="1" applyAlignment="1">
      <alignment horizontal="center" vertical="center" wrapText="1"/>
    </xf>
    <xf numFmtId="3" fontId="84" fillId="0" borderId="20" xfId="73" applyNumberFormat="1" applyFont="1" applyBorder="1" applyAlignment="1">
      <alignment horizontal="center" vertical="center" wrapText="1"/>
    </xf>
    <xf numFmtId="3" fontId="84" fillId="0" borderId="34" xfId="73" applyNumberFormat="1" applyFont="1" applyBorder="1" applyAlignment="1">
      <alignment horizontal="center" vertical="center" wrapText="1"/>
    </xf>
    <xf numFmtId="3" fontId="84" fillId="0" borderId="17" xfId="73" applyNumberFormat="1" applyFont="1" applyBorder="1" applyAlignment="1">
      <alignment horizontal="center" vertical="center" wrapText="1"/>
    </xf>
    <xf numFmtId="3" fontId="84" fillId="0" borderId="12" xfId="73" applyNumberFormat="1" applyFont="1" applyBorder="1" applyAlignment="1">
      <alignment horizontal="center" vertical="center" wrapText="1"/>
    </xf>
    <xf numFmtId="3" fontId="84" fillId="0" borderId="26" xfId="73" applyNumberFormat="1" applyFont="1" applyBorder="1" applyAlignment="1">
      <alignment horizontal="center" vertical="center" wrapText="1"/>
    </xf>
    <xf numFmtId="3" fontId="84" fillId="0" borderId="21" xfId="73" applyNumberFormat="1" applyFont="1" applyBorder="1" applyAlignment="1">
      <alignment horizontal="center" vertical="center" wrapText="1"/>
    </xf>
    <xf numFmtId="3" fontId="84" fillId="0" borderId="48" xfId="73" applyNumberFormat="1" applyFont="1" applyBorder="1" applyAlignment="1">
      <alignment horizontal="center" vertical="center" wrapText="1"/>
    </xf>
    <xf numFmtId="0" fontId="31" fillId="0" borderId="18" xfId="0" applyFont="1" applyBorder="1" applyAlignment="1">
      <alignment horizontal="center" vertical="center" textRotation="90" wrapText="1"/>
    </xf>
    <xf numFmtId="3" fontId="31" fillId="0" borderId="20" xfId="41" applyNumberFormat="1" applyFont="1" applyFill="1" applyBorder="1" applyAlignment="1">
      <alignment horizontal="right" vertical="center"/>
    </xf>
    <xf numFmtId="3" fontId="31" fillId="24" borderId="20" xfId="41" applyNumberFormat="1" applyFont="1" applyFill="1" applyBorder="1" applyAlignment="1">
      <alignment horizontal="right" vertical="center"/>
    </xf>
    <xf numFmtId="3" fontId="31" fillId="27" borderId="20" xfId="41" applyNumberFormat="1" applyFont="1" applyFill="1" applyBorder="1" applyAlignment="1">
      <alignment horizontal="right" vertical="center"/>
    </xf>
    <xf numFmtId="3" fontId="31" fillId="0" borderId="13" xfId="41" applyNumberFormat="1" applyFont="1" applyFill="1" applyBorder="1" applyAlignment="1">
      <alignment horizontal="right" vertical="center"/>
    </xf>
    <xf numFmtId="3" fontId="31" fillId="0" borderId="17" xfId="41" applyNumberFormat="1" applyFont="1" applyFill="1" applyBorder="1" applyAlignment="1">
      <alignment horizontal="right" vertical="center"/>
    </xf>
    <xf numFmtId="3" fontId="31" fillId="0" borderId="34" xfId="41" applyNumberFormat="1" applyFont="1" applyFill="1" applyBorder="1" applyAlignment="1">
      <alignment horizontal="right" vertical="center"/>
    </xf>
    <xf numFmtId="3" fontId="31" fillId="0" borderId="12" xfId="41" applyNumberFormat="1" applyFont="1" applyFill="1" applyBorder="1" applyAlignment="1">
      <alignment horizontal="right" vertical="center"/>
    </xf>
    <xf numFmtId="3" fontId="31" fillId="24" borderId="17" xfId="41" applyNumberFormat="1" applyFont="1" applyFill="1" applyBorder="1" applyAlignment="1">
      <alignment horizontal="right" vertical="center"/>
    </xf>
    <xf numFmtId="3" fontId="31" fillId="27" borderId="17" xfId="41" applyNumberFormat="1" applyFont="1" applyFill="1" applyBorder="1" applyAlignment="1">
      <alignment horizontal="right" vertical="center"/>
    </xf>
    <xf numFmtId="0" fontId="88" fillId="27" borderId="48" xfId="73" applyFont="1" applyFill="1" applyBorder="1" applyAlignment="1">
      <alignment horizontal="center" vertical="center"/>
    </xf>
    <xf numFmtId="0" fontId="54" fillId="27" borderId="42" xfId="73" applyFont="1" applyFill="1" applyBorder="1" applyAlignment="1">
      <alignment vertical="center" wrapText="1"/>
    </xf>
    <xf numFmtId="49" fontId="55" fillId="27" borderId="42" xfId="73" quotePrefix="1" applyNumberFormat="1" applyFont="1" applyFill="1" applyBorder="1" applyAlignment="1">
      <alignment horizontal="center" vertical="center" wrapText="1"/>
    </xf>
    <xf numFmtId="49" fontId="55" fillId="27" borderId="42" xfId="73" quotePrefix="1" applyNumberFormat="1" applyFont="1" applyFill="1" applyBorder="1" applyAlignment="1">
      <alignment horizontal="center" vertical="center"/>
    </xf>
    <xf numFmtId="3" fontId="54" fillId="27" borderId="42" xfId="73" applyNumberFormat="1" applyFont="1" applyFill="1" applyBorder="1" applyAlignment="1">
      <alignment horizontal="right" vertical="center"/>
    </xf>
    <xf numFmtId="3" fontId="54" fillId="27" borderId="32" xfId="73" applyNumberFormat="1" applyFont="1" applyFill="1" applyBorder="1" applyAlignment="1">
      <alignment horizontal="right" vertical="center"/>
    </xf>
    <xf numFmtId="3" fontId="54" fillId="27" borderId="22" xfId="73" applyNumberFormat="1" applyFont="1" applyFill="1" applyBorder="1" applyAlignment="1">
      <alignment horizontal="right" vertical="center"/>
    </xf>
    <xf numFmtId="0" fontId="55" fillId="27" borderId="42" xfId="73" quotePrefix="1" applyFont="1" applyFill="1" applyBorder="1" applyAlignment="1">
      <alignment horizontal="center" vertical="center" wrapText="1"/>
    </xf>
    <xf numFmtId="3" fontId="54" fillId="27" borderId="42" xfId="73" applyNumberFormat="1" applyFont="1" applyFill="1" applyBorder="1" applyAlignment="1">
      <alignment horizontal="right" vertical="center" wrapText="1"/>
    </xf>
    <xf numFmtId="3" fontId="54" fillId="27" borderId="32" xfId="73" applyNumberFormat="1" applyFont="1" applyFill="1" applyBorder="1" applyAlignment="1">
      <alignment horizontal="right" vertical="center" wrapText="1"/>
    </xf>
    <xf numFmtId="3" fontId="54" fillId="27" borderId="22" xfId="73" applyNumberFormat="1" applyFont="1" applyFill="1" applyBorder="1" applyAlignment="1">
      <alignment horizontal="right" vertical="center" wrapText="1"/>
    </xf>
    <xf numFmtId="0" fontId="83" fillId="27" borderId="42" xfId="73" applyFont="1" applyFill="1" applyBorder="1" applyAlignment="1">
      <alignment horizontal="center" vertical="center" wrapText="1"/>
    </xf>
    <xf numFmtId="49" fontId="83" fillId="27" borderId="42" xfId="73" quotePrefix="1" applyNumberFormat="1" applyFont="1" applyFill="1" applyBorder="1" applyAlignment="1">
      <alignment horizontal="center" vertical="center" wrapText="1"/>
    </xf>
    <xf numFmtId="3" fontId="31" fillId="24" borderId="42" xfId="41" applyNumberFormat="1" applyFont="1" applyFill="1" applyBorder="1" applyAlignment="1">
      <alignment horizontal="right" vertical="center"/>
    </xf>
    <xf numFmtId="3" fontId="31" fillId="27" borderId="42" xfId="41" applyNumberFormat="1" applyFont="1" applyFill="1" applyBorder="1" applyAlignment="1">
      <alignment horizontal="right" vertical="center"/>
    </xf>
    <xf numFmtId="167" fontId="83" fillId="27" borderId="42" xfId="73" quotePrefix="1" applyNumberFormat="1" applyFont="1" applyFill="1" applyBorder="1" applyAlignment="1">
      <alignment horizontal="center" vertical="center" wrapText="1"/>
    </xf>
    <xf numFmtId="175" fontId="54" fillId="27" borderId="42" xfId="41" applyNumberFormat="1" applyFont="1" applyFill="1" applyBorder="1" applyAlignment="1">
      <alignment horizontal="right" vertical="center" wrapText="1"/>
    </xf>
    <xf numFmtId="175" fontId="54" fillId="27" borderId="32" xfId="41" applyNumberFormat="1" applyFont="1" applyFill="1" applyBorder="1" applyAlignment="1">
      <alignment horizontal="right" vertical="center" wrapText="1"/>
    </xf>
    <xf numFmtId="49" fontId="55" fillId="0" borderId="42" xfId="73" quotePrefix="1" applyNumberFormat="1" applyFont="1" applyBorder="1" applyAlignment="1">
      <alignment horizontal="center" vertical="center" wrapText="1"/>
    </xf>
    <xf numFmtId="49" fontId="55" fillId="0" borderId="42" xfId="73" quotePrefix="1" applyNumberFormat="1" applyFont="1" applyBorder="1" applyAlignment="1">
      <alignment horizontal="center" vertical="center"/>
    </xf>
    <xf numFmtId="3" fontId="54" fillId="0" borderId="42" xfId="73" applyNumberFormat="1" applyFont="1" applyBorder="1" applyAlignment="1">
      <alignment horizontal="right" vertical="center" wrapText="1"/>
    </xf>
    <xf numFmtId="3" fontId="54" fillId="0" borderId="32" xfId="73" applyNumberFormat="1" applyFont="1" applyBorder="1" applyAlignment="1">
      <alignment horizontal="right" vertical="center" wrapText="1"/>
    </xf>
    <xf numFmtId="3" fontId="54" fillId="0" borderId="22" xfId="73" applyNumberFormat="1" applyFont="1" applyBorder="1" applyAlignment="1">
      <alignment horizontal="right" vertical="center" wrapText="1"/>
    </xf>
    <xf numFmtId="175" fontId="84" fillId="27" borderId="42" xfId="41" applyNumberFormat="1" applyFont="1" applyFill="1" applyBorder="1" applyAlignment="1">
      <alignment horizontal="right" vertical="center" wrapText="1"/>
    </xf>
    <xf numFmtId="175" fontId="84" fillId="27" borderId="22" xfId="41" applyNumberFormat="1" applyFont="1" applyFill="1" applyBorder="1" applyAlignment="1">
      <alignment horizontal="right" vertical="center" wrapText="1"/>
    </xf>
    <xf numFmtId="0" fontId="0" fillId="0" borderId="27" xfId="0" applyBorder="1"/>
    <xf numFmtId="0" fontId="0" fillId="0" borderId="25" xfId="0" applyBorder="1"/>
    <xf numFmtId="0" fontId="5" fillId="0" borderId="41" xfId="63" applyFont="1" applyBorder="1" applyAlignment="1">
      <alignment horizontal="center" vertical="center" wrapText="1"/>
    </xf>
    <xf numFmtId="0" fontId="5" fillId="0" borderId="18" xfId="63" applyFont="1" applyBorder="1" applyAlignment="1">
      <alignment horizontal="center" vertical="center" wrapText="1"/>
    </xf>
    <xf numFmtId="0" fontId="5" fillId="0" borderId="19" xfId="63" applyFont="1" applyBorder="1" applyAlignment="1">
      <alignment horizontal="center" vertical="center" wrapText="1"/>
    </xf>
    <xf numFmtId="0" fontId="43" fillId="24" borderId="48" xfId="63" applyFont="1" applyFill="1" applyBorder="1" applyAlignment="1">
      <alignment horizontal="center" wrapText="1"/>
    </xf>
    <xf numFmtId="0" fontId="43" fillId="24" borderId="17" xfId="63" applyFont="1" applyFill="1" applyBorder="1" applyAlignment="1">
      <alignment horizontal="left" vertical="center"/>
    </xf>
    <xf numFmtId="0" fontId="43" fillId="24" borderId="17" xfId="63" applyFont="1" applyFill="1" applyBorder="1" applyAlignment="1">
      <alignment horizontal="center" vertical="center" wrapText="1"/>
    </xf>
    <xf numFmtId="169" fontId="28" fillId="0" borderId="24" xfId="81" applyNumberFormat="1" applyFont="1" applyBorder="1" applyAlignment="1"/>
    <xf numFmtId="3" fontId="54" fillId="27" borderId="81" xfId="73" applyNumberFormat="1" applyFont="1" applyFill="1" applyBorder="1" applyAlignment="1">
      <alignment horizontal="right" vertical="center"/>
    </xf>
    <xf numFmtId="5" fontId="27" fillId="0" borderId="14" xfId="92" applyNumberFormat="1" applyFont="1" applyBorder="1" applyAlignment="1">
      <alignment horizontal="left" vertical="center" wrapText="1"/>
    </xf>
    <xf numFmtId="0" fontId="88" fillId="0" borderId="14" xfId="92" applyFont="1" applyBorder="1" applyAlignment="1">
      <alignment horizontal="center" vertical="center" wrapText="1"/>
    </xf>
    <xf numFmtId="5" fontId="27" fillId="0" borderId="37" xfId="92" applyNumberFormat="1" applyFont="1" applyBorder="1" applyAlignment="1">
      <alignment horizontal="right" vertical="center" wrapText="1"/>
    </xf>
    <xf numFmtId="0" fontId="88" fillId="0" borderId="17" xfId="92" applyFont="1" applyBorder="1" applyAlignment="1">
      <alignment horizontal="center" vertical="center" wrapText="1"/>
    </xf>
    <xf numFmtId="5" fontId="28" fillId="0" borderId="12" xfId="92" applyNumberFormat="1" applyFont="1" applyBorder="1" applyAlignment="1">
      <alignment horizontal="right" vertical="center" wrapText="1"/>
    </xf>
    <xf numFmtId="0" fontId="28" fillId="0" borderId="17" xfId="92" applyFont="1" applyBorder="1"/>
    <xf numFmtId="49" fontId="27" fillId="0" borderId="48" xfId="92" applyNumberFormat="1" applyFont="1" applyBorder="1" applyAlignment="1">
      <alignment horizontal="left" vertical="center" wrapText="1"/>
    </xf>
    <xf numFmtId="0" fontId="28" fillId="0" borderId="17" xfId="92" applyFont="1" applyBorder="1" applyAlignment="1">
      <alignment horizontal="center" wrapText="1"/>
    </xf>
    <xf numFmtId="0" fontId="31" fillId="24" borderId="17" xfId="0" applyFont="1" applyFill="1" applyBorder="1"/>
    <xf numFmtId="3" fontId="31" fillId="0" borderId="22" xfId="41" applyNumberFormat="1" applyFont="1" applyFill="1" applyBorder="1" applyAlignment="1">
      <alignment horizontal="center" vertical="center"/>
    </xf>
    <xf numFmtId="3" fontId="31" fillId="0" borderId="42" xfId="41" applyNumberFormat="1" applyFont="1" applyFill="1" applyBorder="1" applyAlignment="1">
      <alignment horizontal="center" vertical="center"/>
    </xf>
    <xf numFmtId="0" fontId="84" fillId="0" borderId="17" xfId="0" applyFont="1" applyBorder="1" applyAlignment="1">
      <alignment horizontal="left" vertical="center" wrapText="1"/>
    </xf>
    <xf numFmtId="49" fontId="100" fillId="0" borderId="10" xfId="0" applyNumberFormat="1" applyFont="1" applyBorder="1" applyAlignment="1">
      <alignment horizontal="center" vertical="center" wrapText="1"/>
    </xf>
    <xf numFmtId="0" fontId="84" fillId="27" borderId="45" xfId="73" applyFont="1" applyFill="1" applyBorder="1" applyAlignment="1">
      <alignment horizontal="center" vertical="center" wrapText="1"/>
    </xf>
    <xf numFmtId="0" fontId="84" fillId="27" borderId="46" xfId="73" applyFont="1" applyFill="1" applyBorder="1" applyAlignment="1">
      <alignment horizontal="center" vertical="center" wrapText="1"/>
    </xf>
    <xf numFmtId="0" fontId="84" fillId="27" borderId="46" xfId="73" applyFont="1" applyFill="1" applyBorder="1" applyAlignment="1">
      <alignment horizontal="left" vertical="center" wrapText="1"/>
    </xf>
    <xf numFmtId="167" fontId="31" fillId="0" borderId="43" xfId="41" applyNumberFormat="1" applyFont="1" applyFill="1" applyBorder="1" applyAlignment="1">
      <alignment vertical="center"/>
    </xf>
    <xf numFmtId="0" fontId="84" fillId="27" borderId="26" xfId="73" applyFont="1" applyFill="1" applyBorder="1" applyAlignment="1">
      <alignment horizontal="center" vertical="center" wrapText="1"/>
    </xf>
    <xf numFmtId="0" fontId="84" fillId="27" borderId="48" xfId="73" applyFont="1" applyFill="1" applyBorder="1" applyAlignment="1">
      <alignment horizontal="center" vertical="center" wrapText="1"/>
    </xf>
    <xf numFmtId="0" fontId="84" fillId="27" borderId="14" xfId="73" applyFont="1" applyFill="1" applyBorder="1" applyAlignment="1">
      <alignment horizontal="center" vertical="center" wrapText="1"/>
    </xf>
    <xf numFmtId="0" fontId="84" fillId="27" borderId="17" xfId="73" applyFont="1" applyFill="1" applyBorder="1" applyAlignment="1">
      <alignment horizontal="center" vertical="center" wrapText="1"/>
    </xf>
    <xf numFmtId="0" fontId="84" fillId="27" borderId="20" xfId="73" applyFont="1" applyFill="1" applyBorder="1" applyAlignment="1">
      <alignment horizontal="center" vertical="center" wrapText="1"/>
    </xf>
    <xf numFmtId="0" fontId="84" fillId="27" borderId="21" xfId="73" applyFont="1" applyFill="1" applyBorder="1" applyAlignment="1">
      <alignment horizontal="center" vertical="center" wrapText="1"/>
    </xf>
    <xf numFmtId="0" fontId="84" fillId="27" borderId="20" xfId="73" applyFont="1" applyFill="1" applyBorder="1" applyAlignment="1">
      <alignment horizontal="left" vertical="center" wrapText="1"/>
    </xf>
    <xf numFmtId="0" fontId="54" fillId="27" borderId="20" xfId="73" applyFont="1" applyFill="1" applyBorder="1" applyAlignment="1">
      <alignment horizontal="left" vertical="center" wrapText="1"/>
    </xf>
    <xf numFmtId="0" fontId="54" fillId="27" borderId="42" xfId="73" applyFont="1" applyFill="1" applyBorder="1" applyAlignment="1">
      <alignment horizontal="left" vertical="center" wrapText="1"/>
    </xf>
    <xf numFmtId="0" fontId="54" fillId="27" borderId="42" xfId="73" applyFont="1" applyFill="1" applyBorder="1" applyAlignment="1">
      <alignment horizontal="center" vertical="center" wrapText="1"/>
    </xf>
    <xf numFmtId="0" fontId="54" fillId="27" borderId="22" xfId="73" applyFont="1" applyFill="1" applyBorder="1" applyAlignment="1">
      <alignment horizontal="center" vertical="center" wrapText="1"/>
    </xf>
    <xf numFmtId="0" fontId="54" fillId="27" borderId="48" xfId="73" applyFont="1" applyFill="1" applyBorder="1" applyAlignment="1">
      <alignment horizontal="center" vertical="center" wrapText="1"/>
    </xf>
    <xf numFmtId="0" fontId="54" fillId="27" borderId="17" xfId="73" applyFont="1" applyFill="1" applyBorder="1" applyAlignment="1">
      <alignment horizontal="center" vertical="center" wrapText="1"/>
    </xf>
    <xf numFmtId="0" fontId="54" fillId="27" borderId="20" xfId="73" applyFont="1" applyFill="1" applyBorder="1" applyAlignment="1">
      <alignment horizontal="center" vertical="center" wrapText="1"/>
    </xf>
    <xf numFmtId="0" fontId="54" fillId="27" borderId="21" xfId="73" applyFont="1" applyFill="1" applyBorder="1" applyAlignment="1">
      <alignment horizontal="center" vertical="center" wrapText="1"/>
    </xf>
    <xf numFmtId="0" fontId="44" fillId="27" borderId="58" xfId="73" applyFont="1" applyFill="1" applyBorder="1" applyAlignment="1">
      <alignment horizontal="center"/>
    </xf>
    <xf numFmtId="0" fontId="44" fillId="27" borderId="145" xfId="73" applyFont="1" applyFill="1" applyBorder="1" applyAlignment="1">
      <alignment horizontal="center"/>
    </xf>
    <xf numFmtId="0" fontId="54" fillId="0" borderId="20" xfId="73" applyFont="1" applyBorder="1" applyAlignment="1">
      <alignment horizontal="left" vertical="center" wrapText="1"/>
    </xf>
    <xf numFmtId="0" fontId="54" fillId="0" borderId="20" xfId="73" applyFont="1" applyBorder="1" applyAlignment="1">
      <alignment horizontal="center" vertical="center" wrapText="1"/>
    </xf>
    <xf numFmtId="0" fontId="54" fillId="0" borderId="21" xfId="73" applyFont="1" applyBorder="1" applyAlignment="1">
      <alignment horizontal="center" vertical="center" wrapText="1"/>
    </xf>
    <xf numFmtId="0" fontId="84" fillId="27" borderId="42" xfId="73" applyFont="1" applyFill="1" applyBorder="1" applyAlignment="1">
      <alignment horizontal="left" vertical="center" wrapText="1"/>
    </xf>
    <xf numFmtId="0" fontId="84" fillId="27" borderId="42" xfId="73" applyFont="1" applyFill="1" applyBorder="1" applyAlignment="1">
      <alignment horizontal="center" vertical="center" wrapText="1"/>
    </xf>
    <xf numFmtId="0" fontId="84" fillId="27" borderId="22" xfId="73" applyFont="1" applyFill="1" applyBorder="1" applyAlignment="1">
      <alignment horizontal="center" vertical="center" wrapText="1"/>
    </xf>
    <xf numFmtId="0" fontId="31" fillId="0" borderId="54" xfId="0" applyFont="1" applyBorder="1" applyAlignment="1">
      <alignment horizontal="center" vertical="center"/>
    </xf>
    <xf numFmtId="167" fontId="31" fillId="0" borderId="86" xfId="41" applyNumberFormat="1" applyFont="1" applyFill="1" applyBorder="1" applyAlignment="1">
      <alignment horizontal="center" vertical="center"/>
    </xf>
    <xf numFmtId="167" fontId="31" fillId="0" borderId="64" xfId="41" applyNumberFormat="1" applyFont="1" applyFill="1" applyBorder="1" applyAlignment="1">
      <alignment horizontal="center" vertical="center"/>
    </xf>
    <xf numFmtId="167" fontId="31" fillId="0" borderId="81" xfId="41" applyNumberFormat="1" applyFont="1" applyFill="1" applyBorder="1" applyAlignment="1">
      <alignment horizontal="center" vertical="center"/>
    </xf>
    <xf numFmtId="167" fontId="31" fillId="0" borderId="53" xfId="41" applyNumberFormat="1" applyFont="1" applyFill="1" applyBorder="1" applyAlignment="1">
      <alignment horizontal="center" vertical="center"/>
    </xf>
    <xf numFmtId="0" fontId="31" fillId="0" borderId="64" xfId="0" applyFont="1" applyBorder="1" applyAlignment="1">
      <alignment horizontal="left" vertical="center" wrapText="1"/>
    </xf>
    <xf numFmtId="0" fontId="31" fillId="0" borderId="34" xfId="0" applyFont="1" applyBorder="1" applyAlignment="1">
      <alignment horizontal="left" vertical="center" wrapText="1"/>
    </xf>
    <xf numFmtId="3" fontId="54" fillId="27" borderId="86" xfId="73" applyNumberFormat="1" applyFont="1" applyFill="1" applyBorder="1" applyAlignment="1">
      <alignment horizontal="right" vertical="center" wrapText="1"/>
    </xf>
    <xf numFmtId="3" fontId="54" fillId="27" borderId="64" xfId="73" applyNumberFormat="1" applyFont="1" applyFill="1" applyBorder="1" applyAlignment="1">
      <alignment horizontal="right" vertical="center" wrapText="1"/>
    </xf>
    <xf numFmtId="0" fontId="54" fillId="0" borderId="20" xfId="73" applyFont="1" applyBorder="1" applyAlignment="1">
      <alignment vertical="center" wrapText="1"/>
    </xf>
    <xf numFmtId="3" fontId="54" fillId="0" borderId="86" xfId="73" applyNumberFormat="1" applyFont="1" applyBorder="1" applyAlignment="1">
      <alignment horizontal="right" vertical="center" wrapText="1"/>
    </xf>
    <xf numFmtId="3" fontId="54" fillId="0" borderId="64" xfId="73" applyNumberFormat="1" applyFont="1" applyBorder="1" applyAlignment="1">
      <alignment horizontal="right" vertical="center" wrapText="1"/>
    </xf>
    <xf numFmtId="3" fontId="92" fillId="27" borderId="54" xfId="73" applyNumberFormat="1" applyFont="1" applyFill="1" applyBorder="1" applyAlignment="1">
      <alignment horizontal="right" vertical="center"/>
    </xf>
    <xf numFmtId="3" fontId="84" fillId="0" borderId="86" xfId="73" applyNumberFormat="1" applyFont="1" applyBorder="1" applyAlignment="1">
      <alignment horizontal="center" vertical="center" wrapText="1"/>
    </xf>
    <xf numFmtId="3" fontId="84" fillId="0" borderId="64" xfId="73" applyNumberFormat="1" applyFont="1" applyBorder="1" applyAlignment="1">
      <alignment horizontal="center" vertical="center" wrapText="1"/>
    </xf>
    <xf numFmtId="3" fontId="84" fillId="0" borderId="122" xfId="73" applyNumberFormat="1" applyFont="1" applyBorder="1" applyAlignment="1">
      <alignment horizontal="center" vertical="center" wrapText="1"/>
    </xf>
    <xf numFmtId="167" fontId="32" fillId="0" borderId="42" xfId="41" applyNumberFormat="1" applyFont="1" applyFill="1" applyBorder="1" applyAlignment="1">
      <alignment horizontal="center" vertical="center"/>
    </xf>
    <xf numFmtId="167" fontId="31" fillId="0" borderId="22" xfId="41" applyNumberFormat="1" applyFont="1" applyFill="1" applyBorder="1" applyAlignment="1">
      <alignment horizontal="center" vertical="center"/>
    </xf>
    <xf numFmtId="167" fontId="32" fillId="0" borderId="13" xfId="41" applyNumberFormat="1" applyFont="1" applyFill="1" applyBorder="1" applyAlignment="1">
      <alignment vertical="center"/>
    </xf>
    <xf numFmtId="167" fontId="31" fillId="0" borderId="13" xfId="41" applyNumberFormat="1" applyFont="1" applyFill="1" applyBorder="1" applyAlignment="1">
      <alignment vertical="center"/>
    </xf>
    <xf numFmtId="167" fontId="31" fillId="0" borderId="33" xfId="41" applyNumberFormat="1" applyFont="1" applyFill="1" applyBorder="1" applyAlignment="1">
      <alignment vertical="center"/>
    </xf>
    <xf numFmtId="49" fontId="31" fillId="27" borderId="22" xfId="0" applyNumberFormat="1" applyFont="1" applyFill="1" applyBorder="1" applyAlignment="1">
      <alignment horizontal="center" vertical="center"/>
    </xf>
    <xf numFmtId="49" fontId="31" fillId="27" borderId="42" xfId="0" quotePrefix="1" applyNumberFormat="1" applyFont="1" applyFill="1" applyBorder="1" applyAlignment="1">
      <alignment horizontal="center" vertical="center"/>
    </xf>
    <xf numFmtId="0" fontId="31" fillId="0" borderId="13" xfId="0" applyFont="1" applyBorder="1" applyAlignment="1">
      <alignment vertical="center"/>
    </xf>
    <xf numFmtId="0" fontId="32" fillId="0" borderId="18" xfId="0" applyFont="1" applyBorder="1" applyAlignment="1">
      <alignment vertical="center"/>
    </xf>
    <xf numFmtId="49" fontId="31" fillId="0" borderId="18" xfId="0" applyNumberFormat="1" applyFont="1" applyBorder="1" applyAlignment="1">
      <alignment horizontal="center" vertical="center" wrapText="1"/>
    </xf>
    <xf numFmtId="0" fontId="84" fillId="0" borderId="20" xfId="0" applyFont="1" applyBorder="1" applyAlignment="1">
      <alignment horizontal="left" vertical="center" wrapText="1"/>
    </xf>
    <xf numFmtId="0" fontId="31" fillId="0" borderId="17" xfId="0" quotePrefix="1" applyFont="1" applyBorder="1" applyAlignment="1">
      <alignment horizontal="center" vertical="center" wrapText="1"/>
    </xf>
    <xf numFmtId="0" fontId="54" fillId="27" borderId="13" xfId="73" applyFont="1" applyFill="1" applyBorder="1" applyAlignment="1">
      <alignment vertical="center" wrapText="1"/>
    </xf>
    <xf numFmtId="49" fontId="55" fillId="27" borderId="13" xfId="73" quotePrefix="1" applyNumberFormat="1" applyFont="1" applyFill="1" applyBorder="1" applyAlignment="1">
      <alignment horizontal="center" vertical="center" wrapText="1"/>
    </xf>
    <xf numFmtId="49" fontId="55" fillId="27" borderId="13" xfId="73" quotePrefix="1" applyNumberFormat="1" applyFont="1" applyFill="1" applyBorder="1" applyAlignment="1">
      <alignment horizontal="center" vertical="center"/>
    </xf>
    <xf numFmtId="0" fontId="55" fillId="27" borderId="13" xfId="73" quotePrefix="1" applyFont="1" applyFill="1" applyBorder="1" applyAlignment="1">
      <alignment horizontal="center" vertical="center" wrapText="1"/>
    </xf>
    <xf numFmtId="3" fontId="54" fillId="27" borderId="13" xfId="73" applyNumberFormat="1" applyFont="1" applyFill="1" applyBorder="1" applyAlignment="1">
      <alignment horizontal="right" vertical="center"/>
    </xf>
    <xf numFmtId="3" fontId="54" fillId="27" borderId="33" xfId="73" applyNumberFormat="1" applyFont="1" applyFill="1" applyBorder="1" applyAlignment="1">
      <alignment horizontal="right" vertical="center"/>
    </xf>
    <xf numFmtId="3" fontId="54" fillId="27" borderId="53" xfId="73" applyNumberFormat="1" applyFont="1" applyFill="1" applyBorder="1" applyAlignment="1">
      <alignment horizontal="right" vertical="center"/>
    </xf>
    <xf numFmtId="0" fontId="88" fillId="27" borderId="42" xfId="73" applyFont="1" applyFill="1" applyBorder="1" applyAlignment="1">
      <alignment horizontal="left" vertical="center" wrapText="1"/>
    </xf>
    <xf numFmtId="0" fontId="88" fillId="27" borderId="13" xfId="73" applyFont="1" applyFill="1" applyBorder="1" applyAlignment="1">
      <alignment horizontal="left" vertical="center" wrapText="1"/>
    </xf>
    <xf numFmtId="0" fontId="88" fillId="27" borderId="42" xfId="73" applyFont="1" applyFill="1" applyBorder="1" applyAlignment="1">
      <alignment horizontal="center" vertical="center" wrapText="1"/>
    </xf>
    <xf numFmtId="0" fontId="88" fillId="27" borderId="13" xfId="73" applyFont="1" applyFill="1" applyBorder="1" applyAlignment="1">
      <alignment horizontal="center" vertical="center" wrapText="1"/>
    </xf>
    <xf numFmtId="0" fontId="88" fillId="27" borderId="22" xfId="73" applyFont="1" applyFill="1" applyBorder="1" applyAlignment="1">
      <alignment horizontal="center" vertical="center"/>
    </xf>
    <xf numFmtId="0" fontId="88" fillId="27" borderId="43" xfId="73" applyFont="1" applyFill="1" applyBorder="1" applyAlignment="1">
      <alignment horizontal="center" vertical="center"/>
    </xf>
    <xf numFmtId="0" fontId="88" fillId="27" borderId="20" xfId="73" applyFont="1" applyFill="1" applyBorder="1" applyAlignment="1">
      <alignment horizontal="left" vertical="center" wrapText="1"/>
    </xf>
    <xf numFmtId="0" fontId="88" fillId="27" borderId="13" xfId="73" applyFont="1" applyFill="1" applyBorder="1" applyAlignment="1">
      <alignment horizontal="center" vertical="center"/>
    </xf>
    <xf numFmtId="0" fontId="88" fillId="27" borderId="14" xfId="73" applyFont="1" applyFill="1" applyBorder="1" applyAlignment="1">
      <alignment horizontal="left" vertical="center" wrapText="1"/>
    </xf>
    <xf numFmtId="0" fontId="88" fillId="27" borderId="14" xfId="73" applyFont="1" applyFill="1" applyBorder="1" applyAlignment="1">
      <alignment horizontal="center" vertical="center"/>
    </xf>
    <xf numFmtId="0" fontId="88" fillId="27" borderId="20" xfId="73" applyFont="1" applyFill="1" applyBorder="1" applyAlignment="1">
      <alignment horizontal="center" vertical="center"/>
    </xf>
    <xf numFmtId="0" fontId="88" fillId="27" borderId="26" xfId="73" applyFont="1" applyFill="1" applyBorder="1" applyAlignment="1">
      <alignment horizontal="center" vertical="center"/>
    </xf>
    <xf numFmtId="0" fontId="88" fillId="27" borderId="21" xfId="73" applyFont="1" applyFill="1" applyBorder="1" applyAlignment="1">
      <alignment horizontal="center" vertical="center"/>
    </xf>
    <xf numFmtId="0" fontId="88" fillId="27" borderId="20" xfId="73" applyFont="1" applyFill="1" applyBorder="1" applyAlignment="1">
      <alignment horizontal="center" vertical="center" wrapText="1"/>
    </xf>
    <xf numFmtId="0" fontId="31" fillId="0" borderId="20" xfId="0" applyFont="1" applyBorder="1" applyAlignment="1">
      <alignment horizontal="left" vertical="center" wrapText="1"/>
    </xf>
    <xf numFmtId="0" fontId="54" fillId="27" borderId="13" xfId="73" applyFont="1" applyFill="1" applyBorder="1" applyAlignment="1">
      <alignment horizontal="left" vertical="center" wrapText="1"/>
    </xf>
    <xf numFmtId="0" fontId="54" fillId="27" borderId="13" xfId="73" applyFont="1" applyFill="1" applyBorder="1" applyAlignment="1">
      <alignment horizontal="center" vertical="center" wrapText="1"/>
    </xf>
    <xf numFmtId="0" fontId="54" fillId="27" borderId="43" xfId="73" applyFont="1" applyFill="1" applyBorder="1" applyAlignment="1">
      <alignment horizontal="center" vertical="center" wrapText="1"/>
    </xf>
    <xf numFmtId="0" fontId="54" fillId="27" borderId="14" xfId="73" applyFont="1" applyFill="1" applyBorder="1" applyAlignment="1">
      <alignment horizontal="center" vertical="center" wrapText="1"/>
    </xf>
    <xf numFmtId="0" fontId="54" fillId="27" borderId="26" xfId="73" applyFont="1" applyFill="1" applyBorder="1" applyAlignment="1">
      <alignment horizontal="center" vertical="center" wrapText="1"/>
    </xf>
    <xf numFmtId="0" fontId="44" fillId="27" borderId="37" xfId="73" applyFont="1" applyFill="1" applyBorder="1" applyAlignment="1">
      <alignment horizontal="center"/>
    </xf>
    <xf numFmtId="49" fontId="54" fillId="27" borderId="13" xfId="73" applyNumberFormat="1" applyFont="1" applyFill="1" applyBorder="1" applyAlignment="1">
      <alignment horizontal="center" vertical="center" wrapText="1"/>
    </xf>
    <xf numFmtId="167" fontId="27" fillId="27" borderId="0" xfId="50" applyNumberFormat="1" applyFont="1" applyFill="1" applyBorder="1" applyAlignment="1">
      <alignment horizontal="center" vertical="center" wrapText="1"/>
    </xf>
    <xf numFmtId="0" fontId="54" fillId="0" borderId="13" xfId="73" applyFont="1" applyBorder="1" applyAlignment="1">
      <alignment horizontal="left" vertical="center" wrapText="1"/>
    </xf>
    <xf numFmtId="0" fontId="54" fillId="0" borderId="13" xfId="73" applyFont="1" applyBorder="1" applyAlignment="1">
      <alignment horizontal="center" vertical="center" wrapText="1"/>
    </xf>
    <xf numFmtId="0" fontId="54" fillId="0" borderId="43" xfId="73" applyFont="1" applyBorder="1" applyAlignment="1">
      <alignment horizontal="center" vertical="center" wrapText="1"/>
    </xf>
    <xf numFmtId="0" fontId="84" fillId="27" borderId="13" xfId="73" applyFont="1" applyFill="1" applyBorder="1" applyAlignment="1">
      <alignment horizontal="left" vertical="center" wrapText="1"/>
    </xf>
    <xf numFmtId="0" fontId="84" fillId="27" borderId="13" xfId="73" applyFont="1" applyFill="1" applyBorder="1" applyAlignment="1">
      <alignment horizontal="center" vertical="center" wrapText="1"/>
    </xf>
    <xf numFmtId="0" fontId="84" fillId="27" borderId="43" xfId="73" applyFont="1" applyFill="1" applyBorder="1" applyAlignment="1">
      <alignment horizontal="center" vertical="center" wrapText="1"/>
    </xf>
    <xf numFmtId="0" fontId="84" fillId="27" borderId="17" xfId="73" applyFont="1" applyFill="1" applyBorder="1" applyAlignment="1">
      <alignment horizontal="left" vertical="center" wrapText="1"/>
    </xf>
    <xf numFmtId="167" fontId="31" fillId="27" borderId="34" xfId="41" applyNumberFormat="1" applyFont="1" applyFill="1" applyBorder="1" applyAlignment="1">
      <alignment vertical="center" wrapText="1"/>
    </xf>
    <xf numFmtId="0" fontId="31" fillId="27" borderId="17" xfId="0" applyFont="1" applyFill="1" applyBorder="1" applyAlignment="1">
      <alignment horizontal="left" vertical="center" wrapText="1"/>
    </xf>
    <xf numFmtId="167" fontId="31" fillId="27" borderId="17" xfId="41" applyNumberFormat="1" applyFont="1" applyFill="1" applyBorder="1" applyAlignment="1">
      <alignment horizontal="center" vertical="center" wrapText="1"/>
    </xf>
    <xf numFmtId="167" fontId="31" fillId="27" borderId="12" xfId="41" applyNumberFormat="1" applyFont="1" applyFill="1" applyBorder="1" applyAlignment="1">
      <alignment vertical="center" wrapText="1"/>
    </xf>
    <xf numFmtId="0" fontId="32" fillId="24" borderId="54" xfId="0" applyFont="1" applyFill="1" applyBorder="1" applyAlignment="1">
      <alignment horizontal="center" vertical="center" wrapText="1"/>
    </xf>
    <xf numFmtId="175" fontId="54" fillId="27" borderId="13" xfId="41" applyNumberFormat="1" applyFont="1" applyFill="1" applyBorder="1" applyAlignment="1">
      <alignment horizontal="right" vertical="center" wrapText="1"/>
    </xf>
    <xf numFmtId="175" fontId="84" fillId="27" borderId="13" xfId="41" applyNumberFormat="1" applyFont="1" applyFill="1" applyBorder="1" applyAlignment="1">
      <alignment horizontal="right" vertical="center" wrapText="1"/>
    </xf>
    <xf numFmtId="175" fontId="54" fillId="27" borderId="33" xfId="41" applyNumberFormat="1" applyFont="1" applyFill="1" applyBorder="1" applyAlignment="1">
      <alignment horizontal="right" vertical="center" wrapText="1"/>
    </xf>
    <xf numFmtId="175" fontId="84" fillId="27" borderId="53" xfId="41" applyNumberFormat="1" applyFont="1" applyFill="1" applyBorder="1" applyAlignment="1">
      <alignment horizontal="right" vertical="center" wrapText="1"/>
    </xf>
    <xf numFmtId="0" fontId="54" fillId="27" borderId="20" xfId="73" applyFont="1" applyFill="1" applyBorder="1" applyAlignment="1">
      <alignment horizontal="center" vertical="top" wrapText="1"/>
    </xf>
    <xf numFmtId="0" fontId="54" fillId="27" borderId="34" xfId="73" applyFont="1" applyFill="1" applyBorder="1" applyAlignment="1">
      <alignment horizontal="center" vertical="top" wrapText="1"/>
    </xf>
    <xf numFmtId="0" fontId="54" fillId="27" borderId="21" xfId="73" applyFont="1" applyFill="1" applyBorder="1" applyAlignment="1">
      <alignment horizontal="center" vertical="top" wrapText="1"/>
    </xf>
    <xf numFmtId="170" fontId="0" fillId="0" borderId="0" xfId="0" applyNumberFormat="1"/>
    <xf numFmtId="0" fontId="27" fillId="27" borderId="36" xfId="0" applyFont="1" applyFill="1" applyBorder="1" applyAlignment="1">
      <alignment horizontal="right"/>
    </xf>
    <xf numFmtId="167" fontId="29" fillId="27" borderId="0" xfId="49" applyNumberFormat="1" applyFont="1" applyFill="1" applyAlignment="1">
      <alignment horizontal="right"/>
    </xf>
    <xf numFmtId="0" fontId="31" fillId="27" borderId="13" xfId="0" applyFont="1" applyFill="1" applyBorder="1" applyAlignment="1">
      <alignment horizontal="left" vertical="center" wrapText="1"/>
    </xf>
    <xf numFmtId="167" fontId="34" fillId="0" borderId="10" xfId="50" applyNumberFormat="1" applyFont="1" applyFill="1" applyBorder="1" applyAlignment="1">
      <alignment horizontal="center" vertical="center" wrapText="1"/>
    </xf>
    <xf numFmtId="0" fontId="84" fillId="27" borderId="42" xfId="73" applyFont="1" applyFill="1" applyBorder="1" applyAlignment="1">
      <alignment vertical="center" wrapText="1"/>
    </xf>
    <xf numFmtId="0" fontId="31" fillId="0" borderId="150" xfId="0" applyFont="1" applyBorder="1" applyAlignment="1">
      <alignment horizontal="center" vertical="center"/>
    </xf>
    <xf numFmtId="49" fontId="31" fillId="27" borderId="17" xfId="0" quotePrefix="1" applyNumberFormat="1" applyFont="1" applyFill="1" applyBorder="1" applyAlignment="1">
      <alignment horizontal="center" vertical="center"/>
    </xf>
    <xf numFmtId="0" fontId="54" fillId="0" borderId="42" xfId="73" applyFont="1" applyBorder="1" applyAlignment="1">
      <alignment vertical="center" wrapText="1"/>
    </xf>
    <xf numFmtId="49" fontId="55" fillId="0" borderId="42" xfId="73" applyNumberFormat="1" applyFont="1" applyBorder="1" applyAlignment="1">
      <alignment horizontal="center" vertical="center"/>
    </xf>
    <xf numFmtId="0" fontId="55" fillId="0" borderId="42" xfId="73" quotePrefix="1" applyFont="1" applyBorder="1" applyAlignment="1">
      <alignment horizontal="center" vertical="center" wrapText="1"/>
    </xf>
    <xf numFmtId="49" fontId="31" fillId="27" borderId="14" xfId="0" applyNumberFormat="1" applyFont="1" applyFill="1" applyBorder="1" applyAlignment="1">
      <alignment horizontal="center" vertical="center"/>
    </xf>
    <xf numFmtId="0" fontId="31" fillId="27" borderId="14" xfId="0" applyFont="1" applyFill="1" applyBorder="1" applyAlignment="1">
      <alignment vertical="center"/>
    </xf>
    <xf numFmtId="0" fontId="31" fillId="27" borderId="14" xfId="0" applyFont="1" applyFill="1" applyBorder="1"/>
    <xf numFmtId="0" fontId="31" fillId="27" borderId="37" xfId="0" applyFont="1" applyFill="1" applyBorder="1"/>
    <xf numFmtId="0" fontId="31" fillId="27" borderId="17" xfId="0" applyFont="1" applyFill="1" applyBorder="1"/>
    <xf numFmtId="0" fontId="31" fillId="27" borderId="12" xfId="0" applyFont="1" applyFill="1" applyBorder="1"/>
    <xf numFmtId="0" fontId="54" fillId="27" borderId="48" xfId="73" applyFont="1" applyFill="1" applyBorder="1" applyAlignment="1">
      <alignment vertical="center" wrapText="1"/>
    </xf>
    <xf numFmtId="167" fontId="41" fillId="24" borderId="0" xfId="49" applyNumberFormat="1" applyFont="1" applyFill="1" applyBorder="1" applyAlignment="1">
      <alignment horizontal="center" vertical="center" wrapText="1"/>
    </xf>
    <xf numFmtId="3" fontId="31" fillId="0" borderId="42" xfId="41" applyNumberFormat="1" applyFont="1" applyFill="1" applyBorder="1" applyAlignment="1">
      <alignment horizontal="center" vertical="center" wrapText="1"/>
    </xf>
    <xf numFmtId="49" fontId="31" fillId="0" borderId="42" xfId="41" applyNumberFormat="1" applyFont="1" applyFill="1" applyBorder="1" applyAlignment="1">
      <alignment horizontal="center" vertical="center" wrapText="1"/>
    </xf>
    <xf numFmtId="16" fontId="83" fillId="27" borderId="20" xfId="73" applyNumberFormat="1" applyFont="1" applyFill="1" applyBorder="1" applyAlignment="1">
      <alignment horizontal="center" vertical="center" wrapText="1"/>
    </xf>
    <xf numFmtId="0" fontId="31" fillId="27" borderId="50" xfId="0" applyFont="1" applyFill="1" applyBorder="1" applyAlignment="1">
      <alignment horizontal="center" vertical="center"/>
    </xf>
    <xf numFmtId="49" fontId="31" fillId="27" borderId="30" xfId="0" applyNumberFormat="1" applyFont="1" applyFill="1" applyBorder="1" applyAlignment="1">
      <alignment horizontal="center" vertical="center"/>
    </xf>
    <xf numFmtId="0" fontId="31" fillId="27" borderId="30" xfId="0" applyFont="1" applyFill="1" applyBorder="1" applyAlignment="1">
      <alignment horizontal="center" vertical="center"/>
    </xf>
    <xf numFmtId="167" fontId="31" fillId="27" borderId="30" xfId="41" applyNumberFormat="1" applyFont="1" applyFill="1" applyBorder="1" applyAlignment="1">
      <alignment horizontal="center" vertical="center" wrapText="1"/>
    </xf>
    <xf numFmtId="0" fontId="31" fillId="27" borderId="38" xfId="0" applyFont="1" applyFill="1" applyBorder="1"/>
    <xf numFmtId="0" fontId="29" fillId="0" borderId="10" xfId="0" quotePrefix="1" applyFont="1" applyBorder="1" applyAlignment="1">
      <alignment horizontal="center" vertical="center" wrapText="1"/>
    </xf>
    <xf numFmtId="0" fontId="29" fillId="27" borderId="10" xfId="0" applyFont="1" applyFill="1" applyBorder="1" applyAlignment="1">
      <alignment horizontal="center" vertical="center" wrapText="1"/>
    </xf>
    <xf numFmtId="0" fontId="30" fillId="27" borderId="10" xfId="0" applyFont="1" applyFill="1" applyBorder="1" applyAlignment="1">
      <alignment horizontal="center" vertical="center"/>
    </xf>
    <xf numFmtId="0" fontId="27" fillId="27" borderId="10" xfId="0" applyFont="1" applyFill="1" applyBorder="1" applyAlignment="1">
      <alignment horizontal="center" vertical="center" wrapText="1"/>
    </xf>
    <xf numFmtId="167" fontId="29" fillId="27" borderId="10" xfId="49" applyNumberFormat="1" applyFont="1" applyFill="1" applyBorder="1" applyAlignment="1">
      <alignment horizontal="center" vertical="center" wrapText="1"/>
    </xf>
    <xf numFmtId="167" fontId="29" fillId="0" borderId="10" xfId="49" applyNumberFormat="1" applyFont="1" applyFill="1" applyBorder="1" applyAlignment="1">
      <alignment horizontal="center" vertical="center" wrapText="1"/>
    </xf>
    <xf numFmtId="0" fontId="30" fillId="24" borderId="10" xfId="71" applyFont="1" applyFill="1" applyBorder="1" applyAlignment="1">
      <alignment horizontal="center" vertical="center"/>
    </xf>
    <xf numFmtId="167" fontId="27" fillId="24" borderId="10" xfId="49" applyNumberFormat="1" applyFont="1" applyFill="1" applyBorder="1" applyAlignment="1">
      <alignment horizontal="center" vertical="center" wrapText="1"/>
    </xf>
    <xf numFmtId="167" fontId="29" fillId="24" borderId="10" xfId="49" applyNumberFormat="1" applyFont="1" applyFill="1" applyBorder="1" applyAlignment="1">
      <alignment horizontal="center" vertical="center" wrapText="1"/>
    </xf>
    <xf numFmtId="167" fontId="29" fillId="27" borderId="10" xfId="50" applyNumberFormat="1" applyFont="1" applyFill="1" applyBorder="1" applyAlignment="1">
      <alignment horizontal="center" vertical="center" wrapText="1"/>
    </xf>
    <xf numFmtId="167" fontId="27" fillId="24" borderId="66" xfId="50" applyNumberFormat="1" applyFont="1" applyFill="1" applyBorder="1" applyAlignment="1">
      <alignment horizontal="center" vertical="center" wrapText="1"/>
    </xf>
    <xf numFmtId="0" fontId="30" fillId="24" borderId="10" xfId="72" applyFont="1" applyFill="1" applyBorder="1" applyAlignment="1">
      <alignment horizontal="center" vertical="center"/>
    </xf>
    <xf numFmtId="167" fontId="27" fillId="24" borderId="10" xfId="50" applyNumberFormat="1" applyFont="1" applyFill="1" applyBorder="1" applyAlignment="1">
      <alignment horizontal="center" vertical="center" wrapText="1"/>
    </xf>
    <xf numFmtId="0" fontId="32" fillId="0" borderId="18" xfId="0" applyFont="1" applyBorder="1" applyAlignment="1">
      <alignment horizontal="center" vertical="center" wrapText="1"/>
    </xf>
    <xf numFmtId="0" fontId="31" fillId="0" borderId="41" xfId="0" applyFont="1" applyBorder="1" applyAlignment="1">
      <alignment horizontal="center" vertical="center"/>
    </xf>
    <xf numFmtId="0" fontId="31" fillId="0" borderId="18" xfId="0" applyFont="1" applyBorder="1" applyAlignment="1">
      <alignment horizontal="center" vertical="center"/>
    </xf>
    <xf numFmtId="0" fontId="32" fillId="0" borderId="18" xfId="0" applyFont="1" applyBorder="1" applyAlignment="1">
      <alignment horizontal="center" vertical="center"/>
    </xf>
    <xf numFmtId="0" fontId="32" fillId="24" borderId="18" xfId="0" applyFont="1" applyFill="1" applyBorder="1" applyAlignment="1">
      <alignment horizontal="center" vertical="center"/>
    </xf>
    <xf numFmtId="0" fontId="31" fillId="24" borderId="15" xfId="0" applyFont="1" applyFill="1" applyBorder="1" applyAlignment="1">
      <alignment horizontal="center" vertical="center" wrapText="1"/>
    </xf>
    <xf numFmtId="0" fontId="31" fillId="0" borderId="19" xfId="0" applyFont="1" applyBorder="1" applyAlignment="1">
      <alignment horizontal="center" vertical="center" wrapText="1"/>
    </xf>
    <xf numFmtId="0" fontId="31" fillId="0" borderId="16" xfId="0" applyFont="1" applyBorder="1" applyAlignment="1">
      <alignment horizontal="center" vertical="center" wrapText="1"/>
    </xf>
    <xf numFmtId="0" fontId="32" fillId="0" borderId="41" xfId="0" applyFont="1" applyBorder="1" applyAlignment="1">
      <alignment horizontal="left" vertical="center"/>
    </xf>
    <xf numFmtId="0" fontId="32" fillId="0" borderId="41" xfId="0" applyFont="1" applyBorder="1" applyAlignment="1">
      <alignment horizontal="center" vertical="center"/>
    </xf>
    <xf numFmtId="167" fontId="32" fillId="24" borderId="23" xfId="41" applyNumberFormat="1" applyFont="1" applyFill="1" applyBorder="1" applyAlignment="1">
      <alignment horizontal="center" vertical="center"/>
    </xf>
    <xf numFmtId="0" fontId="32" fillId="24" borderId="10" xfId="0" applyFont="1" applyFill="1" applyBorder="1" applyAlignment="1">
      <alignment horizontal="center" vertical="center" wrapText="1"/>
    </xf>
    <xf numFmtId="0" fontId="31" fillId="0" borderId="15" xfId="0" applyFont="1" applyBorder="1" applyAlignment="1">
      <alignment horizontal="center" vertical="center" textRotation="90" wrapText="1"/>
    </xf>
    <xf numFmtId="0" fontId="32" fillId="27" borderId="18" xfId="0" applyFont="1" applyFill="1" applyBorder="1" applyAlignment="1">
      <alignment horizontal="center" vertical="center"/>
    </xf>
    <xf numFmtId="0" fontId="32" fillId="24" borderId="23" xfId="0" applyFont="1" applyFill="1" applyBorder="1" applyAlignment="1">
      <alignment horizontal="center" vertical="center"/>
    </xf>
    <xf numFmtId="0" fontId="31" fillId="27" borderId="18" xfId="0" applyFont="1" applyFill="1" applyBorder="1" applyAlignment="1">
      <alignment horizontal="center" vertical="center"/>
    </xf>
    <xf numFmtId="0" fontId="31" fillId="24" borderId="36" xfId="0" applyFont="1" applyFill="1" applyBorder="1" applyAlignment="1">
      <alignment horizontal="center" vertical="center"/>
    </xf>
    <xf numFmtId="0" fontId="31" fillId="24" borderId="41" xfId="0" applyFont="1" applyFill="1" applyBorder="1" applyAlignment="1">
      <alignment horizontal="center" vertical="center"/>
    </xf>
    <xf numFmtId="0" fontId="31" fillId="24" borderId="18" xfId="0" applyFont="1" applyFill="1" applyBorder="1" applyAlignment="1">
      <alignment horizontal="center" vertical="center"/>
    </xf>
    <xf numFmtId="0" fontId="31" fillId="0" borderId="41" xfId="0" applyFont="1" applyBorder="1" applyAlignment="1">
      <alignment horizontal="center" vertical="center" wrapText="1"/>
    </xf>
    <xf numFmtId="0" fontId="32" fillId="24" borderId="23" xfId="0" applyFont="1" applyFill="1" applyBorder="1" applyAlignment="1">
      <alignment horizontal="center" vertical="center" wrapText="1"/>
    </xf>
    <xf numFmtId="0" fontId="31" fillId="24" borderId="23" xfId="0" applyFont="1" applyFill="1" applyBorder="1" applyAlignment="1">
      <alignment horizontal="center" vertical="center"/>
    </xf>
    <xf numFmtId="0" fontId="31" fillId="24" borderId="24" xfId="0" applyFont="1" applyFill="1" applyBorder="1" applyAlignment="1">
      <alignment horizontal="center" vertical="center"/>
    </xf>
    <xf numFmtId="0" fontId="31" fillId="0" borderId="24" xfId="0" applyFont="1" applyBorder="1" applyAlignment="1">
      <alignment horizontal="center" vertical="center" wrapText="1"/>
    </xf>
    <xf numFmtId="0" fontId="58" fillId="0" borderId="18" xfId="63" applyFont="1" applyBorder="1" applyAlignment="1">
      <alignment horizontal="center" wrapText="1"/>
    </xf>
    <xf numFmtId="0" fontId="31" fillId="27" borderId="14" xfId="0" applyFont="1" applyFill="1" applyBorder="1" applyAlignment="1">
      <alignment horizontal="center" vertical="center" wrapText="1"/>
    </xf>
    <xf numFmtId="0" fontId="88" fillId="27" borderId="13" xfId="73" applyFont="1" applyFill="1" applyBorder="1" applyAlignment="1">
      <alignment vertical="center" wrapText="1"/>
    </xf>
    <xf numFmtId="0" fontId="54" fillId="27" borderId="14" xfId="73" applyFont="1" applyFill="1" applyBorder="1" applyAlignment="1">
      <alignment horizontal="left" vertical="center" wrapText="1"/>
    </xf>
    <xf numFmtId="16" fontId="54" fillId="27" borderId="13" xfId="73" applyNumberFormat="1" applyFont="1" applyFill="1" applyBorder="1" applyAlignment="1">
      <alignment horizontal="center" vertical="center" wrapText="1"/>
    </xf>
    <xf numFmtId="0" fontId="54" fillId="0" borderId="42" xfId="73" applyFont="1" applyBorder="1" applyAlignment="1">
      <alignment horizontal="center" vertical="center" wrapText="1"/>
    </xf>
    <xf numFmtId="0" fontId="54" fillId="0" borderId="46" xfId="73" applyFont="1" applyBorder="1" applyAlignment="1">
      <alignment horizontal="center" vertical="center" wrapText="1"/>
    </xf>
    <xf numFmtId="0" fontId="54" fillId="0" borderId="22" xfId="73" applyFont="1" applyBorder="1" applyAlignment="1">
      <alignment horizontal="center" vertical="center" wrapText="1"/>
    </xf>
    <xf numFmtId="0" fontId="54" fillId="0" borderId="45" xfId="73" applyFont="1" applyBorder="1" applyAlignment="1">
      <alignment horizontal="center" vertical="center" wrapText="1"/>
    </xf>
    <xf numFmtId="0" fontId="84" fillId="0" borderId="26" xfId="73" applyFont="1" applyBorder="1" applyAlignment="1">
      <alignment horizontal="center" vertical="center" wrapText="1"/>
    </xf>
    <xf numFmtId="0" fontId="84" fillId="0" borderId="48" xfId="73" applyFont="1" applyBorder="1" applyAlignment="1">
      <alignment horizontal="center" vertical="center" wrapText="1"/>
    </xf>
    <xf numFmtId="0" fontId="84" fillId="0" borderId="14" xfId="73" applyFont="1" applyBorder="1" applyAlignment="1">
      <alignment horizontal="center" vertical="center" wrapText="1"/>
    </xf>
    <xf numFmtId="0" fontId="84" fillId="0" borderId="17" xfId="73" applyFont="1" applyBorder="1" applyAlignment="1">
      <alignment horizontal="center" vertical="center" wrapText="1"/>
    </xf>
    <xf numFmtId="3" fontId="92" fillId="27" borderId="18" xfId="73" applyNumberFormat="1" applyFont="1" applyFill="1" applyBorder="1"/>
    <xf numFmtId="3" fontId="92" fillId="27" borderId="19" xfId="73" applyNumberFormat="1" applyFont="1" applyFill="1" applyBorder="1"/>
    <xf numFmtId="3" fontId="92" fillId="27" borderId="54" xfId="73" applyNumberFormat="1" applyFont="1" applyFill="1" applyBorder="1"/>
    <xf numFmtId="3" fontId="92" fillId="27" borderId="41" xfId="73" applyNumberFormat="1" applyFont="1" applyFill="1" applyBorder="1"/>
    <xf numFmtId="3" fontId="92" fillId="27" borderId="31" xfId="73" applyNumberFormat="1" applyFont="1" applyFill="1" applyBorder="1"/>
    <xf numFmtId="3" fontId="92" fillId="27" borderId="30" xfId="73" applyNumberFormat="1" applyFont="1" applyFill="1" applyBorder="1"/>
    <xf numFmtId="3" fontId="92" fillId="27" borderId="38" xfId="73" applyNumberFormat="1" applyFont="1" applyFill="1" applyBorder="1"/>
    <xf numFmtId="49" fontId="54" fillId="0" borderId="18" xfId="0" applyNumberFormat="1" applyFont="1" applyBorder="1" applyAlignment="1">
      <alignment horizontal="center" vertical="center" wrapText="1"/>
    </xf>
    <xf numFmtId="49" fontId="54" fillId="0" borderId="19" xfId="0" applyNumberFormat="1" applyFont="1" applyBorder="1" applyAlignment="1">
      <alignment horizontal="center" vertical="center" wrapText="1"/>
    </xf>
    <xf numFmtId="49" fontId="54" fillId="0" borderId="41" xfId="0" applyNumberFormat="1" applyFont="1" applyBorder="1" applyAlignment="1">
      <alignment horizontal="center" vertical="center" wrapText="1"/>
    </xf>
    <xf numFmtId="0" fontId="31" fillId="0" borderId="0" xfId="70" applyFont="1"/>
    <xf numFmtId="0" fontId="26" fillId="0" borderId="0" xfId="70"/>
    <xf numFmtId="0" fontId="44" fillId="0" borderId="10" xfId="93" applyFont="1" applyBorder="1" applyAlignment="1">
      <alignment vertical="center" wrapText="1"/>
    </xf>
    <xf numFmtId="0" fontId="44" fillId="0" borderId="10" xfId="93" applyFont="1" applyBorder="1" applyAlignment="1">
      <alignment horizontal="center" vertical="center" wrapText="1"/>
    </xf>
    <xf numFmtId="0" fontId="44" fillId="0" borderId="29" xfId="93" applyFont="1" applyBorder="1" applyAlignment="1">
      <alignment vertical="center" wrapText="1"/>
    </xf>
    <xf numFmtId="3" fontId="31" fillId="0" borderId="0" xfId="70" applyNumberFormat="1" applyFont="1"/>
    <xf numFmtId="3" fontId="26" fillId="0" borderId="0" xfId="70" applyNumberFormat="1"/>
    <xf numFmtId="167" fontId="26" fillId="0" borderId="0" xfId="70" applyNumberFormat="1"/>
    <xf numFmtId="0" fontId="33" fillId="0" borderId="10" xfId="70" applyFont="1" applyBorder="1"/>
    <xf numFmtId="0" fontId="31" fillId="0" borderId="10" xfId="70" applyFont="1" applyBorder="1"/>
    <xf numFmtId="0" fontId="26" fillId="27" borderId="0" xfId="70" applyFill="1"/>
    <xf numFmtId="170" fontId="26" fillId="0" borderId="0" xfId="94" applyNumberFormat="1" applyFont="1"/>
    <xf numFmtId="170" fontId="26" fillId="0" borderId="0" xfId="70" applyNumberFormat="1"/>
    <xf numFmtId="167" fontId="31" fillId="0" borderId="0" xfId="70" applyNumberFormat="1" applyFont="1"/>
    <xf numFmtId="170" fontId="31" fillId="0" borderId="0" xfId="94" applyNumberFormat="1" applyFont="1"/>
    <xf numFmtId="170" fontId="31" fillId="0" borderId="0" xfId="70" applyNumberFormat="1" applyFont="1"/>
    <xf numFmtId="0" fontId="31" fillId="0" borderId="151" xfId="0" applyFont="1" applyBorder="1" applyAlignment="1">
      <alignment horizontal="center" vertical="center"/>
    </xf>
    <xf numFmtId="170" fontId="31" fillId="0" borderId="10" xfId="79" applyNumberFormat="1" applyFont="1" applyFill="1" applyBorder="1" applyAlignment="1">
      <alignment vertical="center"/>
    </xf>
    <xf numFmtId="170" fontId="31" fillId="0" borderId="89" xfId="79" applyNumberFormat="1" applyFont="1" applyFill="1" applyBorder="1" applyAlignment="1">
      <alignment vertical="center"/>
    </xf>
    <xf numFmtId="170" fontId="31" fillId="0" borderId="62" xfId="79" applyNumberFormat="1" applyFont="1" applyFill="1" applyBorder="1" applyAlignment="1">
      <alignment vertical="center"/>
    </xf>
    <xf numFmtId="0" fontId="31" fillId="0" borderId="62" xfId="0" applyFont="1" applyBorder="1" applyAlignment="1">
      <alignment horizontal="left" vertical="center" wrapText="1"/>
    </xf>
    <xf numFmtId="49" fontId="31" fillId="0" borderId="10" xfId="0" applyNumberFormat="1" applyFont="1" applyBorder="1" applyAlignment="1" applyProtection="1">
      <alignment horizontal="center" vertical="center" wrapText="1"/>
      <protection locked="0"/>
    </xf>
    <xf numFmtId="173" fontId="32" fillId="0" borderId="10" xfId="0" applyNumberFormat="1" applyFont="1" applyBorder="1" applyAlignment="1">
      <alignment vertical="center" wrapText="1"/>
    </xf>
    <xf numFmtId="173" fontId="32" fillId="0" borderId="89" xfId="0" applyNumberFormat="1" applyFont="1" applyBorder="1" applyAlignment="1">
      <alignment vertical="center" wrapText="1"/>
    </xf>
    <xf numFmtId="0" fontId="29" fillId="0" borderId="10" xfId="0" quotePrefix="1" applyFont="1" applyBorder="1" applyAlignment="1">
      <alignment horizontal="center" vertical="center" wrapText="1"/>
    </xf>
    <xf numFmtId="0" fontId="29" fillId="0" borderId="10" xfId="0" applyFont="1" applyBorder="1" applyAlignment="1">
      <alignment horizontal="center" vertical="center" wrapText="1"/>
    </xf>
    <xf numFmtId="0" fontId="29" fillId="27" borderId="10" xfId="0" quotePrefix="1"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27" fillId="0" borderId="10" xfId="0" applyFont="1" applyBorder="1" applyAlignment="1">
      <alignment horizontal="center" vertical="center" wrapText="1"/>
    </xf>
    <xf numFmtId="0" fontId="30" fillId="27" borderId="10" xfId="0" applyFont="1" applyFill="1" applyBorder="1" applyAlignment="1">
      <alignment horizontal="center" vertical="center"/>
    </xf>
    <xf numFmtId="164" fontId="28" fillId="27" borderId="10" xfId="0" applyNumberFormat="1" applyFont="1" applyFill="1" applyBorder="1" applyAlignment="1">
      <alignment horizontal="center" vertical="center" wrapText="1"/>
    </xf>
    <xf numFmtId="0" fontId="29" fillId="0" borderId="62" xfId="0" quotePrefix="1" applyFont="1" applyBorder="1" applyAlignment="1">
      <alignment horizontal="center" vertical="center" wrapText="1"/>
    </xf>
    <xf numFmtId="0" fontId="29" fillId="0" borderId="66" xfId="0" quotePrefix="1" applyFont="1" applyBorder="1" applyAlignment="1">
      <alignment horizontal="center" vertical="center" wrapText="1"/>
    </xf>
    <xf numFmtId="0" fontId="29" fillId="0" borderId="66" xfId="0" applyFont="1" applyBorder="1" applyAlignment="1">
      <alignment horizontal="center" vertical="center" wrapText="1"/>
    </xf>
    <xf numFmtId="0" fontId="27" fillId="0" borderId="10" xfId="0" quotePrefix="1" applyFont="1" applyBorder="1" applyAlignment="1">
      <alignment horizontal="center" vertical="center" wrapText="1"/>
    </xf>
    <xf numFmtId="0" fontId="27" fillId="27" borderId="10" xfId="0" applyFont="1" applyFill="1" applyBorder="1" applyAlignment="1">
      <alignment horizontal="center" vertical="center" wrapText="1"/>
    </xf>
    <xf numFmtId="0" fontId="29" fillId="0" borderId="62" xfId="0" applyFont="1" applyBorder="1" applyAlignment="1">
      <alignment horizontal="center" vertical="center" wrapText="1"/>
    </xf>
    <xf numFmtId="0" fontId="27" fillId="0" borderId="107"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35"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36" xfId="0" applyFont="1" applyBorder="1" applyAlignment="1">
      <alignment horizontal="center" vertical="center" wrapText="1"/>
    </xf>
    <xf numFmtId="0" fontId="29" fillId="0" borderId="87"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167" fontId="29" fillId="24" borderId="10" xfId="49" applyNumberFormat="1" applyFont="1" applyFill="1" applyBorder="1" applyAlignment="1">
      <alignment horizontal="center" vertical="center"/>
    </xf>
    <xf numFmtId="167" fontId="29" fillId="27" borderId="10" xfId="49" quotePrefix="1" applyNumberFormat="1" applyFont="1" applyFill="1" applyBorder="1" applyAlignment="1">
      <alignment horizontal="center" vertical="center" wrapText="1"/>
    </xf>
    <xf numFmtId="167" fontId="27" fillId="24" borderId="10" xfId="49" applyNumberFormat="1" applyFont="1" applyFill="1" applyBorder="1" applyAlignment="1">
      <alignment horizontal="center" vertical="center" wrapText="1"/>
    </xf>
    <xf numFmtId="167" fontId="29" fillId="27" borderId="62" xfId="49" applyNumberFormat="1" applyFont="1" applyFill="1" applyBorder="1" applyAlignment="1">
      <alignment horizontal="center" vertical="center" wrapText="1"/>
    </xf>
    <xf numFmtId="167" fontId="29" fillId="27" borderId="66" xfId="49" applyNumberFormat="1" applyFont="1" applyFill="1" applyBorder="1" applyAlignment="1">
      <alignment horizontal="center" vertical="center" wrapText="1"/>
    </xf>
    <xf numFmtId="167" fontId="29" fillId="27" borderId="10" xfId="49" applyNumberFormat="1" applyFont="1" applyFill="1" applyBorder="1" applyAlignment="1">
      <alignment horizontal="center" vertical="center" wrapText="1"/>
    </xf>
    <xf numFmtId="0" fontId="30" fillId="24" borderId="107" xfId="71" applyFont="1" applyFill="1" applyBorder="1" applyAlignment="1">
      <alignment horizontal="center" vertical="center"/>
    </xf>
    <xf numFmtId="0" fontId="30" fillId="24" borderId="28" xfId="71" applyFont="1" applyFill="1" applyBorder="1" applyAlignment="1">
      <alignment horizontal="center" vertical="center"/>
    </xf>
    <xf numFmtId="0" fontId="30" fillId="24" borderId="108" xfId="71" applyFont="1" applyFill="1" applyBorder="1" applyAlignment="1">
      <alignment horizontal="center" vertical="center"/>
    </xf>
    <xf numFmtId="0" fontId="30" fillId="24" borderId="35" xfId="71" applyFont="1" applyFill="1" applyBorder="1" applyAlignment="1">
      <alignment horizontal="center" vertical="center"/>
    </xf>
    <xf numFmtId="0" fontId="30" fillId="24" borderId="11" xfId="71" applyFont="1" applyFill="1" applyBorder="1" applyAlignment="1">
      <alignment horizontal="center" vertical="center"/>
    </xf>
    <xf numFmtId="0" fontId="30" fillId="24" borderId="36" xfId="71" applyFont="1" applyFill="1" applyBorder="1" applyAlignment="1">
      <alignment horizontal="center" vertical="center"/>
    </xf>
    <xf numFmtId="167" fontId="29" fillId="0" borderId="10" xfId="49" quotePrefix="1" applyNumberFormat="1" applyFont="1" applyFill="1" applyBorder="1" applyAlignment="1">
      <alignment horizontal="center" vertical="center" wrapText="1"/>
    </xf>
    <xf numFmtId="167" fontId="29" fillId="0" borderId="10" xfId="49" applyNumberFormat="1" applyFont="1" applyFill="1" applyBorder="1" applyAlignment="1">
      <alignment horizontal="center" vertical="center" wrapText="1"/>
    </xf>
    <xf numFmtId="164" fontId="28" fillId="24" borderId="10" xfId="71" applyNumberFormat="1" applyFont="1" applyFill="1" applyBorder="1" applyAlignment="1">
      <alignment horizontal="center" vertical="center" wrapText="1"/>
    </xf>
    <xf numFmtId="0" fontId="30" fillId="24" borderId="10" xfId="71" applyFont="1" applyFill="1" applyBorder="1" applyAlignment="1">
      <alignment horizontal="center" vertical="center"/>
    </xf>
    <xf numFmtId="167" fontId="29" fillId="24" borderId="29" xfId="49" applyNumberFormat="1" applyFont="1" applyFill="1" applyBorder="1" applyAlignment="1">
      <alignment horizontal="center" vertical="center"/>
    </xf>
    <xf numFmtId="167" fontId="29" fillId="24" borderId="23" xfId="49" applyNumberFormat="1" applyFont="1" applyFill="1" applyBorder="1" applyAlignment="1">
      <alignment horizontal="center" vertical="center"/>
    </xf>
    <xf numFmtId="167" fontId="29" fillId="24" borderId="24" xfId="49" applyNumberFormat="1" applyFont="1" applyFill="1" applyBorder="1" applyAlignment="1">
      <alignment horizontal="center" vertical="center"/>
    </xf>
    <xf numFmtId="0" fontId="39" fillId="24" borderId="10" xfId="71" applyFill="1" applyBorder="1" applyAlignment="1">
      <alignment horizontal="center" vertical="center"/>
    </xf>
    <xf numFmtId="167" fontId="29" fillId="0" borderId="62" xfId="49" applyNumberFormat="1" applyFont="1" applyFill="1" applyBorder="1" applyAlignment="1">
      <alignment horizontal="center" vertical="center" wrapText="1"/>
    </xf>
    <xf numFmtId="167" fontId="29" fillId="0" borderId="66" xfId="49" applyNumberFormat="1" applyFont="1" applyFill="1" applyBorder="1" applyAlignment="1">
      <alignment horizontal="center" vertical="center" wrapText="1"/>
    </xf>
    <xf numFmtId="167" fontId="29" fillId="27" borderId="29" xfId="49" applyNumberFormat="1" applyFont="1" applyFill="1" applyBorder="1" applyAlignment="1">
      <alignment horizontal="center" vertical="center" wrapText="1"/>
    </xf>
    <xf numFmtId="167" fontId="29" fillId="27" borderId="23" xfId="49" applyNumberFormat="1" applyFont="1" applyFill="1" applyBorder="1" applyAlignment="1">
      <alignment horizontal="center" vertical="center" wrapText="1"/>
    </xf>
    <xf numFmtId="167" fontId="29" fillId="27" borderId="24" xfId="49" applyNumberFormat="1" applyFont="1" applyFill="1" applyBorder="1" applyAlignment="1">
      <alignment horizontal="center" vertical="center" wrapText="1"/>
    </xf>
    <xf numFmtId="167" fontId="27" fillId="24" borderId="10" xfId="49" quotePrefix="1" applyNumberFormat="1" applyFont="1" applyFill="1" applyBorder="1" applyAlignment="1">
      <alignment horizontal="center" vertical="center" wrapText="1"/>
    </xf>
    <xf numFmtId="0" fontId="30" fillId="24" borderId="107" xfId="72" applyFont="1" applyFill="1" applyBorder="1" applyAlignment="1">
      <alignment horizontal="center" vertical="center"/>
    </xf>
    <xf numFmtId="0" fontId="30" fillId="24" borderId="28" xfId="72" applyFont="1" applyFill="1" applyBorder="1" applyAlignment="1">
      <alignment horizontal="center" vertical="center"/>
    </xf>
    <xf numFmtId="0" fontId="30" fillId="24" borderId="108" xfId="72" applyFont="1" applyFill="1" applyBorder="1" applyAlignment="1">
      <alignment horizontal="center" vertical="center"/>
    </xf>
    <xf numFmtId="0" fontId="30" fillId="24" borderId="10" xfId="72" applyFont="1" applyFill="1" applyBorder="1" applyAlignment="1">
      <alignment horizontal="center" vertical="center"/>
    </xf>
    <xf numFmtId="167" fontId="29" fillId="27" borderId="10" xfId="50" applyNumberFormat="1" applyFont="1" applyFill="1" applyBorder="1" applyAlignment="1">
      <alignment horizontal="center" vertical="center" wrapText="1"/>
    </xf>
    <xf numFmtId="164" fontId="28" fillId="24" borderId="10" xfId="72" applyNumberFormat="1" applyFont="1" applyFill="1" applyBorder="1" applyAlignment="1">
      <alignment horizontal="center" vertical="center" wrapText="1"/>
    </xf>
    <xf numFmtId="167" fontId="34" fillId="27" borderId="10" xfId="49" applyNumberFormat="1" applyFont="1" applyFill="1" applyBorder="1" applyAlignment="1">
      <alignment horizontal="center" vertical="center" wrapText="1"/>
    </xf>
    <xf numFmtId="167" fontId="0" fillId="24" borderId="10" xfId="50" applyNumberFormat="1" applyFont="1" applyFill="1" applyBorder="1" applyAlignment="1">
      <alignment horizontal="center" vertical="center"/>
    </xf>
    <xf numFmtId="167" fontId="26" fillId="24" borderId="10" xfId="50" applyNumberFormat="1" applyFont="1" applyFill="1" applyBorder="1" applyAlignment="1">
      <alignment horizontal="center" vertical="center"/>
    </xf>
    <xf numFmtId="167" fontId="29" fillId="24" borderId="29" xfId="49" applyNumberFormat="1" applyFont="1" applyFill="1" applyBorder="1" applyAlignment="1">
      <alignment horizontal="center" vertical="center" wrapText="1"/>
    </xf>
    <xf numFmtId="167" fontId="29" fillId="24" borderId="23" xfId="49" applyNumberFormat="1" applyFont="1" applyFill="1" applyBorder="1" applyAlignment="1">
      <alignment horizontal="center" vertical="center" wrapText="1"/>
    </xf>
    <xf numFmtId="167" fontId="29" fillId="24" borderId="24" xfId="49" applyNumberFormat="1" applyFont="1" applyFill="1" applyBorder="1" applyAlignment="1">
      <alignment horizontal="center" vertical="center" wrapText="1"/>
    </xf>
    <xf numFmtId="167" fontId="27" fillId="24" borderId="62" xfId="50" applyNumberFormat="1" applyFont="1" applyFill="1" applyBorder="1" applyAlignment="1">
      <alignment horizontal="center" vertical="center" wrapText="1"/>
    </xf>
    <xf numFmtId="167" fontId="27" fillId="24" borderId="87" xfId="50" applyNumberFormat="1" applyFont="1" applyFill="1" applyBorder="1" applyAlignment="1">
      <alignment horizontal="center" vertical="center" wrapText="1"/>
    </xf>
    <xf numFmtId="167" fontId="27" fillId="24" borderId="66" xfId="50" applyNumberFormat="1" applyFont="1" applyFill="1" applyBorder="1" applyAlignment="1">
      <alignment horizontal="center" vertical="center" wrapText="1"/>
    </xf>
    <xf numFmtId="167" fontId="27" fillId="24" borderId="10" xfId="50" applyNumberFormat="1" applyFont="1" applyFill="1" applyBorder="1" applyAlignment="1">
      <alignment horizontal="center" vertical="center" wrapText="1"/>
    </xf>
    <xf numFmtId="167" fontId="29" fillId="27" borderId="62" xfId="50" applyNumberFormat="1" applyFont="1" applyFill="1" applyBorder="1" applyAlignment="1">
      <alignment horizontal="center" vertical="center" wrapText="1"/>
    </xf>
    <xf numFmtId="167" fontId="29" fillId="27" borderId="66" xfId="50" applyNumberFormat="1" applyFont="1" applyFill="1" applyBorder="1" applyAlignment="1">
      <alignment horizontal="center" vertical="center" wrapText="1"/>
    </xf>
    <xf numFmtId="167" fontId="29" fillId="24" borderId="62" xfId="50" quotePrefix="1" applyNumberFormat="1" applyFont="1" applyFill="1" applyBorder="1" applyAlignment="1">
      <alignment horizontal="center" vertical="center" wrapText="1"/>
    </xf>
    <xf numFmtId="167" fontId="29" fillId="24" borderId="66" xfId="50" quotePrefix="1" applyNumberFormat="1" applyFont="1" applyFill="1" applyBorder="1" applyAlignment="1">
      <alignment horizontal="center" vertical="center" wrapText="1"/>
    </xf>
    <xf numFmtId="0" fontId="28" fillId="27" borderId="107" xfId="0" applyFont="1" applyFill="1" applyBorder="1" applyAlignment="1">
      <alignment horizontal="center" vertical="center" wrapText="1"/>
    </xf>
    <xf numFmtId="0" fontId="28" fillId="27" borderId="28" xfId="0" applyFont="1" applyFill="1" applyBorder="1" applyAlignment="1">
      <alignment horizontal="center" vertical="center" wrapText="1"/>
    </xf>
    <xf numFmtId="0" fontId="28" fillId="27" borderId="35" xfId="0" applyFont="1" applyFill="1" applyBorder="1" applyAlignment="1">
      <alignment horizontal="center" vertical="center" wrapText="1"/>
    </xf>
    <xf numFmtId="0" fontId="28" fillId="27" borderId="11" xfId="0" applyFont="1" applyFill="1" applyBorder="1" applyAlignment="1">
      <alignment horizontal="center" vertical="center" wrapText="1"/>
    </xf>
    <xf numFmtId="0" fontId="29" fillId="27" borderId="87" xfId="0" applyFont="1" applyFill="1" applyBorder="1" applyAlignment="1">
      <alignment horizontal="center" vertical="center" wrapText="1"/>
    </xf>
    <xf numFmtId="0" fontId="28" fillId="27" borderId="108" xfId="0" applyFont="1" applyFill="1" applyBorder="1" applyAlignment="1">
      <alignment horizontal="center" vertical="center" wrapText="1"/>
    </xf>
    <xf numFmtId="0" fontId="28" fillId="27" borderId="36" xfId="0" applyFont="1" applyFill="1" applyBorder="1" applyAlignment="1">
      <alignment horizontal="center" vertical="center" wrapText="1"/>
    </xf>
    <xf numFmtId="0" fontId="28" fillId="24" borderId="29" xfId="0" applyFont="1" applyFill="1" applyBorder="1" applyAlignment="1">
      <alignment horizontal="center" wrapText="1"/>
    </xf>
    <xf numFmtId="0" fontId="28" fillId="24" borderId="24" xfId="0" applyFont="1" applyFill="1" applyBorder="1" applyAlignment="1">
      <alignment horizontal="center" wrapText="1"/>
    </xf>
    <xf numFmtId="0" fontId="30" fillId="27" borderId="29" xfId="0" applyFont="1" applyFill="1" applyBorder="1" applyAlignment="1">
      <alignment horizontal="center" vertical="center" wrapText="1"/>
    </xf>
    <xf numFmtId="0" fontId="30" fillId="27" borderId="23" xfId="0" applyFont="1" applyFill="1" applyBorder="1" applyAlignment="1">
      <alignment horizontal="center" vertical="center" wrapText="1"/>
    </xf>
    <xf numFmtId="0" fontId="30" fillId="27" borderId="24" xfId="0" applyFont="1" applyFill="1" applyBorder="1" applyAlignment="1">
      <alignment horizontal="center" vertical="center" wrapText="1"/>
    </xf>
    <xf numFmtId="0" fontId="30" fillId="27" borderId="29" xfId="0" applyFont="1" applyFill="1" applyBorder="1" applyAlignment="1">
      <alignment horizontal="center" vertical="center"/>
    </xf>
    <xf numFmtId="0" fontId="30" fillId="27" borderId="23" xfId="0" applyFont="1" applyFill="1" applyBorder="1" applyAlignment="1">
      <alignment horizontal="center" vertical="center"/>
    </xf>
    <xf numFmtId="0" fontId="30" fillId="27" borderId="24" xfId="0" applyFont="1" applyFill="1" applyBorder="1" applyAlignment="1">
      <alignment horizontal="center" vertical="center"/>
    </xf>
    <xf numFmtId="164" fontId="28" fillId="27" borderId="29" xfId="0" applyNumberFormat="1" applyFont="1" applyFill="1" applyBorder="1" applyAlignment="1">
      <alignment horizontal="center" vertical="center" wrapText="1"/>
    </xf>
    <xf numFmtId="0" fontId="49" fillId="24" borderId="0" xfId="0" applyFont="1" applyFill="1" applyAlignment="1">
      <alignment horizontal="center" vertical="center"/>
    </xf>
    <xf numFmtId="0" fontId="32" fillId="0" borderId="41" xfId="0" applyFont="1" applyBorder="1" applyAlignment="1">
      <alignment horizontal="center" vertical="center" wrapText="1"/>
    </xf>
    <xf numFmtId="0" fontId="32" fillId="0" borderId="18" xfId="0" applyFont="1" applyBorder="1" applyAlignment="1">
      <alignment horizontal="center" vertical="center" wrapText="1"/>
    </xf>
    <xf numFmtId="0" fontId="32" fillId="24" borderId="41" xfId="0" applyFont="1" applyFill="1" applyBorder="1" applyAlignment="1">
      <alignment horizontal="center" wrapText="1"/>
    </xf>
    <xf numFmtId="0" fontId="32" fillId="24" borderId="18" xfId="0" applyFont="1" applyFill="1" applyBorder="1" applyAlignment="1">
      <alignment horizontal="center" wrapText="1"/>
    </xf>
    <xf numFmtId="0" fontId="32" fillId="24" borderId="41" xfId="0" applyFont="1" applyFill="1" applyBorder="1" applyAlignment="1">
      <alignment horizontal="center" vertical="center"/>
    </xf>
    <xf numFmtId="0" fontId="32" fillId="27" borderId="18" xfId="0" applyFont="1" applyFill="1" applyBorder="1" applyAlignment="1">
      <alignment horizontal="center" vertical="center"/>
    </xf>
    <xf numFmtId="0" fontId="32" fillId="24" borderId="29" xfId="0" applyFont="1" applyFill="1" applyBorder="1" applyAlignment="1">
      <alignment horizontal="center" vertical="center"/>
    </xf>
    <xf numFmtId="0" fontId="32" fillId="24" borderId="23" xfId="0" applyFont="1" applyFill="1" applyBorder="1" applyAlignment="1">
      <alignment horizontal="center" vertical="center"/>
    </xf>
    <xf numFmtId="0" fontId="32" fillId="24" borderId="54" xfId="0" applyFont="1" applyFill="1" applyBorder="1" applyAlignment="1">
      <alignment horizontal="center" vertical="center"/>
    </xf>
    <xf numFmtId="0" fontId="31" fillId="27" borderId="62" xfId="0" applyFont="1" applyFill="1" applyBorder="1" applyAlignment="1">
      <alignment horizontal="center" vertical="center"/>
    </xf>
    <xf numFmtId="0" fontId="31" fillId="27" borderId="66" xfId="0" applyFont="1" applyFill="1" applyBorder="1" applyAlignment="1">
      <alignment horizontal="center" vertical="center"/>
    </xf>
    <xf numFmtId="0" fontId="31" fillId="24" borderId="62" xfId="0" applyFont="1" applyFill="1" applyBorder="1" applyAlignment="1">
      <alignment horizontal="center" vertical="center" textRotation="90"/>
    </xf>
    <xf numFmtId="0" fontId="31" fillId="24" borderId="66" xfId="0" applyFont="1" applyFill="1" applyBorder="1" applyAlignment="1">
      <alignment horizontal="center" vertical="center" textRotation="90"/>
    </xf>
    <xf numFmtId="49" fontId="32" fillId="24" borderId="41" xfId="0" quotePrefix="1" applyNumberFormat="1" applyFont="1" applyFill="1" applyBorder="1" applyAlignment="1">
      <alignment horizontal="center" vertical="center"/>
    </xf>
    <xf numFmtId="49" fontId="32" fillId="24" borderId="18" xfId="0" applyNumberFormat="1" applyFont="1" applyFill="1" applyBorder="1" applyAlignment="1">
      <alignment horizontal="center" vertical="center"/>
    </xf>
    <xf numFmtId="16" fontId="32" fillId="27" borderId="29" xfId="0" applyNumberFormat="1" applyFont="1" applyFill="1" applyBorder="1" applyAlignment="1">
      <alignment horizontal="center" vertical="center"/>
    </xf>
    <xf numFmtId="16" fontId="32" fillId="27" borderId="23" xfId="0" applyNumberFormat="1" applyFont="1" applyFill="1" applyBorder="1" applyAlignment="1">
      <alignment horizontal="center" vertical="center"/>
    </xf>
    <xf numFmtId="0" fontId="31" fillId="24" borderId="15" xfId="0" applyFont="1" applyFill="1" applyBorder="1" applyAlignment="1">
      <alignment horizontal="center" vertical="center" wrapText="1"/>
    </xf>
    <xf numFmtId="0" fontId="31" fillId="24" borderId="30" xfId="0" applyFont="1" applyFill="1" applyBorder="1" applyAlignment="1">
      <alignment horizontal="center" vertical="center" wrapText="1"/>
    </xf>
    <xf numFmtId="0" fontId="31" fillId="24" borderId="16" xfId="0" applyFont="1" applyFill="1" applyBorder="1" applyAlignment="1">
      <alignment horizontal="center" vertical="center" wrapText="1"/>
    </xf>
    <xf numFmtId="0" fontId="31" fillId="24" borderId="38" xfId="0" applyFont="1" applyFill="1" applyBorder="1" applyAlignment="1">
      <alignment horizontal="center" vertical="center" wrapText="1"/>
    </xf>
    <xf numFmtId="0" fontId="31" fillId="27" borderId="41" xfId="0" applyFont="1" applyFill="1" applyBorder="1" applyAlignment="1">
      <alignment horizontal="center" vertical="center"/>
    </xf>
    <xf numFmtId="0" fontId="31" fillId="27" borderId="18" xfId="0" applyFont="1" applyFill="1" applyBorder="1" applyAlignment="1">
      <alignment horizontal="center" vertical="center"/>
    </xf>
    <xf numFmtId="0" fontId="31" fillId="24" borderId="49" xfId="0" applyFont="1" applyFill="1" applyBorder="1" applyAlignment="1">
      <alignment horizontal="center" vertical="center" textRotation="90"/>
    </xf>
    <xf numFmtId="0" fontId="31" fillId="24" borderId="45" xfId="0" applyFont="1" applyFill="1" applyBorder="1" applyAlignment="1">
      <alignment horizontal="center" vertical="center" textRotation="90"/>
    </xf>
    <xf numFmtId="0" fontId="31" fillId="24" borderId="15" xfId="0" applyFont="1" applyFill="1" applyBorder="1" applyAlignment="1">
      <alignment horizontal="center" vertical="center" textRotation="90"/>
    </xf>
    <xf numFmtId="0" fontId="31" fillId="24" borderId="46" xfId="0" applyFont="1" applyFill="1" applyBorder="1" applyAlignment="1">
      <alignment horizontal="center" vertical="center" textRotation="90"/>
    </xf>
    <xf numFmtId="0" fontId="31" fillId="24" borderId="15" xfId="0" applyFont="1" applyFill="1" applyBorder="1" applyAlignment="1">
      <alignment horizontal="center" vertical="center" textRotation="90" wrapText="1"/>
    </xf>
    <xf numFmtId="0" fontId="31" fillId="24" borderId="46" xfId="0" applyFont="1" applyFill="1" applyBorder="1" applyAlignment="1">
      <alignment horizontal="center" vertical="center" textRotation="90" wrapText="1"/>
    </xf>
    <xf numFmtId="0" fontId="31" fillId="24" borderId="15" xfId="0" applyFont="1" applyFill="1" applyBorder="1" applyAlignment="1">
      <alignment horizontal="center" vertical="center"/>
    </xf>
    <xf numFmtId="0" fontId="31" fillId="27" borderId="46" xfId="0" applyFont="1" applyFill="1" applyBorder="1" applyAlignment="1">
      <alignment horizontal="center" vertical="center"/>
    </xf>
    <xf numFmtId="0" fontId="33" fillId="27" borderId="11" xfId="0" applyFont="1" applyFill="1" applyBorder="1" applyAlignment="1">
      <alignment horizontal="center" vertical="center"/>
    </xf>
    <xf numFmtId="0" fontId="33" fillId="0" borderId="11" xfId="0" applyFont="1" applyBorder="1" applyAlignment="1">
      <alignment horizontal="center" vertical="center"/>
    </xf>
    <xf numFmtId="0" fontId="32" fillId="24" borderId="41" xfId="0" applyFont="1" applyFill="1" applyBorder="1" applyAlignment="1">
      <alignment horizontal="center" vertical="center" wrapText="1"/>
    </xf>
    <xf numFmtId="0" fontId="32" fillId="24" borderId="18" xfId="0" applyFont="1" applyFill="1" applyBorder="1" applyAlignment="1">
      <alignment horizontal="center" vertical="center" wrapText="1"/>
    </xf>
    <xf numFmtId="0" fontId="31" fillId="0" borderId="41" xfId="0" applyFont="1" applyBorder="1" applyAlignment="1">
      <alignment horizontal="center" vertical="center"/>
    </xf>
    <xf numFmtId="0" fontId="31" fillId="0" borderId="18" xfId="0" applyFont="1" applyBorder="1" applyAlignment="1">
      <alignment horizontal="center" vertical="center"/>
    </xf>
    <xf numFmtId="0" fontId="34" fillId="24" borderId="0" xfId="0" applyFont="1" applyFill="1" applyAlignment="1">
      <alignment horizontal="center"/>
    </xf>
    <xf numFmtId="49" fontId="32" fillId="0" borderId="41" xfId="0" applyNumberFormat="1" applyFont="1" applyBorder="1" applyAlignment="1">
      <alignment horizontal="center" vertical="center"/>
    </xf>
    <xf numFmtId="49" fontId="32" fillId="0" borderId="18" xfId="0" applyNumberFormat="1" applyFont="1" applyBorder="1" applyAlignment="1">
      <alignment horizontal="center" vertical="center"/>
    </xf>
    <xf numFmtId="0" fontId="32" fillId="0" borderId="41" xfId="0" quotePrefix="1" applyFont="1" applyBorder="1" applyAlignment="1">
      <alignment horizontal="center" vertical="center"/>
    </xf>
    <xf numFmtId="0" fontId="32" fillId="0" borderId="18" xfId="0" applyFont="1" applyBorder="1" applyAlignment="1">
      <alignment horizontal="center" vertical="center"/>
    </xf>
    <xf numFmtId="0" fontId="32" fillId="24" borderId="18" xfId="0" applyFont="1" applyFill="1" applyBorder="1" applyAlignment="1">
      <alignment horizontal="center" vertical="center"/>
    </xf>
    <xf numFmtId="49" fontId="32" fillId="0" borderId="41" xfId="0" quotePrefix="1" applyNumberFormat="1" applyFont="1" applyBorder="1" applyAlignment="1">
      <alignment horizontal="center" vertical="center"/>
    </xf>
    <xf numFmtId="0" fontId="30" fillId="0" borderId="28" xfId="0" applyFont="1" applyBorder="1" applyAlignment="1">
      <alignment horizontal="center" vertical="center"/>
    </xf>
    <xf numFmtId="0" fontId="30" fillId="0" borderId="11" xfId="0" applyFont="1" applyBorder="1" applyAlignment="1">
      <alignment horizontal="center" vertical="center"/>
    </xf>
    <xf numFmtId="0" fontId="31" fillId="24" borderId="108" xfId="0" applyFont="1" applyFill="1" applyBorder="1" applyAlignment="1">
      <alignment horizontal="center" vertical="center"/>
    </xf>
    <xf numFmtId="0" fontId="31" fillId="24" borderId="36" xfId="0" applyFont="1" applyFill="1" applyBorder="1" applyAlignment="1">
      <alignment horizontal="center" vertical="center"/>
    </xf>
    <xf numFmtId="0" fontId="31" fillId="24" borderId="10" xfId="0" applyFont="1" applyFill="1" applyBorder="1" applyAlignment="1">
      <alignment horizontal="center" vertical="center" textRotation="90" wrapText="1"/>
    </xf>
    <xf numFmtId="0" fontId="31" fillId="24" borderId="10" xfId="0" applyFont="1" applyFill="1" applyBorder="1" applyAlignment="1">
      <alignment horizontal="center" vertical="center" textRotation="90"/>
    </xf>
    <xf numFmtId="49" fontId="32" fillId="24" borderId="41" xfId="0" applyNumberFormat="1" applyFont="1" applyFill="1" applyBorder="1" applyAlignment="1">
      <alignment horizontal="center" vertical="center"/>
    </xf>
    <xf numFmtId="0" fontId="31" fillId="24" borderId="41" xfId="0" applyFont="1" applyFill="1" applyBorder="1" applyAlignment="1">
      <alignment horizontal="center" vertical="center"/>
    </xf>
    <xf numFmtId="0" fontId="31" fillId="24" borderId="18" xfId="0" applyFont="1" applyFill="1" applyBorder="1" applyAlignment="1">
      <alignment horizontal="center" vertical="center"/>
    </xf>
    <xf numFmtId="0" fontId="31" fillId="0" borderId="19" xfId="0" applyFont="1" applyBorder="1" applyAlignment="1">
      <alignment horizontal="center" vertical="center" wrapText="1"/>
    </xf>
    <xf numFmtId="0" fontId="31" fillId="0" borderId="18" xfId="0" applyFont="1" applyBorder="1" applyAlignment="1">
      <alignment horizontal="center" vertical="center" textRotation="90" wrapText="1"/>
    </xf>
    <xf numFmtId="0" fontId="31" fillId="0" borderId="41" xfId="0" applyFont="1" applyBorder="1" applyAlignment="1">
      <alignment horizontal="center" vertical="center" wrapText="1"/>
    </xf>
    <xf numFmtId="0" fontId="31" fillId="0" borderId="54" xfId="0" applyFont="1" applyBorder="1" applyAlignment="1">
      <alignment horizontal="center" vertical="center" textRotation="90" wrapText="1"/>
    </xf>
    <xf numFmtId="0" fontId="31" fillId="0" borderId="19" xfId="0" applyFont="1" applyBorder="1" applyAlignment="1">
      <alignment horizontal="center" vertical="center" textRotation="90" wrapText="1"/>
    </xf>
    <xf numFmtId="0" fontId="31" fillId="0" borderId="15" xfId="0" applyFont="1" applyBorder="1" applyAlignment="1">
      <alignment horizontal="center" vertical="center" textRotation="90" wrapText="1"/>
    </xf>
    <xf numFmtId="0" fontId="31" fillId="0" borderId="30" xfId="0" applyFont="1" applyBorder="1" applyAlignment="1">
      <alignment horizontal="center" vertical="center" textRotation="90" wrapText="1"/>
    </xf>
    <xf numFmtId="0" fontId="31" fillId="0" borderId="28"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49" fillId="27" borderId="0" xfId="0" applyFont="1" applyFill="1" applyAlignment="1">
      <alignment horizontal="center" vertical="center"/>
    </xf>
    <xf numFmtId="0" fontId="31" fillId="0" borderId="107"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35" xfId="0" applyFont="1" applyBorder="1" applyAlignment="1">
      <alignment horizontal="center" vertical="center" wrapText="1"/>
    </xf>
    <xf numFmtId="0" fontId="32" fillId="0" borderId="54" xfId="0" applyFont="1" applyBorder="1" applyAlignment="1">
      <alignment horizontal="center" vertical="center"/>
    </xf>
    <xf numFmtId="0" fontId="32" fillId="0" borderId="19" xfId="0" applyFont="1" applyBorder="1" applyAlignment="1">
      <alignment horizontal="center" vertical="center"/>
    </xf>
    <xf numFmtId="0" fontId="31" fillId="0" borderId="54" xfId="0" applyFont="1" applyBorder="1" applyAlignment="1">
      <alignment horizontal="center" vertical="center" wrapText="1"/>
    </xf>
    <xf numFmtId="0" fontId="31" fillId="0" borderId="18" xfId="0" applyFont="1" applyBorder="1" applyAlignment="1">
      <alignment horizontal="center" vertical="center" wrapText="1"/>
    </xf>
    <xf numFmtId="0" fontId="31" fillId="27" borderId="14" xfId="0" applyFont="1" applyFill="1" applyBorder="1" applyAlignment="1">
      <alignment horizontal="center" vertical="center" textRotation="90" wrapText="1"/>
    </xf>
    <xf numFmtId="0" fontId="31" fillId="27" borderId="17" xfId="0" applyFont="1" applyFill="1" applyBorder="1" applyAlignment="1">
      <alignment horizontal="center" vertical="center" textRotation="90" wrapText="1"/>
    </xf>
    <xf numFmtId="0" fontId="31" fillId="27" borderId="14" xfId="0" applyFont="1" applyFill="1" applyBorder="1" applyAlignment="1">
      <alignment horizontal="center" vertical="center" wrapText="1"/>
    </xf>
    <xf numFmtId="0" fontId="31" fillId="27" borderId="17" xfId="0" applyFont="1" applyFill="1" applyBorder="1" applyAlignment="1">
      <alignment horizontal="center" vertical="center" wrapText="1"/>
    </xf>
    <xf numFmtId="0" fontId="32" fillId="0" borderId="41" xfId="0" applyFont="1" applyBorder="1" applyAlignment="1">
      <alignment horizontal="left" vertical="center"/>
    </xf>
    <xf numFmtId="0" fontId="32" fillId="0" borderId="18" xfId="0" applyFont="1" applyBorder="1" applyAlignment="1">
      <alignment horizontal="left" vertical="center"/>
    </xf>
    <xf numFmtId="0" fontId="31" fillId="0" borderId="62"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108" xfId="0" applyFont="1" applyBorder="1" applyAlignment="1">
      <alignment horizontal="center"/>
    </xf>
    <xf numFmtId="0" fontId="31" fillId="0" borderId="25" xfId="0" applyFont="1" applyBorder="1" applyAlignment="1">
      <alignment horizontal="center"/>
    </xf>
    <xf numFmtId="0" fontId="31" fillId="0" borderId="36" xfId="0" applyFont="1" applyBorder="1" applyAlignment="1">
      <alignment horizontal="center"/>
    </xf>
    <xf numFmtId="0" fontId="31" fillId="27" borderId="26" xfId="0" applyFont="1" applyFill="1" applyBorder="1" applyAlignment="1">
      <alignment horizontal="center" vertical="center" wrapText="1"/>
    </xf>
    <xf numFmtId="0" fontId="31" fillId="27" borderId="48" xfId="0" applyFont="1" applyFill="1" applyBorder="1" applyAlignment="1">
      <alignment horizontal="center" vertical="center" wrapText="1"/>
    </xf>
    <xf numFmtId="0" fontId="31" fillId="27" borderId="37" xfId="0" applyFont="1" applyFill="1" applyBorder="1" applyAlignment="1">
      <alignment horizontal="center" vertical="center" textRotation="90" wrapText="1"/>
    </xf>
    <xf numFmtId="0" fontId="31" fillId="27" borderId="12" xfId="0" applyFont="1" applyFill="1" applyBorder="1" applyAlignment="1">
      <alignment horizontal="center" vertical="center" textRotation="90" wrapText="1"/>
    </xf>
    <xf numFmtId="0" fontId="32" fillId="27" borderId="23" xfId="0" applyFont="1" applyFill="1" applyBorder="1" applyAlignment="1">
      <alignment horizontal="center" vertical="center"/>
    </xf>
    <xf numFmtId="0" fontId="32" fillId="27" borderId="24" xfId="0" applyFont="1" applyFill="1" applyBorder="1" applyAlignment="1">
      <alignment horizontal="center" vertical="center"/>
    </xf>
    <xf numFmtId="0" fontId="31" fillId="27" borderId="68" xfId="0" applyFont="1" applyFill="1" applyBorder="1" applyAlignment="1">
      <alignment horizontal="center" vertical="center" wrapText="1"/>
    </xf>
    <xf numFmtId="0" fontId="31" fillId="27" borderId="51" xfId="0" applyFont="1" applyFill="1" applyBorder="1" applyAlignment="1">
      <alignment horizontal="center" vertical="center" wrapText="1"/>
    </xf>
    <xf numFmtId="0" fontId="31" fillId="27" borderId="31" xfId="0" applyFont="1" applyFill="1" applyBorder="1" applyAlignment="1">
      <alignment horizontal="center" vertical="center" wrapText="1"/>
    </xf>
    <xf numFmtId="0" fontId="31" fillId="27" borderId="1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30" xfId="0" applyFont="1" applyFill="1" applyBorder="1" applyAlignment="1">
      <alignment horizontal="center" vertical="center" wrapText="1"/>
    </xf>
    <xf numFmtId="0" fontId="31" fillId="0" borderId="16" xfId="0" applyFont="1" applyBorder="1" applyAlignment="1">
      <alignment horizontal="center" vertical="center" wrapText="1"/>
    </xf>
    <xf numFmtId="0" fontId="31" fillId="0" borderId="47" xfId="0" applyFont="1" applyBorder="1" applyAlignment="1">
      <alignment horizontal="center" vertical="center" wrapText="1"/>
    </xf>
    <xf numFmtId="0" fontId="31" fillId="0" borderId="38" xfId="0" applyFont="1" applyBorder="1" applyAlignment="1">
      <alignment horizontal="center" vertical="center" wrapText="1"/>
    </xf>
    <xf numFmtId="0" fontId="32" fillId="24" borderId="29" xfId="0" applyFont="1" applyFill="1" applyBorder="1" applyAlignment="1">
      <alignment horizontal="center" vertical="center" wrapText="1"/>
    </xf>
    <xf numFmtId="0" fontId="32" fillId="24" borderId="23" xfId="0" applyFont="1" applyFill="1" applyBorder="1" applyAlignment="1">
      <alignment horizontal="center" vertical="center" wrapText="1"/>
    </xf>
    <xf numFmtId="0" fontId="32" fillId="24" borderId="24" xfId="0" applyFont="1" applyFill="1" applyBorder="1" applyAlignment="1">
      <alignment horizontal="center" vertical="center" wrapText="1"/>
    </xf>
    <xf numFmtId="0" fontId="31" fillId="24" borderId="62" xfId="0" applyFont="1" applyFill="1" applyBorder="1" applyAlignment="1">
      <alignment horizontal="center" vertical="center" wrapText="1"/>
    </xf>
    <xf numFmtId="0" fontId="31" fillId="24" borderId="66" xfId="0" applyFont="1" applyFill="1" applyBorder="1" applyAlignment="1">
      <alignment horizontal="center" vertical="center" wrapText="1"/>
    </xf>
    <xf numFmtId="0" fontId="31" fillId="24" borderId="14" xfId="0" applyFont="1" applyFill="1" applyBorder="1" applyAlignment="1">
      <alignment horizontal="center" vertical="center" wrapText="1"/>
    </xf>
    <xf numFmtId="0" fontId="31" fillId="24" borderId="17" xfId="0" applyFont="1" applyFill="1" applyBorder="1" applyAlignment="1">
      <alignment horizontal="center" vertical="center" wrapText="1"/>
    </xf>
    <xf numFmtId="0" fontId="31" fillId="24" borderId="37" xfId="0" applyFont="1" applyFill="1" applyBorder="1" applyAlignment="1">
      <alignment horizontal="center" vertical="center" wrapText="1"/>
    </xf>
    <xf numFmtId="0" fontId="31" fillId="24" borderId="12" xfId="0" applyFont="1" applyFill="1" applyBorder="1" applyAlignment="1">
      <alignment horizontal="center" vertical="center" wrapText="1"/>
    </xf>
    <xf numFmtId="0" fontId="32" fillId="24" borderId="107" xfId="0" applyFont="1" applyFill="1" applyBorder="1" applyAlignment="1">
      <alignment horizontal="center" vertical="center"/>
    </xf>
    <xf numFmtId="0" fontId="32" fillId="24" borderId="28" xfId="0" applyFont="1" applyFill="1" applyBorder="1" applyAlignment="1">
      <alignment horizontal="center" vertical="center"/>
    </xf>
    <xf numFmtId="0" fontId="31" fillId="24" borderId="23" xfId="0" applyFont="1" applyFill="1" applyBorder="1" applyAlignment="1">
      <alignment horizontal="center" vertical="center"/>
    </xf>
    <xf numFmtId="0" fontId="31" fillId="24" borderId="24" xfId="0" applyFont="1" applyFill="1" applyBorder="1" applyAlignment="1">
      <alignment horizontal="center" vertical="center"/>
    </xf>
    <xf numFmtId="0" fontId="30" fillId="24" borderId="41" xfId="0" applyFont="1" applyFill="1" applyBorder="1" applyAlignment="1">
      <alignment horizontal="center" vertical="center"/>
    </xf>
    <xf numFmtId="0" fontId="30" fillId="24" borderId="18" xfId="0" applyFont="1" applyFill="1" applyBorder="1" applyAlignment="1">
      <alignment horizontal="center" vertical="center"/>
    </xf>
    <xf numFmtId="0" fontId="31" fillId="27" borderId="0" xfId="0" applyFont="1" applyFill="1" applyAlignment="1">
      <alignment horizontal="center"/>
    </xf>
    <xf numFmtId="0" fontId="32" fillId="0" borderId="41" xfId="0" applyFont="1" applyBorder="1" applyAlignment="1">
      <alignment horizontal="center" vertical="center"/>
    </xf>
    <xf numFmtId="0" fontId="31" fillId="0" borderId="108" xfId="0" applyFont="1" applyBorder="1" applyAlignment="1">
      <alignment horizontal="center" vertical="center" wrapText="1"/>
    </xf>
    <xf numFmtId="0" fontId="31" fillId="0" borderId="10" xfId="0" applyFont="1" applyBorder="1" applyAlignment="1">
      <alignment horizontal="center" vertical="center" textRotation="90" wrapText="1"/>
    </xf>
    <xf numFmtId="0" fontId="31" fillId="0" borderId="62" xfId="0" applyFont="1" applyBorder="1" applyAlignment="1">
      <alignment horizontal="center" vertical="center"/>
    </xf>
    <xf numFmtId="0" fontId="31" fillId="0" borderId="66" xfId="0" applyFont="1" applyBorder="1" applyAlignment="1">
      <alignment horizontal="center" vertical="center"/>
    </xf>
    <xf numFmtId="0" fontId="31" fillId="0" borderId="10" xfId="0" applyFont="1" applyBorder="1" applyAlignment="1">
      <alignment horizontal="center" vertical="center" wrapText="1"/>
    </xf>
    <xf numFmtId="0" fontId="31" fillId="0" borderId="35" xfId="0" applyFont="1" applyBorder="1" applyAlignment="1">
      <alignment horizontal="center"/>
    </xf>
    <xf numFmtId="0" fontId="31" fillId="0" borderId="11" xfId="0" applyFont="1" applyBorder="1" applyAlignment="1">
      <alignment horizontal="center"/>
    </xf>
    <xf numFmtId="0" fontId="30" fillId="0" borderId="41" xfId="0" applyFont="1" applyBorder="1" applyAlignment="1">
      <alignment horizontal="center" vertical="center"/>
    </xf>
    <xf numFmtId="0" fontId="30" fillId="0" borderId="18" xfId="0" applyFont="1" applyBorder="1" applyAlignment="1">
      <alignment horizontal="center" vertical="center"/>
    </xf>
    <xf numFmtId="0" fontId="30" fillId="27" borderId="0" xfId="0" applyFont="1" applyFill="1" applyAlignment="1">
      <alignment horizontal="center" vertical="center"/>
    </xf>
    <xf numFmtId="0" fontId="31" fillId="27" borderId="0" xfId="0" applyFont="1" applyFill="1" applyAlignment="1">
      <alignment horizontal="center" vertical="center"/>
    </xf>
    <xf numFmtId="0" fontId="31" fillId="0" borderId="62" xfId="0" applyFont="1" applyBorder="1" applyAlignment="1">
      <alignment horizontal="center" vertical="center" textRotation="90" wrapText="1"/>
    </xf>
    <xf numFmtId="0" fontId="31" fillId="0" borderId="87" xfId="0" applyFont="1" applyBorder="1" applyAlignment="1">
      <alignment horizontal="center" vertical="center" textRotation="90" wrapText="1"/>
    </xf>
    <xf numFmtId="0" fontId="31" fillId="0" borderId="66" xfId="0" applyFont="1" applyBorder="1" applyAlignment="1">
      <alignment horizontal="center" vertical="center" textRotation="90" wrapText="1"/>
    </xf>
    <xf numFmtId="0" fontId="31" fillId="0" borderId="36"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0" fontId="58" fillId="0" borderId="41" xfId="63" applyFont="1" applyBorder="1" applyAlignment="1">
      <alignment horizontal="center" wrapText="1"/>
    </xf>
    <xf numFmtId="0" fontId="58" fillId="0" borderId="18" xfId="63" applyFont="1" applyBorder="1" applyAlignment="1">
      <alignment horizontal="center" wrapText="1"/>
    </xf>
    <xf numFmtId="5" fontId="27" fillId="0" borderId="14" xfId="63" applyNumberFormat="1" applyFont="1" applyBorder="1" applyAlignment="1">
      <alignment horizontal="center" vertical="center" wrapText="1"/>
    </xf>
    <xf numFmtId="0" fontId="31" fillId="0" borderId="20" xfId="0" applyFont="1" applyBorder="1" applyAlignment="1">
      <alignment horizontal="center"/>
    </xf>
    <xf numFmtId="0" fontId="49" fillId="27" borderId="0" xfId="0" applyFont="1" applyFill="1" applyAlignment="1">
      <alignment horizontal="center"/>
    </xf>
    <xf numFmtId="0" fontId="35" fillId="33" borderId="41" xfId="0" applyFont="1" applyFill="1" applyBorder="1" applyAlignment="1">
      <alignment horizontal="center"/>
    </xf>
    <xf numFmtId="0" fontId="35" fillId="33" borderId="18" xfId="0" applyFont="1" applyFill="1" applyBorder="1" applyAlignment="1">
      <alignment horizontal="center"/>
    </xf>
    <xf numFmtId="5" fontId="43" fillId="0" borderId="20" xfId="92" applyNumberFormat="1" applyFont="1" applyBorder="1" applyAlignment="1">
      <alignment horizontal="left"/>
    </xf>
    <xf numFmtId="5" fontId="43" fillId="0" borderId="20" xfId="81" applyNumberFormat="1" applyFont="1" applyFill="1" applyBorder="1" applyAlignment="1">
      <alignment horizontal="left"/>
    </xf>
    <xf numFmtId="169" fontId="27" fillId="0" borderId="20" xfId="81" applyNumberFormat="1" applyFont="1" applyFill="1" applyBorder="1" applyAlignment="1">
      <alignment horizontal="left"/>
    </xf>
    <xf numFmtId="0" fontId="28" fillId="0" borderId="41" xfId="92" applyFont="1" applyBorder="1" applyAlignment="1">
      <alignment horizontal="center"/>
    </xf>
    <xf numFmtId="0" fontId="28" fillId="0" borderId="18" xfId="92" applyFont="1" applyBorder="1" applyAlignment="1">
      <alignment horizontal="center"/>
    </xf>
    <xf numFmtId="0" fontId="28" fillId="0" borderId="29" xfId="63" applyFont="1" applyBorder="1" applyAlignment="1">
      <alignment horizontal="center"/>
    </xf>
    <xf numFmtId="0" fontId="28" fillId="0" borderId="23" xfId="63" applyFont="1" applyBorder="1" applyAlignment="1">
      <alignment horizontal="center"/>
    </xf>
    <xf numFmtId="169" fontId="28" fillId="0" borderId="23" xfId="81" applyNumberFormat="1" applyFont="1" applyBorder="1" applyAlignment="1"/>
    <xf numFmtId="0" fontId="31" fillId="0" borderId="17" xfId="0" applyFont="1" applyBorder="1" applyAlignment="1">
      <alignment horizontal="center"/>
    </xf>
    <xf numFmtId="0" fontId="28" fillId="0" borderId="41" xfId="63" applyFont="1" applyBorder="1" applyAlignment="1">
      <alignment horizontal="center"/>
    </xf>
    <xf numFmtId="0" fontId="28" fillId="0" borderId="18" xfId="63" applyFont="1" applyBorder="1" applyAlignment="1">
      <alignment horizontal="center"/>
    </xf>
    <xf numFmtId="169" fontId="28" fillId="0" borderId="18" xfId="81" applyNumberFormat="1" applyFont="1" applyBorder="1" applyAlignment="1"/>
    <xf numFmtId="167" fontId="32" fillId="24" borderId="85" xfId="41" applyNumberFormat="1" applyFont="1" applyFill="1" applyBorder="1" applyAlignment="1">
      <alignment horizontal="center" vertical="center"/>
    </xf>
    <xf numFmtId="167" fontId="32" fillId="24" borderId="23" xfId="41" applyNumberFormat="1" applyFont="1" applyFill="1" applyBorder="1" applyAlignment="1">
      <alignment horizontal="center" vertical="center"/>
    </xf>
    <xf numFmtId="167" fontId="32" fillId="27" borderId="10" xfId="41" applyNumberFormat="1" applyFont="1" applyFill="1" applyBorder="1" applyAlignment="1">
      <alignment horizontal="center" vertical="center"/>
    </xf>
    <xf numFmtId="0" fontId="31" fillId="27" borderId="67" xfId="0" applyFont="1" applyFill="1" applyBorder="1" applyAlignment="1">
      <alignment horizontal="center" vertical="center" wrapText="1"/>
    </xf>
    <xf numFmtId="0" fontId="31" fillId="27" borderId="82" xfId="0" applyFont="1" applyFill="1" applyBorder="1" applyAlignment="1">
      <alignment horizontal="center" vertical="center" wrapText="1"/>
    </xf>
    <xf numFmtId="0" fontId="31" fillId="27" borderId="65" xfId="0" applyFont="1" applyFill="1" applyBorder="1" applyAlignment="1">
      <alignment horizontal="center" vertical="center" wrapText="1"/>
    </xf>
    <xf numFmtId="0" fontId="31" fillId="27" borderId="62" xfId="0" applyFont="1" applyFill="1" applyBorder="1" applyAlignment="1">
      <alignment horizontal="center" vertical="center" textRotation="90" wrapText="1"/>
    </xf>
    <xf numFmtId="0" fontId="31" fillId="27" borderId="87" xfId="0" applyFont="1" applyFill="1" applyBorder="1" applyAlignment="1">
      <alignment horizontal="center" vertical="center" textRotation="90" wrapText="1"/>
    </xf>
    <xf numFmtId="0" fontId="31" fillId="27" borderId="66" xfId="0" applyFont="1" applyFill="1" applyBorder="1" applyAlignment="1">
      <alignment horizontal="center" vertical="center" textRotation="90" wrapText="1"/>
    </xf>
    <xf numFmtId="0" fontId="31" fillId="27" borderId="62" xfId="0" applyFont="1" applyFill="1" applyBorder="1" applyAlignment="1">
      <alignment horizontal="center" vertical="center" wrapText="1"/>
    </xf>
    <xf numFmtId="0" fontId="31" fillId="27" borderId="87" xfId="0" applyFont="1" applyFill="1" applyBorder="1" applyAlignment="1">
      <alignment horizontal="center" vertical="center" wrapText="1"/>
    </xf>
    <xf numFmtId="0" fontId="31" fillId="27" borderId="66" xfId="0" applyFont="1" applyFill="1" applyBorder="1" applyAlignment="1">
      <alignment horizontal="center" vertical="center" wrapText="1"/>
    </xf>
    <xf numFmtId="167" fontId="31" fillId="27" borderId="15" xfId="49" applyNumberFormat="1" applyFont="1" applyFill="1" applyBorder="1" applyAlignment="1">
      <alignment horizontal="center" vertical="center" wrapText="1"/>
    </xf>
    <xf numFmtId="167" fontId="31" fillId="27" borderId="46" xfId="49" applyNumberFormat="1" applyFont="1" applyFill="1" applyBorder="1" applyAlignment="1">
      <alignment horizontal="center" vertical="center" wrapText="1"/>
    </xf>
    <xf numFmtId="167" fontId="31" fillId="27" borderId="30" xfId="49" applyNumberFormat="1" applyFont="1" applyFill="1" applyBorder="1" applyAlignment="1">
      <alignment horizontal="center" vertical="center" wrapText="1"/>
    </xf>
    <xf numFmtId="0" fontId="32" fillId="24" borderId="10" xfId="0" applyFont="1" applyFill="1" applyBorder="1" applyAlignment="1">
      <alignment horizontal="center" vertical="center" wrapText="1"/>
    </xf>
    <xf numFmtId="0" fontId="32" fillId="27" borderId="41" xfId="0" applyFont="1" applyFill="1" applyBorder="1" applyAlignment="1">
      <alignment horizontal="center" vertical="center" wrapText="1"/>
    </xf>
    <xf numFmtId="0" fontId="32" fillId="27" borderId="18" xfId="0" applyFont="1" applyFill="1" applyBorder="1" applyAlignment="1">
      <alignment horizontal="center" vertical="center" wrapText="1"/>
    </xf>
    <xf numFmtId="0" fontId="32" fillId="27" borderId="41" xfId="0" applyFont="1" applyFill="1" applyBorder="1" applyAlignment="1">
      <alignment horizontal="center" vertical="center"/>
    </xf>
    <xf numFmtId="0" fontId="31" fillId="27" borderId="11" xfId="0" applyFont="1" applyFill="1" applyBorder="1" applyAlignment="1">
      <alignment horizontal="center"/>
    </xf>
    <xf numFmtId="167" fontId="31" fillId="27" borderId="49" xfId="49" applyNumberFormat="1" applyFont="1" applyFill="1" applyBorder="1" applyAlignment="1">
      <alignment horizontal="center" vertical="center" wrapText="1"/>
    </xf>
    <xf numFmtId="167" fontId="31" fillId="27" borderId="45" xfId="49" applyNumberFormat="1" applyFont="1" applyFill="1" applyBorder="1" applyAlignment="1">
      <alignment horizontal="center" vertical="center" wrapText="1"/>
    </xf>
    <xf numFmtId="167" fontId="31" fillId="27" borderId="50" xfId="49" applyNumberFormat="1" applyFont="1" applyFill="1" applyBorder="1" applyAlignment="1">
      <alignment horizontal="center" vertical="center" wrapText="1"/>
    </xf>
    <xf numFmtId="0" fontId="35" fillId="0" borderId="11" xfId="0" applyFont="1" applyBorder="1" applyAlignment="1">
      <alignment horizontal="center" vertical="center"/>
    </xf>
    <xf numFmtId="0" fontId="44" fillId="0" borderId="10" xfId="0" applyFont="1" applyBorder="1" applyAlignment="1">
      <alignment horizontal="center" wrapText="1"/>
    </xf>
    <xf numFmtId="0" fontId="55" fillId="24" borderId="56" xfId="67" applyFont="1" applyFill="1" applyBorder="1" applyAlignment="1">
      <alignment horizontal="center" vertical="center"/>
    </xf>
    <xf numFmtId="0" fontId="55" fillId="24" borderId="123" xfId="67" applyFont="1" applyFill="1" applyBorder="1" applyAlignment="1">
      <alignment horizontal="center" vertical="center"/>
    </xf>
    <xf numFmtId="0" fontId="55" fillId="24" borderId="105" xfId="67" applyFont="1" applyFill="1" applyBorder="1" applyAlignment="1">
      <alignment horizontal="center" vertical="center"/>
    </xf>
    <xf numFmtId="0" fontId="32" fillId="24" borderId="0" xfId="0" applyFont="1" applyFill="1" applyAlignment="1">
      <alignment horizontal="center" wrapText="1"/>
    </xf>
    <xf numFmtId="0" fontId="54" fillId="24" borderId="123" xfId="67" applyFont="1" applyFill="1" applyBorder="1" applyAlignment="1">
      <alignment horizontal="center" vertical="center"/>
    </xf>
    <xf numFmtId="0" fontId="54" fillId="24" borderId="105" xfId="67" applyFont="1" applyFill="1" applyBorder="1" applyAlignment="1">
      <alignment horizontal="center" vertical="center"/>
    </xf>
    <xf numFmtId="0" fontId="54" fillId="24" borderId="124" xfId="67" applyFont="1" applyFill="1" applyBorder="1" applyAlignment="1">
      <alignment horizontal="left" vertical="center"/>
    </xf>
    <xf numFmtId="0" fontId="54" fillId="24" borderId="125" xfId="67" applyFont="1" applyFill="1" applyBorder="1" applyAlignment="1">
      <alignment horizontal="left" vertical="center"/>
    </xf>
    <xf numFmtId="0" fontId="54" fillId="24" borderId="126" xfId="67" applyFont="1" applyFill="1" applyBorder="1" applyAlignment="1">
      <alignment horizontal="left" vertical="center"/>
    </xf>
    <xf numFmtId="0" fontId="54" fillId="24" borderId="98" xfId="67" applyFont="1" applyFill="1" applyBorder="1" applyAlignment="1">
      <alignment horizontal="left" vertical="center"/>
    </xf>
    <xf numFmtId="0" fontId="54" fillId="24" borderId="99" xfId="67" applyFont="1" applyFill="1" applyBorder="1" applyAlignment="1">
      <alignment horizontal="left" vertical="center"/>
    </xf>
    <xf numFmtId="0" fontId="54" fillId="24" borderId="101" xfId="67" applyFont="1" applyFill="1" applyBorder="1" applyAlignment="1">
      <alignment horizontal="left" vertical="center"/>
    </xf>
    <xf numFmtId="0" fontId="54" fillId="24" borderId="127" xfId="67" applyFont="1" applyFill="1" applyBorder="1" applyAlignment="1">
      <alignment horizontal="left" vertical="center"/>
    </xf>
    <xf numFmtId="0" fontId="54" fillId="24" borderId="128" xfId="67" applyFont="1" applyFill="1" applyBorder="1" applyAlignment="1">
      <alignment horizontal="left" vertical="center"/>
    </xf>
    <xf numFmtId="0" fontId="54" fillId="24" borderId="129" xfId="67" applyFont="1" applyFill="1" applyBorder="1" applyAlignment="1">
      <alignment horizontal="left" vertical="center"/>
    </xf>
    <xf numFmtId="0" fontId="54" fillId="24" borderId="10" xfId="67" applyFont="1" applyFill="1" applyBorder="1" applyAlignment="1">
      <alignment horizontal="center" vertical="center"/>
    </xf>
    <xf numFmtId="0" fontId="54" fillId="24" borderId="86" xfId="67" applyFont="1" applyFill="1" applyBorder="1" applyAlignment="1">
      <alignment horizontal="left" vertical="center"/>
    </xf>
    <xf numFmtId="0" fontId="54" fillId="24" borderId="14" xfId="67" applyFont="1" applyFill="1" applyBorder="1" applyAlignment="1">
      <alignment horizontal="left" vertical="center"/>
    </xf>
    <xf numFmtId="0" fontId="54" fillId="24" borderId="37" xfId="67" applyFont="1" applyFill="1" applyBorder="1" applyAlignment="1">
      <alignment horizontal="left" vertical="center"/>
    </xf>
    <xf numFmtId="0" fontId="54" fillId="24" borderId="64" xfId="67" applyFont="1" applyFill="1" applyBorder="1" applyAlignment="1">
      <alignment horizontal="left" vertical="center"/>
    </xf>
    <xf numFmtId="0" fontId="54" fillId="24" borderId="20" xfId="67" applyFont="1" applyFill="1" applyBorder="1" applyAlignment="1">
      <alignment horizontal="left" vertical="center"/>
    </xf>
    <xf numFmtId="0" fontId="54" fillId="24" borderId="34" xfId="67" applyFont="1" applyFill="1" applyBorder="1" applyAlignment="1">
      <alignment horizontal="left" vertical="center"/>
    </xf>
    <xf numFmtId="0" fontId="54" fillId="24" borderId="63" xfId="67" applyFont="1" applyFill="1" applyBorder="1" applyAlignment="1">
      <alignment horizontal="left" vertical="center" wrapText="1"/>
    </xf>
    <xf numFmtId="0" fontId="32" fillId="24" borderId="10" xfId="75" applyFont="1" applyFill="1" applyBorder="1" applyAlignment="1">
      <alignment horizontal="center" vertical="center"/>
    </xf>
    <xf numFmtId="0" fontId="54" fillId="24" borderId="122" xfId="67" applyFont="1" applyFill="1" applyBorder="1" applyAlignment="1">
      <alignment horizontal="left" vertical="center"/>
    </xf>
    <xf numFmtId="0" fontId="54" fillId="24" borderId="17" xfId="67" applyFont="1" applyFill="1" applyBorder="1" applyAlignment="1">
      <alignment horizontal="left" vertical="center"/>
    </xf>
    <xf numFmtId="0" fontId="54" fillId="24" borderId="12" xfId="67" applyFont="1" applyFill="1" applyBorder="1" applyAlignment="1">
      <alignment horizontal="left" vertical="center"/>
    </xf>
    <xf numFmtId="0" fontId="55" fillId="24" borderId="29" xfId="67" applyFont="1" applyFill="1" applyBorder="1" applyAlignment="1">
      <alignment horizontal="center" vertical="center"/>
    </xf>
    <xf numFmtId="0" fontId="55" fillId="24" borderId="23" xfId="67" applyFont="1" applyFill="1" applyBorder="1" applyAlignment="1">
      <alignment horizontal="center" vertical="center"/>
    </xf>
    <xf numFmtId="0" fontId="55" fillId="24" borderId="24" xfId="67" applyFont="1" applyFill="1" applyBorder="1" applyAlignment="1">
      <alignment horizontal="center" vertical="center"/>
    </xf>
    <xf numFmtId="0" fontId="55" fillId="24" borderId="0" xfId="67" applyFont="1" applyFill="1" applyAlignment="1">
      <alignment horizontal="left"/>
    </xf>
    <xf numFmtId="0" fontId="54" fillId="24" borderId="143" xfId="67" applyFont="1" applyFill="1" applyBorder="1" applyAlignment="1">
      <alignment horizontal="center" vertical="center"/>
    </xf>
    <xf numFmtId="0" fontId="54" fillId="24" borderId="144" xfId="67" applyFont="1" applyFill="1" applyBorder="1" applyAlignment="1">
      <alignment horizontal="center" vertical="center"/>
    </xf>
    <xf numFmtId="0" fontId="54" fillId="24" borderId="60" xfId="67" applyFont="1" applyFill="1" applyBorder="1" applyAlignment="1">
      <alignment horizontal="left" vertical="center"/>
    </xf>
    <xf numFmtId="0" fontId="89" fillId="27" borderId="0" xfId="0" applyFont="1" applyFill="1" applyAlignment="1">
      <alignment horizontal="center" vertical="center" wrapText="1"/>
    </xf>
    <xf numFmtId="0" fontId="64" fillId="0" borderId="10" xfId="0" applyFont="1" applyBorder="1" applyAlignment="1">
      <alignment horizontal="center" vertical="center" wrapText="1"/>
    </xf>
    <xf numFmtId="0" fontId="35" fillId="27" borderId="29" xfId="0" applyFont="1" applyFill="1" applyBorder="1" applyAlignment="1">
      <alignment horizontal="center" vertical="center" wrapText="1"/>
    </xf>
    <xf numFmtId="0" fontId="35" fillId="27" borderId="23" xfId="0" applyFont="1" applyFill="1" applyBorder="1" applyAlignment="1">
      <alignment horizontal="center" vertical="center" wrapText="1"/>
    </xf>
    <xf numFmtId="0" fontId="28" fillId="0" borderId="0" xfId="0" applyFont="1" applyAlignment="1">
      <alignment horizontal="right" vertical="center"/>
    </xf>
    <xf numFmtId="0" fontId="28" fillId="0" borderId="0" xfId="0" applyFont="1" applyAlignment="1">
      <alignment horizontal="right" vertical="center" wrapText="1"/>
    </xf>
    <xf numFmtId="0" fontId="89" fillId="24" borderId="0" xfId="0" applyFont="1" applyFill="1" applyAlignment="1">
      <alignment horizontal="center" vertical="center" wrapText="1"/>
    </xf>
    <xf numFmtId="0" fontId="89" fillId="24" borderId="11" xfId="0" applyFont="1" applyFill="1" applyBorder="1" applyAlignment="1">
      <alignment horizontal="center" vertical="center" wrapText="1"/>
    </xf>
    <xf numFmtId="164" fontId="27" fillId="24" borderId="0" xfId="70" applyNumberFormat="1" applyFont="1" applyFill="1" applyAlignment="1">
      <alignment horizontal="center" vertical="center" wrapText="1"/>
    </xf>
    <xf numFmtId="0" fontId="54" fillId="24" borderId="11" xfId="70" applyFont="1" applyFill="1" applyBorder="1" applyAlignment="1">
      <alignment horizontal="left" wrapText="1"/>
    </xf>
    <xf numFmtId="0" fontId="29" fillId="0" borderId="0" xfId="0" applyFont="1" applyAlignment="1">
      <alignment horizontal="left" wrapText="1"/>
    </xf>
    <xf numFmtId="0" fontId="30" fillId="0" borderId="0" xfId="0" applyFont="1" applyAlignment="1">
      <alignment horizontal="left" wrapText="1"/>
    </xf>
    <xf numFmtId="0" fontId="0" fillId="27" borderId="0" xfId="0" applyFill="1" applyAlignment="1">
      <alignment wrapText="1"/>
    </xf>
    <xf numFmtId="173" fontId="32" fillId="27" borderId="130" xfId="0" applyNumberFormat="1" applyFont="1" applyFill="1" applyBorder="1" applyAlignment="1">
      <alignment horizontal="left" vertical="center" wrapText="1" indent="2"/>
    </xf>
    <xf numFmtId="173" fontId="32" fillId="27" borderId="90" xfId="0" applyNumberFormat="1" applyFont="1" applyFill="1" applyBorder="1" applyAlignment="1">
      <alignment horizontal="left" vertical="center" wrapText="1" indent="2"/>
    </xf>
    <xf numFmtId="173" fontId="30" fillId="27" borderId="0" xfId="0" applyNumberFormat="1" applyFont="1" applyFill="1" applyAlignment="1">
      <alignment horizontal="center" vertical="center" wrapText="1"/>
    </xf>
    <xf numFmtId="173" fontId="32" fillId="27" borderId="113" xfId="0" applyNumberFormat="1" applyFont="1" applyFill="1" applyBorder="1" applyAlignment="1">
      <alignment horizontal="center" vertical="center" wrapText="1"/>
    </xf>
    <xf numFmtId="173" fontId="32" fillId="27" borderId="88" xfId="0" applyNumberFormat="1" applyFont="1" applyFill="1" applyBorder="1" applyAlignment="1">
      <alignment horizontal="center" vertical="center" wrapText="1"/>
    </xf>
    <xf numFmtId="173" fontId="32" fillId="27" borderId="114" xfId="0" applyNumberFormat="1" applyFont="1" applyFill="1" applyBorder="1" applyAlignment="1">
      <alignment horizontal="center" vertical="center"/>
    </xf>
    <xf numFmtId="173" fontId="32" fillId="27" borderId="10" xfId="0" applyNumberFormat="1" applyFont="1" applyFill="1" applyBorder="1" applyAlignment="1">
      <alignment horizontal="center" vertical="center"/>
    </xf>
    <xf numFmtId="173" fontId="32" fillId="27" borderId="114" xfId="0" applyNumberFormat="1" applyFont="1" applyFill="1" applyBorder="1" applyAlignment="1">
      <alignment horizontal="center" vertical="center" wrapText="1"/>
    </xf>
    <xf numFmtId="173" fontId="32" fillId="27" borderId="10" xfId="0" applyNumberFormat="1" applyFont="1" applyFill="1" applyBorder="1" applyAlignment="1">
      <alignment horizontal="center" vertical="center" wrapText="1"/>
    </xf>
    <xf numFmtId="173" fontId="32" fillId="27" borderId="116" xfId="0" applyNumberFormat="1" applyFont="1" applyFill="1" applyBorder="1" applyAlignment="1">
      <alignment horizontal="center" vertical="center"/>
    </xf>
    <xf numFmtId="173" fontId="32" fillId="27" borderId="89" xfId="0" applyNumberFormat="1" applyFont="1" applyFill="1" applyBorder="1" applyAlignment="1">
      <alignment horizontal="center" vertical="center"/>
    </xf>
    <xf numFmtId="0" fontId="77" fillId="0" borderId="0" xfId="64" applyFont="1" applyAlignment="1">
      <alignment horizontal="left" wrapText="1"/>
    </xf>
    <xf numFmtId="0" fontId="68" fillId="0" borderId="0" xfId="64" applyFont="1" applyAlignment="1">
      <alignment horizontal="center" wrapText="1"/>
    </xf>
    <xf numFmtId="0" fontId="68" fillId="0" borderId="0" xfId="64" applyFont="1" applyAlignment="1">
      <alignment horizontal="center"/>
    </xf>
    <xf numFmtId="3" fontId="70" fillId="0" borderId="10" xfId="64" applyNumberFormat="1" applyFont="1" applyBorder="1" applyAlignment="1">
      <alignment horizontal="center" vertical="center"/>
    </xf>
    <xf numFmtId="3" fontId="69" fillId="0" borderId="10" xfId="64" applyNumberFormat="1" applyFont="1" applyBorder="1" applyAlignment="1">
      <alignment horizontal="center" vertical="center"/>
    </xf>
    <xf numFmtId="3" fontId="71" fillId="0" borderId="10" xfId="64" applyNumberFormat="1" applyFont="1" applyBorder="1" applyAlignment="1">
      <alignment horizontal="center" vertical="center" wrapText="1"/>
    </xf>
    <xf numFmtId="3" fontId="71" fillId="0" borderId="62" xfId="64" applyNumberFormat="1" applyFont="1" applyBorder="1" applyAlignment="1">
      <alignment horizontal="center" vertical="center"/>
    </xf>
    <xf numFmtId="3" fontId="71" fillId="0" borderId="87" xfId="64" applyNumberFormat="1" applyFont="1" applyBorder="1" applyAlignment="1">
      <alignment horizontal="center" vertical="center"/>
    </xf>
    <xf numFmtId="3" fontId="71" fillId="0" borderId="66" xfId="64" applyNumberFormat="1" applyFont="1" applyBorder="1" applyAlignment="1">
      <alignment horizontal="center" vertical="center"/>
    </xf>
    <xf numFmtId="0" fontId="43" fillId="0" borderId="107" xfId="68" applyFont="1" applyBorder="1" applyAlignment="1">
      <alignment horizontal="center" vertical="center" wrapText="1"/>
    </xf>
    <xf numFmtId="0" fontId="43" fillId="0" borderId="27" xfId="68" applyFont="1" applyBorder="1" applyAlignment="1">
      <alignment horizontal="center" vertical="center" wrapText="1"/>
    </xf>
    <xf numFmtId="0" fontId="44" fillId="0" borderId="11" xfId="68" applyFont="1" applyBorder="1" applyAlignment="1">
      <alignment horizontal="center" vertical="center" wrapText="1"/>
    </xf>
    <xf numFmtId="0" fontId="43" fillId="0" borderId="62" xfId="68" applyFont="1" applyBorder="1" applyAlignment="1">
      <alignment horizontal="center" vertical="center" wrapText="1"/>
    </xf>
    <xf numFmtId="0" fontId="43" fillId="0" borderId="87" xfId="68" applyFont="1" applyBorder="1" applyAlignment="1">
      <alignment horizontal="center" vertical="center" wrapText="1"/>
    </xf>
    <xf numFmtId="0" fontId="43" fillId="0" borderId="66" xfId="68" applyFont="1" applyBorder="1" applyAlignment="1">
      <alignment horizontal="center" vertical="center" wrapText="1"/>
    </xf>
    <xf numFmtId="167" fontId="43" fillId="0" borderId="62" xfId="41" applyNumberFormat="1" applyFont="1" applyBorder="1" applyAlignment="1">
      <alignment horizontal="center" vertical="center" wrapText="1"/>
    </xf>
    <xf numFmtId="167" fontId="43" fillId="0" borderId="87" xfId="41" applyNumberFormat="1" applyFont="1" applyBorder="1" applyAlignment="1">
      <alignment horizontal="center" vertical="center" wrapText="1"/>
    </xf>
    <xf numFmtId="167" fontId="43" fillId="0" borderId="66" xfId="41" applyNumberFormat="1" applyFont="1" applyBorder="1" applyAlignment="1">
      <alignment horizontal="center" vertical="center" wrapText="1"/>
    </xf>
    <xf numFmtId="164" fontId="28" fillId="24" borderId="0" xfId="70" applyNumberFormat="1" applyFont="1" applyFill="1" applyAlignment="1">
      <alignment horizontal="center" vertical="center" wrapText="1"/>
    </xf>
    <xf numFmtId="0" fontId="44" fillId="0" borderId="10" xfId="68" applyFont="1" applyBorder="1" applyAlignment="1">
      <alignment horizontal="center" vertical="center" wrapText="1"/>
    </xf>
    <xf numFmtId="164" fontId="55" fillId="24" borderId="131" xfId="70" applyNumberFormat="1" applyFont="1" applyFill="1" applyBorder="1" applyAlignment="1">
      <alignment vertical="center" wrapText="1"/>
    </xf>
    <xf numFmtId="0" fontId="44" fillId="0" borderId="132" xfId="68" applyFont="1" applyBorder="1" applyAlignment="1">
      <alignment vertical="center" wrapText="1"/>
    </xf>
    <xf numFmtId="0" fontId="44" fillId="0" borderId="133" xfId="68" applyFont="1" applyBorder="1" applyAlignment="1">
      <alignment vertical="center" wrapText="1"/>
    </xf>
    <xf numFmtId="0" fontId="44" fillId="0" borderId="134" xfId="68" applyFont="1" applyBorder="1" applyAlignment="1">
      <alignment vertical="center" wrapText="1"/>
    </xf>
    <xf numFmtId="0" fontId="44" fillId="0" borderId="135" xfId="68" applyFont="1" applyBorder="1" applyAlignment="1">
      <alignment vertical="center" wrapText="1"/>
    </xf>
    <xf numFmtId="0" fontId="44" fillId="0" borderId="136" xfId="68" applyFont="1" applyBorder="1" applyAlignment="1">
      <alignment vertical="center" wrapText="1"/>
    </xf>
    <xf numFmtId="0" fontId="79" fillId="24" borderId="107" xfId="70" applyFont="1" applyFill="1" applyBorder="1" applyAlignment="1">
      <alignment horizontal="center" vertical="center" wrapText="1"/>
    </xf>
    <xf numFmtId="0" fontId="79" fillId="24" borderId="27" xfId="70" applyFont="1" applyFill="1" applyBorder="1" applyAlignment="1">
      <alignment horizontal="center" vertical="center" wrapText="1"/>
    </xf>
    <xf numFmtId="0" fontId="79" fillId="24" borderId="35" xfId="70" applyFont="1" applyFill="1" applyBorder="1" applyAlignment="1">
      <alignment horizontal="center" vertical="center" wrapText="1"/>
    </xf>
    <xf numFmtId="0" fontId="32" fillId="0" borderId="10" xfId="70" applyFont="1" applyBorder="1" applyAlignment="1">
      <alignment horizontal="center" vertical="center" wrapText="1"/>
    </xf>
    <xf numFmtId="0" fontId="50" fillId="0" borderId="0" xfId="0" applyFont="1" applyAlignment="1">
      <alignment horizontal="center"/>
    </xf>
    <xf numFmtId="0" fontId="30" fillId="27" borderId="0" xfId="74" applyFont="1" applyFill="1" applyAlignment="1" applyProtection="1">
      <alignment horizontal="center" wrapText="1"/>
      <protection locked="0"/>
    </xf>
    <xf numFmtId="0" fontId="30" fillId="0" borderId="0" xfId="0" applyFont="1" applyAlignment="1">
      <alignment horizontal="center"/>
    </xf>
    <xf numFmtId="0" fontId="30" fillId="0" borderId="130" xfId="0" applyFont="1" applyBorder="1" applyAlignment="1">
      <alignment horizontal="center" vertical="center" wrapText="1"/>
    </xf>
    <xf numFmtId="0" fontId="30" fillId="0" borderId="90" xfId="0" applyFont="1" applyBorder="1" applyAlignment="1">
      <alignment horizontal="center" vertical="center" wrapText="1"/>
    </xf>
    <xf numFmtId="0" fontId="88" fillId="27" borderId="42" xfId="73" applyFont="1" applyFill="1" applyBorder="1" applyAlignment="1">
      <alignment horizontal="left" vertical="center" wrapText="1"/>
    </xf>
    <xf numFmtId="0" fontId="88" fillId="27" borderId="13" xfId="73" applyFont="1" applyFill="1" applyBorder="1" applyAlignment="1">
      <alignment horizontal="left" vertical="center" wrapText="1"/>
    </xf>
    <xf numFmtId="0" fontId="88" fillId="27" borderId="42" xfId="73" applyFont="1" applyFill="1" applyBorder="1" applyAlignment="1">
      <alignment horizontal="center" vertical="center" wrapText="1"/>
    </xf>
    <xf numFmtId="0" fontId="88" fillId="27" borderId="13" xfId="73" applyFont="1" applyFill="1" applyBorder="1" applyAlignment="1">
      <alignment horizontal="center" vertical="center" wrapText="1"/>
    </xf>
    <xf numFmtId="0" fontId="88" fillId="27" borderId="22" xfId="73" applyFont="1" applyFill="1" applyBorder="1" applyAlignment="1">
      <alignment horizontal="center" vertical="center"/>
    </xf>
    <xf numFmtId="0" fontId="88" fillId="27" borderId="43" xfId="73" applyFont="1" applyFill="1" applyBorder="1" applyAlignment="1">
      <alignment horizontal="center" vertical="center"/>
    </xf>
    <xf numFmtId="0" fontId="88" fillId="27" borderId="42" xfId="73" applyFont="1" applyFill="1" applyBorder="1" applyAlignment="1">
      <alignment horizontal="center" vertical="center"/>
    </xf>
    <xf numFmtId="0" fontId="88" fillId="27" borderId="13" xfId="73" applyFont="1" applyFill="1" applyBorder="1" applyAlignment="1">
      <alignment horizontal="center" vertical="center"/>
    </xf>
    <xf numFmtId="0" fontId="88" fillId="27" borderId="46" xfId="73" applyFont="1" applyFill="1" applyBorder="1" applyAlignment="1">
      <alignment horizontal="left" vertical="center" wrapText="1"/>
    </xf>
    <xf numFmtId="0" fontId="88" fillId="27" borderId="46" xfId="73" applyFont="1" applyFill="1" applyBorder="1" applyAlignment="1">
      <alignment horizontal="center" vertical="center"/>
    </xf>
    <xf numFmtId="0" fontId="88" fillId="27" borderId="45" xfId="73" applyFont="1" applyFill="1" applyBorder="1" applyAlignment="1">
      <alignment horizontal="center" vertical="center"/>
    </xf>
    <xf numFmtId="0" fontId="88" fillId="27" borderId="20" xfId="73" applyFont="1" applyFill="1" applyBorder="1" applyAlignment="1">
      <alignment horizontal="left" vertical="center" wrapText="1"/>
    </xf>
    <xf numFmtId="0" fontId="84" fillId="27" borderId="14" xfId="73" applyFont="1" applyFill="1" applyBorder="1" applyAlignment="1">
      <alignment horizontal="center" vertical="center" textRotation="90" wrapText="1"/>
    </xf>
    <xf numFmtId="0" fontId="84" fillId="27" borderId="17" xfId="73" applyFont="1" applyFill="1" applyBorder="1" applyAlignment="1">
      <alignment horizontal="center" vertical="center" textRotation="90" wrapText="1"/>
    </xf>
    <xf numFmtId="0" fontId="90" fillId="27" borderId="14" xfId="73" applyFont="1" applyFill="1" applyBorder="1" applyAlignment="1">
      <alignment horizontal="center"/>
    </xf>
    <xf numFmtId="0" fontId="90" fillId="27" borderId="83" xfId="73" applyFont="1" applyFill="1" applyBorder="1" applyAlignment="1">
      <alignment horizontal="center"/>
    </xf>
    <xf numFmtId="3" fontId="88" fillId="27" borderId="10" xfId="73" applyNumberFormat="1" applyFont="1" applyFill="1" applyBorder="1" applyAlignment="1">
      <alignment horizontal="center" vertical="center"/>
    </xf>
    <xf numFmtId="0" fontId="91" fillId="27" borderId="29" xfId="73" applyFont="1" applyFill="1" applyBorder="1" applyAlignment="1">
      <alignment horizontal="center"/>
    </xf>
    <xf numFmtId="0" fontId="91" fillId="27" borderId="23" xfId="73" applyFont="1" applyFill="1" applyBorder="1" applyAlignment="1">
      <alignment horizontal="center"/>
    </xf>
    <xf numFmtId="0" fontId="91" fillId="27" borderId="54" xfId="73" applyFont="1" applyFill="1" applyBorder="1" applyAlignment="1">
      <alignment horizontal="center"/>
    </xf>
    <xf numFmtId="0" fontId="84" fillId="27" borderId="26" xfId="73" applyFont="1" applyFill="1" applyBorder="1" applyAlignment="1">
      <alignment horizontal="center" vertical="center" wrapText="1"/>
    </xf>
    <xf numFmtId="0" fontId="84" fillId="27" borderId="48" xfId="73" applyFont="1" applyFill="1" applyBorder="1" applyAlignment="1">
      <alignment horizontal="center" vertical="center" wrapText="1"/>
    </xf>
    <xf numFmtId="0" fontId="88" fillId="27" borderId="46" xfId="73" applyFont="1" applyFill="1" applyBorder="1" applyAlignment="1">
      <alignment horizontal="center" vertical="center" wrapText="1"/>
    </xf>
    <xf numFmtId="0" fontId="84" fillId="27" borderId="14" xfId="73" applyFont="1" applyFill="1" applyBorder="1" applyAlignment="1">
      <alignment horizontal="center" vertical="center" wrapText="1"/>
    </xf>
    <xf numFmtId="0" fontId="84" fillId="27" borderId="17" xfId="73" applyFont="1" applyFill="1" applyBorder="1" applyAlignment="1">
      <alignment horizontal="center" vertical="center" wrapText="1"/>
    </xf>
    <xf numFmtId="0" fontId="28" fillId="27" borderId="0" xfId="73" applyFont="1" applyFill="1" applyAlignment="1">
      <alignment horizontal="center"/>
    </xf>
    <xf numFmtId="0" fontId="90" fillId="27" borderId="86" xfId="73" applyFont="1" applyFill="1" applyBorder="1" applyAlignment="1">
      <alignment horizontal="center"/>
    </xf>
    <xf numFmtId="0" fontId="90" fillId="27" borderId="37" xfId="73" applyFont="1" applyFill="1" applyBorder="1" applyAlignment="1">
      <alignment horizontal="center"/>
    </xf>
    <xf numFmtId="0" fontId="88" fillId="27" borderId="15" xfId="73" applyFont="1" applyFill="1" applyBorder="1" applyAlignment="1">
      <alignment horizontal="center" vertical="center"/>
    </xf>
    <xf numFmtId="0" fontId="88" fillId="27" borderId="49" xfId="73" applyFont="1" applyFill="1" applyBorder="1" applyAlignment="1">
      <alignment horizontal="center" vertical="center"/>
    </xf>
    <xf numFmtId="0" fontId="88" fillId="27" borderId="15" xfId="73" applyFont="1" applyFill="1" applyBorder="1" applyAlignment="1">
      <alignment horizontal="left" vertical="center" wrapText="1"/>
    </xf>
    <xf numFmtId="0" fontId="31" fillId="0" borderId="20" xfId="0" applyFont="1" applyBorder="1" applyAlignment="1">
      <alignment horizontal="left" vertical="center" wrapText="1"/>
    </xf>
    <xf numFmtId="0" fontId="88" fillId="27" borderId="20" xfId="73" applyFont="1" applyFill="1" applyBorder="1" applyAlignment="1">
      <alignment horizontal="center" vertical="center"/>
    </xf>
    <xf numFmtId="0" fontId="88" fillId="27" borderId="21" xfId="73" applyFont="1" applyFill="1" applyBorder="1" applyAlignment="1">
      <alignment horizontal="center" vertical="center"/>
    </xf>
    <xf numFmtId="0" fontId="31" fillId="0" borderId="20" xfId="0" applyFont="1" applyBorder="1" applyAlignment="1">
      <alignment vertical="center" wrapText="1"/>
    </xf>
    <xf numFmtId="0" fontId="88" fillId="27" borderId="20" xfId="73" applyFont="1" applyFill="1" applyBorder="1" applyAlignment="1">
      <alignment horizontal="center" vertical="center" wrapText="1"/>
    </xf>
    <xf numFmtId="0" fontId="91" fillId="27" borderId="41" xfId="73" applyFont="1" applyFill="1" applyBorder="1" applyAlignment="1">
      <alignment horizontal="center"/>
    </xf>
    <xf numFmtId="0" fontId="91" fillId="27" borderId="18" xfId="73" applyFont="1" applyFill="1" applyBorder="1" applyAlignment="1">
      <alignment horizontal="center"/>
    </xf>
    <xf numFmtId="0" fontId="84" fillId="27" borderId="20" xfId="73" applyFont="1" applyFill="1" applyBorder="1" applyAlignment="1">
      <alignment horizontal="center" vertical="center" wrapText="1"/>
    </xf>
    <xf numFmtId="0" fontId="84" fillId="27" borderId="21" xfId="73" applyFont="1" applyFill="1" applyBorder="1" applyAlignment="1">
      <alignment horizontal="center" vertical="center" wrapText="1"/>
    </xf>
    <xf numFmtId="0" fontId="84" fillId="27" borderId="14" xfId="73" applyFont="1" applyFill="1" applyBorder="1" applyAlignment="1">
      <alignment horizontal="left" vertical="center" wrapText="1"/>
    </xf>
    <xf numFmtId="0" fontId="84" fillId="27" borderId="20" xfId="73" applyFont="1" applyFill="1" applyBorder="1" applyAlignment="1">
      <alignment horizontal="left" vertical="center" wrapText="1"/>
    </xf>
    <xf numFmtId="0" fontId="90" fillId="27" borderId="26" xfId="73" applyFont="1" applyFill="1" applyBorder="1" applyAlignment="1">
      <alignment horizontal="center"/>
    </xf>
    <xf numFmtId="0" fontId="54" fillId="27" borderId="20" xfId="73" applyFont="1" applyFill="1" applyBorder="1" applyAlignment="1">
      <alignment horizontal="left" vertical="center" wrapText="1"/>
    </xf>
    <xf numFmtId="0" fontId="88" fillId="27" borderId="14" xfId="73" applyFont="1" applyFill="1" applyBorder="1" applyAlignment="1">
      <alignment horizontal="left" vertical="center" wrapText="1"/>
    </xf>
    <xf numFmtId="0" fontId="88" fillId="27" borderId="14" xfId="73" applyFont="1" applyFill="1" applyBorder="1" applyAlignment="1">
      <alignment horizontal="center" vertical="center"/>
    </xf>
    <xf numFmtId="0" fontId="88" fillId="27" borderId="26" xfId="73" applyFont="1" applyFill="1" applyBorder="1" applyAlignment="1">
      <alignment horizontal="center" vertical="center"/>
    </xf>
    <xf numFmtId="0" fontId="88" fillId="27" borderId="42" xfId="73" applyFont="1" applyFill="1" applyBorder="1" applyAlignment="1">
      <alignment vertical="center" wrapText="1"/>
    </xf>
    <xf numFmtId="0" fontId="88" fillId="27" borderId="13" xfId="73" applyFont="1" applyFill="1" applyBorder="1" applyAlignment="1">
      <alignment vertical="center" wrapText="1"/>
    </xf>
    <xf numFmtId="49" fontId="88" fillId="27" borderId="42" xfId="73" applyNumberFormat="1" applyFont="1" applyFill="1" applyBorder="1" applyAlignment="1">
      <alignment horizontal="center" vertical="center" wrapText="1"/>
    </xf>
    <xf numFmtId="49" fontId="88" fillId="27" borderId="13" xfId="73" applyNumberFormat="1" applyFont="1" applyFill="1" applyBorder="1" applyAlignment="1">
      <alignment horizontal="center" vertical="center" wrapText="1"/>
    </xf>
    <xf numFmtId="49" fontId="88" fillId="27" borderId="46" xfId="73" applyNumberFormat="1" applyFont="1" applyFill="1" applyBorder="1" applyAlignment="1">
      <alignment horizontal="center" vertical="center" wrapText="1"/>
    </xf>
    <xf numFmtId="0" fontId="54" fillId="27" borderId="14" xfId="73" applyFont="1" applyFill="1" applyBorder="1" applyAlignment="1">
      <alignment horizontal="center" vertical="center" textRotation="90" wrapText="1"/>
    </xf>
    <xf numFmtId="0" fontId="54" fillId="27" borderId="17" xfId="73" applyFont="1" applyFill="1" applyBorder="1" applyAlignment="1">
      <alignment horizontal="center" vertical="center" textRotation="90" wrapText="1"/>
    </xf>
    <xf numFmtId="0" fontId="44" fillId="27" borderId="14" xfId="73" applyFont="1" applyFill="1" applyBorder="1" applyAlignment="1">
      <alignment horizontal="center"/>
    </xf>
    <xf numFmtId="0" fontId="44" fillId="27" borderId="86" xfId="73" applyFont="1" applyFill="1" applyBorder="1" applyAlignment="1">
      <alignment horizontal="center"/>
    </xf>
    <xf numFmtId="0" fontId="44" fillId="27" borderId="37" xfId="73" applyFont="1" applyFill="1" applyBorder="1" applyAlignment="1">
      <alignment horizontal="center"/>
    </xf>
    <xf numFmtId="3" fontId="43" fillId="27" borderId="10" xfId="73" applyNumberFormat="1" applyFont="1" applyFill="1" applyBorder="1" applyAlignment="1">
      <alignment horizontal="center" vertical="center"/>
    </xf>
    <xf numFmtId="0" fontId="54" fillId="27" borderId="42" xfId="73" applyFont="1" applyFill="1" applyBorder="1" applyAlignment="1">
      <alignment horizontal="left" vertical="center" wrapText="1"/>
    </xf>
    <xf numFmtId="0" fontId="54" fillId="27" borderId="13" xfId="73" applyFont="1" applyFill="1" applyBorder="1" applyAlignment="1">
      <alignment horizontal="left" vertical="center" wrapText="1"/>
    </xf>
    <xf numFmtId="0" fontId="54" fillId="27" borderId="42" xfId="73" applyFont="1" applyFill="1" applyBorder="1" applyAlignment="1">
      <alignment horizontal="center" vertical="center" wrapText="1"/>
    </xf>
    <xf numFmtId="0" fontId="54" fillId="27" borderId="13" xfId="73" applyFont="1" applyFill="1" applyBorder="1" applyAlignment="1">
      <alignment horizontal="center" vertical="center" wrapText="1"/>
    </xf>
    <xf numFmtId="0" fontId="54" fillId="27" borderId="22" xfId="73" applyFont="1" applyFill="1" applyBorder="1" applyAlignment="1">
      <alignment horizontal="center" vertical="center" wrapText="1"/>
    </xf>
    <xf numFmtId="0" fontId="54" fillId="27" borderId="43" xfId="73" applyFont="1" applyFill="1" applyBorder="1" applyAlignment="1">
      <alignment horizontal="center" vertical="center" wrapText="1"/>
    </xf>
    <xf numFmtId="0" fontId="54" fillId="27" borderId="46" xfId="73" applyFont="1" applyFill="1" applyBorder="1" applyAlignment="1">
      <alignment horizontal="left" vertical="center" wrapText="1"/>
    </xf>
    <xf numFmtId="0" fontId="54" fillId="27" borderId="15" xfId="73" applyFont="1" applyFill="1" applyBorder="1" applyAlignment="1">
      <alignment horizontal="left" vertical="center" wrapText="1"/>
    </xf>
    <xf numFmtId="0" fontId="54" fillId="27" borderId="15" xfId="73" applyFont="1" applyFill="1" applyBorder="1" applyAlignment="1">
      <alignment horizontal="center" vertical="center" wrapText="1"/>
    </xf>
    <xf numFmtId="0" fontId="54" fillId="27" borderId="49" xfId="73" applyFont="1" applyFill="1" applyBorder="1" applyAlignment="1">
      <alignment horizontal="center" vertical="center" wrapText="1"/>
    </xf>
    <xf numFmtId="0" fontId="54" fillId="27" borderId="46" xfId="73" applyFont="1" applyFill="1" applyBorder="1" applyAlignment="1">
      <alignment horizontal="center" vertical="center" wrapText="1"/>
    </xf>
    <xf numFmtId="0" fontId="54" fillId="27" borderId="45" xfId="73" applyFont="1" applyFill="1" applyBorder="1" applyAlignment="1">
      <alignment horizontal="center" vertical="center" wrapText="1"/>
    </xf>
    <xf numFmtId="0" fontId="59" fillId="27" borderId="0" xfId="73" applyFont="1" applyFill="1" applyAlignment="1">
      <alignment horizontal="center"/>
    </xf>
    <xf numFmtId="0" fontId="54" fillId="27" borderId="26" xfId="73" applyFont="1" applyFill="1" applyBorder="1" applyAlignment="1">
      <alignment horizontal="center" vertical="center" wrapText="1"/>
    </xf>
    <xf numFmtId="0" fontId="54" fillId="27" borderId="48" xfId="73" applyFont="1" applyFill="1" applyBorder="1" applyAlignment="1">
      <alignment horizontal="center" vertical="center" wrapText="1"/>
    </xf>
    <xf numFmtId="0" fontId="54" fillId="27" borderId="14" xfId="73" applyFont="1" applyFill="1" applyBorder="1" applyAlignment="1">
      <alignment horizontal="center" vertical="center" wrapText="1"/>
    </xf>
    <xf numFmtId="0" fontId="54" fillId="27" borderId="17" xfId="73" applyFont="1" applyFill="1" applyBorder="1" applyAlignment="1">
      <alignment horizontal="center" vertical="center" wrapText="1"/>
    </xf>
    <xf numFmtId="0" fontId="54" fillId="27" borderId="14" xfId="73" applyFont="1" applyFill="1" applyBorder="1" applyAlignment="1">
      <alignment horizontal="left" vertical="center" wrapText="1"/>
    </xf>
    <xf numFmtId="0" fontId="54" fillId="27" borderId="20" xfId="73" applyFont="1" applyFill="1" applyBorder="1" applyAlignment="1">
      <alignment horizontal="center" vertical="center" wrapText="1"/>
    </xf>
    <xf numFmtId="0" fontId="54" fillId="27" borderId="21" xfId="73" applyFont="1" applyFill="1" applyBorder="1" applyAlignment="1">
      <alignment horizontal="center" vertical="center" wrapText="1"/>
    </xf>
    <xf numFmtId="49" fontId="54" fillId="27" borderId="42" xfId="73" applyNumberFormat="1" applyFont="1" applyFill="1" applyBorder="1" applyAlignment="1">
      <alignment horizontal="center" vertical="center" wrapText="1"/>
    </xf>
    <xf numFmtId="49" fontId="54" fillId="27" borderId="46" xfId="73" applyNumberFormat="1" applyFont="1" applyFill="1" applyBorder="1" applyAlignment="1">
      <alignment horizontal="center" vertical="center" wrapText="1"/>
    </xf>
    <xf numFmtId="49" fontId="54" fillId="27" borderId="13" xfId="73" applyNumberFormat="1" applyFont="1" applyFill="1" applyBorder="1" applyAlignment="1">
      <alignment horizontal="center" vertical="center" wrapText="1"/>
    </xf>
    <xf numFmtId="0" fontId="44" fillId="27" borderId="83" xfId="73" applyFont="1" applyFill="1" applyBorder="1" applyAlignment="1">
      <alignment horizontal="center"/>
    </xf>
    <xf numFmtId="16" fontId="54" fillId="27" borderId="42" xfId="73" applyNumberFormat="1" applyFont="1" applyFill="1" applyBorder="1" applyAlignment="1">
      <alignment horizontal="left" vertical="center" wrapText="1"/>
    </xf>
    <xf numFmtId="16" fontId="54" fillId="27" borderId="46" xfId="73" applyNumberFormat="1" applyFont="1" applyFill="1" applyBorder="1" applyAlignment="1">
      <alignment horizontal="left" vertical="center" wrapText="1"/>
    </xf>
    <xf numFmtId="16" fontId="54" fillId="27" borderId="13" xfId="73" applyNumberFormat="1" applyFont="1" applyFill="1" applyBorder="1" applyAlignment="1">
      <alignment horizontal="left" vertical="center" wrapText="1"/>
    </xf>
    <xf numFmtId="49" fontId="54" fillId="27" borderId="20" xfId="73" applyNumberFormat="1" applyFont="1" applyFill="1" applyBorder="1" applyAlignment="1">
      <alignment horizontal="center" vertical="center" wrapText="1"/>
    </xf>
    <xf numFmtId="0" fontId="44" fillId="27" borderId="26" xfId="73" applyFont="1" applyFill="1" applyBorder="1" applyAlignment="1">
      <alignment horizontal="center"/>
    </xf>
    <xf numFmtId="16" fontId="54" fillId="27" borderId="42" xfId="73" applyNumberFormat="1" applyFont="1" applyFill="1" applyBorder="1" applyAlignment="1">
      <alignment horizontal="center" vertical="center" wrapText="1"/>
    </xf>
    <xf numFmtId="16" fontId="54" fillId="27" borderId="13" xfId="73" applyNumberFormat="1" applyFont="1" applyFill="1" applyBorder="1" applyAlignment="1">
      <alignment horizontal="center" vertical="center" wrapText="1"/>
    </xf>
    <xf numFmtId="3" fontId="43" fillId="27" borderId="29" xfId="73" applyNumberFormat="1" applyFont="1" applyFill="1" applyBorder="1" applyAlignment="1">
      <alignment horizontal="center" vertical="center"/>
    </xf>
    <xf numFmtId="3" fontId="43" fillId="27" borderId="23" xfId="73" applyNumberFormat="1" applyFont="1" applyFill="1" applyBorder="1" applyAlignment="1">
      <alignment horizontal="center" vertical="center"/>
    </xf>
    <xf numFmtId="3" fontId="43" fillId="27" borderId="24" xfId="73" applyNumberFormat="1" applyFont="1" applyFill="1" applyBorder="1" applyAlignment="1">
      <alignment horizontal="center" vertical="center"/>
    </xf>
    <xf numFmtId="0" fontId="54" fillId="27" borderId="15" xfId="73" applyFont="1" applyFill="1" applyBorder="1" applyAlignment="1">
      <alignment horizontal="center" vertical="center" textRotation="90" wrapText="1"/>
    </xf>
    <xf numFmtId="0" fontId="54" fillId="27" borderId="30" xfId="73" applyFont="1" applyFill="1" applyBorder="1" applyAlignment="1">
      <alignment horizontal="center" vertical="center" textRotation="90" wrapText="1"/>
    </xf>
    <xf numFmtId="0" fontId="44" fillId="27" borderId="58" xfId="73" applyFont="1" applyFill="1" applyBorder="1" applyAlignment="1">
      <alignment horizontal="center"/>
    </xf>
    <xf numFmtId="0" fontId="44" fillId="27" borderId="145" xfId="73" applyFont="1" applyFill="1" applyBorder="1" applyAlignment="1">
      <alignment horizontal="center"/>
    </xf>
    <xf numFmtId="0" fontId="54" fillId="27" borderId="30" xfId="73" applyFont="1" applyFill="1" applyBorder="1" applyAlignment="1">
      <alignment horizontal="center" vertical="center" wrapText="1"/>
    </xf>
    <xf numFmtId="0" fontId="54" fillId="27" borderId="50" xfId="73" applyFont="1" applyFill="1" applyBorder="1" applyAlignment="1">
      <alignment horizontal="center" vertical="center" wrapText="1"/>
    </xf>
    <xf numFmtId="0" fontId="44" fillId="27" borderId="146" xfId="73" applyFont="1" applyFill="1" applyBorder="1" applyAlignment="1">
      <alignment horizontal="center"/>
    </xf>
    <xf numFmtId="0" fontId="54" fillId="0" borderId="20" xfId="73" applyFont="1" applyBorder="1" applyAlignment="1">
      <alignment horizontal="left" vertical="center" wrapText="1"/>
    </xf>
    <xf numFmtId="0" fontId="54" fillId="0" borderId="46" xfId="73" applyFont="1" applyBorder="1" applyAlignment="1">
      <alignment horizontal="center" vertical="center" wrapText="1"/>
    </xf>
    <xf numFmtId="0" fontId="54" fillId="0" borderId="13" xfId="73" applyFont="1" applyBorder="1" applyAlignment="1">
      <alignment horizontal="center" vertical="center" wrapText="1"/>
    </xf>
    <xf numFmtId="0" fontId="54" fillId="0" borderId="45" xfId="73" applyFont="1" applyBorder="1" applyAlignment="1">
      <alignment horizontal="center" vertical="center" wrapText="1"/>
    </xf>
    <xf numFmtId="0" fontId="54" fillId="0" borderId="43" xfId="73" applyFont="1" applyBorder="1" applyAlignment="1">
      <alignment horizontal="center" vertical="center" wrapText="1"/>
    </xf>
    <xf numFmtId="0" fontId="54" fillId="0" borderId="42" xfId="73" applyFont="1" applyBorder="1" applyAlignment="1">
      <alignment horizontal="left" vertical="center" wrapText="1"/>
    </xf>
    <xf numFmtId="0" fontId="54" fillId="0" borderId="46" xfId="73" applyFont="1" applyBorder="1" applyAlignment="1">
      <alignment horizontal="left" vertical="center" wrapText="1"/>
    </xf>
    <xf numFmtId="0" fontId="54" fillId="0" borderId="13" xfId="73" applyFont="1" applyBorder="1" applyAlignment="1">
      <alignment horizontal="left" vertical="center" wrapText="1"/>
    </xf>
    <xf numFmtId="0" fontId="54" fillId="0" borderId="42" xfId="73" applyFont="1" applyBorder="1" applyAlignment="1">
      <alignment horizontal="center" vertical="center" wrapText="1"/>
    </xf>
    <xf numFmtId="0" fontId="54" fillId="0" borderId="22" xfId="73" applyFont="1" applyBorder="1" applyAlignment="1">
      <alignment horizontal="center" vertical="center" wrapText="1"/>
    </xf>
    <xf numFmtId="0" fontId="54" fillId="0" borderId="20" xfId="73" applyFont="1" applyBorder="1" applyAlignment="1">
      <alignment horizontal="center" vertical="center" wrapText="1"/>
    </xf>
    <xf numFmtId="0" fontId="54" fillId="0" borderId="21" xfId="73" applyFont="1" applyBorder="1" applyAlignment="1">
      <alignment horizontal="center" vertical="center" wrapText="1"/>
    </xf>
    <xf numFmtId="0" fontId="54" fillId="0" borderId="14" xfId="73" applyFont="1" applyBorder="1" applyAlignment="1">
      <alignment horizontal="left" vertical="center" wrapText="1"/>
    </xf>
    <xf numFmtId="0" fontId="54" fillId="0" borderId="14" xfId="73" applyFont="1" applyBorder="1" applyAlignment="1">
      <alignment horizontal="center" vertical="center" wrapText="1"/>
    </xf>
    <xf numFmtId="0" fontId="54" fillId="0" borderId="26" xfId="73" applyFont="1" applyBorder="1" applyAlignment="1">
      <alignment horizontal="center" vertical="center" wrapText="1"/>
    </xf>
    <xf numFmtId="0" fontId="54" fillId="0" borderId="14" xfId="73" applyFont="1" applyBorder="1" applyAlignment="1">
      <alignment horizontal="center" vertical="center" textRotation="90" wrapText="1"/>
    </xf>
    <xf numFmtId="0" fontId="54" fillId="0" borderId="42" xfId="73" applyFont="1" applyBorder="1" applyAlignment="1">
      <alignment horizontal="center" vertical="center" textRotation="90" wrapText="1"/>
    </xf>
    <xf numFmtId="0" fontId="44" fillId="0" borderId="14" xfId="73" applyFont="1" applyBorder="1" applyAlignment="1">
      <alignment horizontal="center"/>
    </xf>
    <xf numFmtId="0" fontId="44" fillId="0" borderId="83" xfId="73" applyFont="1" applyBorder="1" applyAlignment="1">
      <alignment horizontal="center"/>
    </xf>
    <xf numFmtId="0" fontId="44" fillId="0" borderId="26" xfId="73" applyFont="1" applyBorder="1" applyAlignment="1">
      <alignment horizontal="center"/>
    </xf>
    <xf numFmtId="0" fontId="44" fillId="0" borderId="37" xfId="73" applyFont="1" applyBorder="1" applyAlignment="1">
      <alignment horizontal="center"/>
    </xf>
    <xf numFmtId="0" fontId="44" fillId="0" borderId="86" xfId="73" applyFont="1" applyBorder="1" applyAlignment="1">
      <alignment horizontal="center"/>
    </xf>
    <xf numFmtId="49" fontId="54" fillId="0" borderId="20" xfId="73" applyNumberFormat="1" applyFont="1" applyBorder="1" applyAlignment="1">
      <alignment horizontal="center" vertical="center" wrapText="1"/>
    </xf>
    <xf numFmtId="0" fontId="54" fillId="0" borderId="15" xfId="73" applyFont="1" applyBorder="1" applyAlignment="1">
      <alignment horizontal="left" vertical="center" wrapText="1"/>
    </xf>
    <xf numFmtId="0" fontId="54" fillId="0" borderId="15" xfId="73" applyFont="1" applyBorder="1" applyAlignment="1">
      <alignment horizontal="center" vertical="center" wrapText="1"/>
    </xf>
    <xf numFmtId="0" fontId="54" fillId="0" borderId="49" xfId="73" applyFont="1" applyBorder="1" applyAlignment="1">
      <alignment horizontal="center" vertical="center" wrapText="1"/>
    </xf>
    <xf numFmtId="0" fontId="84" fillId="27" borderId="42" xfId="73" applyFont="1" applyFill="1" applyBorder="1" applyAlignment="1">
      <alignment horizontal="left" vertical="center" wrapText="1"/>
    </xf>
    <xf numFmtId="0" fontId="84" fillId="27" borderId="13" xfId="73" applyFont="1" applyFill="1" applyBorder="1" applyAlignment="1">
      <alignment horizontal="left" vertical="center" wrapText="1"/>
    </xf>
    <xf numFmtId="0" fontId="84" fillId="27" borderId="42" xfId="73" applyFont="1" applyFill="1" applyBorder="1" applyAlignment="1">
      <alignment horizontal="center" vertical="center" wrapText="1"/>
    </xf>
    <xf numFmtId="0" fontId="84" fillId="27" borderId="13" xfId="73" applyFont="1" applyFill="1" applyBorder="1" applyAlignment="1">
      <alignment horizontal="center" vertical="center" wrapText="1"/>
    </xf>
    <xf numFmtId="0" fontId="84" fillId="27" borderId="22" xfId="73" applyFont="1" applyFill="1" applyBorder="1" applyAlignment="1">
      <alignment horizontal="center" vertical="center" wrapText="1"/>
    </xf>
    <xf numFmtId="0" fontId="84" fillId="27" borderId="43" xfId="73" applyFont="1" applyFill="1" applyBorder="1" applyAlignment="1">
      <alignment horizontal="center" vertical="center" wrapText="1"/>
    </xf>
    <xf numFmtId="0" fontId="91" fillId="27" borderId="41" xfId="73" applyFont="1" applyFill="1" applyBorder="1" applyAlignment="1">
      <alignment horizontal="center" vertical="center"/>
    </xf>
    <xf numFmtId="0" fontId="91" fillId="27" borderId="18" xfId="73" applyFont="1" applyFill="1" applyBorder="1" applyAlignment="1">
      <alignment horizontal="center" vertical="center"/>
    </xf>
    <xf numFmtId="0" fontId="93" fillId="27" borderId="0" xfId="73" applyFont="1" applyFill="1" applyAlignment="1">
      <alignment horizontal="center"/>
    </xf>
    <xf numFmtId="0" fontId="84" fillId="27" borderId="15" xfId="73" applyFont="1" applyFill="1" applyBorder="1" applyAlignment="1">
      <alignment horizontal="left" vertical="center" wrapText="1"/>
    </xf>
    <xf numFmtId="0" fontId="84" fillId="27" borderId="15" xfId="73" applyFont="1" applyFill="1" applyBorder="1" applyAlignment="1">
      <alignment horizontal="center" vertical="center" wrapText="1"/>
    </xf>
    <xf numFmtId="0" fontId="84" fillId="27" borderId="49" xfId="73" applyFont="1" applyFill="1" applyBorder="1" applyAlignment="1">
      <alignment horizontal="center" vertical="center" wrapText="1"/>
    </xf>
    <xf numFmtId="0" fontId="84" fillId="27" borderId="46" xfId="73" applyFont="1" applyFill="1" applyBorder="1" applyAlignment="1">
      <alignment horizontal="left" vertical="center" wrapText="1"/>
    </xf>
    <xf numFmtId="0" fontId="84" fillId="27" borderId="46" xfId="73" applyFont="1" applyFill="1" applyBorder="1" applyAlignment="1">
      <alignment horizontal="center" vertical="center" wrapText="1"/>
    </xf>
    <xf numFmtId="0" fontId="84" fillId="27" borderId="45" xfId="73" applyFont="1" applyFill="1" applyBorder="1" applyAlignment="1">
      <alignment horizontal="center" vertical="center" wrapText="1"/>
    </xf>
    <xf numFmtId="0" fontId="91" fillId="27" borderId="29" xfId="73" applyFont="1" applyFill="1" applyBorder="1" applyAlignment="1">
      <alignment horizontal="center" vertical="center"/>
    </xf>
    <xf numFmtId="0" fontId="91" fillId="27" borderId="23" xfId="73" applyFont="1" applyFill="1" applyBorder="1" applyAlignment="1">
      <alignment horizontal="center" vertical="center"/>
    </xf>
    <xf numFmtId="0" fontId="91" fillId="27" borderId="54" xfId="73" applyFont="1" applyFill="1" applyBorder="1" applyAlignment="1">
      <alignment horizontal="center" vertical="center"/>
    </xf>
    <xf numFmtId="0" fontId="91" fillId="0" borderId="41" xfId="73" applyFont="1" applyBorder="1" applyAlignment="1">
      <alignment horizontal="center" vertical="center"/>
    </xf>
    <xf numFmtId="0" fontId="91" fillId="0" borderId="18" xfId="73" applyFont="1" applyBorder="1" applyAlignment="1">
      <alignment horizontal="center" vertical="center"/>
    </xf>
    <xf numFmtId="0" fontId="94" fillId="27" borderId="0" xfId="73" applyFont="1" applyFill="1" applyAlignment="1">
      <alignment horizontal="center"/>
    </xf>
    <xf numFmtId="0" fontId="84" fillId="0" borderId="26" xfId="73" applyFont="1" applyBorder="1" applyAlignment="1">
      <alignment horizontal="center" vertical="center" wrapText="1"/>
    </xf>
    <xf numFmtId="0" fontId="84" fillId="0" borderId="48" xfId="73" applyFont="1" applyBorder="1" applyAlignment="1">
      <alignment horizontal="center" vertical="center" wrapText="1"/>
    </xf>
    <xf numFmtId="0" fontId="84" fillId="0" borderId="14" xfId="73" applyFont="1" applyBorder="1" applyAlignment="1">
      <alignment horizontal="center" vertical="center" wrapText="1"/>
    </xf>
    <xf numFmtId="0" fontId="84" fillId="0" borderId="17" xfId="73" applyFont="1" applyBorder="1" applyAlignment="1">
      <alignment horizontal="center" vertical="center" wrapText="1"/>
    </xf>
    <xf numFmtId="0" fontId="90" fillId="0" borderId="14" xfId="73" applyFont="1" applyBorder="1" applyAlignment="1">
      <alignment horizontal="center" vertical="center"/>
    </xf>
    <xf numFmtId="0" fontId="90" fillId="0" borderId="83" xfId="73" applyFont="1" applyBorder="1" applyAlignment="1">
      <alignment horizontal="center" vertical="center"/>
    </xf>
    <xf numFmtId="0" fontId="90" fillId="0" borderId="86" xfId="73" applyFont="1" applyBorder="1" applyAlignment="1">
      <alignment horizontal="center" vertical="center"/>
    </xf>
    <xf numFmtId="0" fontId="90" fillId="0" borderId="37" xfId="73" applyFont="1" applyBorder="1" applyAlignment="1">
      <alignment horizontal="center" vertical="center"/>
    </xf>
    <xf numFmtId="0" fontId="86" fillId="0" borderId="11" xfId="0" applyFont="1" applyBorder="1" applyAlignment="1">
      <alignment horizontal="center" vertical="top"/>
    </xf>
    <xf numFmtId="0" fontId="30" fillId="0" borderId="11" xfId="0" applyFont="1" applyBorder="1" applyAlignment="1">
      <alignment horizontal="center" vertical="top" wrapText="1"/>
    </xf>
    <xf numFmtId="0" fontId="30" fillId="0" borderId="29"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54" xfId="0" applyFont="1" applyBorder="1" applyAlignment="1">
      <alignment horizontal="center" vertical="center" wrapText="1"/>
    </xf>
    <xf numFmtId="0" fontId="31" fillId="0" borderId="20" xfId="0" applyFont="1" applyFill="1" applyBorder="1" applyAlignment="1">
      <alignment horizontal="left" vertical="center" wrapText="1"/>
    </xf>
  </cellXfs>
  <cellStyles count="9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40% - Accent1" xfId="13"/>
    <cellStyle name="40% - Accent1 2" xfId="14"/>
    <cellStyle name="40% - Accent2" xfId="15"/>
    <cellStyle name="40% - Accent2 2" xfId="16"/>
    <cellStyle name="40% - Accent3" xfId="17"/>
    <cellStyle name="40% - Accent3 2" xfId="18"/>
    <cellStyle name="40% - Accent4" xfId="19"/>
    <cellStyle name="40% - Accent4 2" xfId="20"/>
    <cellStyle name="40% - Accent5" xfId="21"/>
    <cellStyle name="40% - Accent5 2" xfId="22"/>
    <cellStyle name="40% - Accent6" xfId="23"/>
    <cellStyle name="40% - Accent6 2" xfId="24"/>
    <cellStyle name="60% - Accent1" xfId="25"/>
    <cellStyle name="60% - Accent2" xfId="26"/>
    <cellStyle name="60% - Accent3" xfId="27"/>
    <cellStyle name="60% - Accent4" xfId="28"/>
    <cellStyle name="60% - Accent5" xfId="29"/>
    <cellStyle name="60% - Accent6" xfId="30"/>
    <cellStyle name="Accent1" xfId="31"/>
    <cellStyle name="Accent2" xfId="32"/>
    <cellStyle name="Accent3" xfId="33"/>
    <cellStyle name="Accent4" xfId="34"/>
    <cellStyle name="Accent5" xfId="35"/>
    <cellStyle name="Accent6" xfId="36"/>
    <cellStyle name="Bad" xfId="37"/>
    <cellStyle name="Calculation" xfId="38"/>
    <cellStyle name="Check Cell" xfId="39"/>
    <cellStyle name="Explanatory Text" xfId="40"/>
    <cellStyle name="Ezres" xfId="41" builtinId="3"/>
    <cellStyle name="Ezres 2" xfId="42"/>
    <cellStyle name="Ezres 2 2" xfId="43"/>
    <cellStyle name="Ezres 3" xfId="44"/>
    <cellStyle name="Ezres 4" xfId="45"/>
    <cellStyle name="Ezres 5" xfId="46"/>
    <cellStyle name="Ezres 5 2" xfId="47"/>
    <cellStyle name="Ezres 6" xfId="48"/>
    <cellStyle name="Ezres 7" xfId="49"/>
    <cellStyle name="Ezres 7 2" xfId="50"/>
    <cellStyle name="Ezres 7 3" xfId="51"/>
    <cellStyle name="Ezres 8" xfId="52"/>
    <cellStyle name="Good" xfId="53"/>
    <cellStyle name="Heading 1" xfId="54"/>
    <cellStyle name="Heading 2" xfId="55"/>
    <cellStyle name="Heading 3" xfId="56"/>
    <cellStyle name="Heading 4" xfId="57"/>
    <cellStyle name="Input" xfId="58"/>
    <cellStyle name="Linked Cell" xfId="59"/>
    <cellStyle name="Neutral" xfId="60"/>
    <cellStyle name="Normál" xfId="0" builtinId="0"/>
    <cellStyle name="Normál 2" xfId="61"/>
    <cellStyle name="Normál 2 2" xfId="62"/>
    <cellStyle name="Normál 2 3" xfId="63"/>
    <cellStyle name="Normál 2 3 2" xfId="91"/>
    <cellStyle name="Normál 2 3 2 2" xfId="92"/>
    <cellStyle name="Normál 2 4" xfId="64"/>
    <cellStyle name="Normál 2_4.4.5 utca Könyvvizsgálói tábla" xfId="65"/>
    <cellStyle name="Normál 3" xfId="66"/>
    <cellStyle name="Normál 4" xfId="67"/>
    <cellStyle name="Normál 5" xfId="68"/>
    <cellStyle name="Normál 5 2" xfId="69"/>
    <cellStyle name="Normál 5 3" xfId="93"/>
    <cellStyle name="Normál 6" xfId="70"/>
    <cellStyle name="Normál 7" xfId="71"/>
    <cellStyle name="Normál 7 2" xfId="72"/>
    <cellStyle name="Normál 7 2 2" xfId="73"/>
    <cellStyle name="Normál 8" xfId="74"/>
    <cellStyle name="Normál_2005.2.a-2.etábl. terv" xfId="75"/>
    <cellStyle name="Note" xfId="76"/>
    <cellStyle name="Note 2" xfId="77"/>
    <cellStyle name="Output" xfId="78"/>
    <cellStyle name="Pénznem" xfId="79" builtinId="4"/>
    <cellStyle name="Pénznem 2" xfId="80"/>
    <cellStyle name="Pénznem 2 2" xfId="81"/>
    <cellStyle name="Pénznem 3" xfId="82"/>
    <cellStyle name="Pénznem 3 2" xfId="83"/>
    <cellStyle name="Pénznem 4" xfId="94"/>
    <cellStyle name="Százalék" xfId="84" builtinId="5"/>
    <cellStyle name="Százalék 2" xfId="85"/>
    <cellStyle name="Százalék 3" xfId="86"/>
    <cellStyle name="Százalék 3 2" xfId="87"/>
    <cellStyle name="Title" xfId="88"/>
    <cellStyle name="Total" xfId="89"/>
    <cellStyle name="Warning Text" xfId="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linda\Desktop\k&#233;s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hivatal\Users\Erika\AppData\Local\Temp\Rar$DIa0.800\2019.%20&#233;vi%20k&#246;lts&#233;gvet&#233;shez%20maradv&#225;ny\&#246;sszehasonl&#237;t&#243;%2001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246;z&#246;s/K&#201;PVISEL&#336;-TEST&#220;LET%20IRATAI/EL&#336;TERJESZT&#201;SEK/2020/2020.%2002.%2024/3.%20sz.%20el&#337;terjeszt&#233;s%201.%20mell&#233;klete%20V&#201;GLEGES%20TEST&#220;LETIN%20ELFOGADOT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233;nz&#252;gy/2022/El&#337;ir&#225;nyzat%20m&#243;dos&#237;t&#225;sok/december/2022.%20&#233;vi%20k&#246;lts&#233;gvet&#233;s%2002.0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hivatal\P&#233;nz&#252;gy\2016\El&#337;ir&#225;nyzat%20m&#243;dos&#237;t&#225;s\Ei%20m&#243;d%2012.31ig\2016.%20&#233;vi%20ktgv%2012.31.%20%20v&#233;gleges%20test&#252;letnek%20kik&#252;ld&#246;t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z. Önkormányzat 2022. "/>
      <sheetName val="2.1. sz. PMH"/>
      <sheetName val="2.2. sz. Hétszínvirág Óvoda"/>
      <sheetName val="2.3. sz. Mese Óvoda"/>
      <sheetName val="2.4. sz. Bölcsőde"/>
      <sheetName val="2.5. sz. Gyermekjóléti"/>
      <sheetName val="2.6 sz. Területi"/>
      <sheetName val="2.7. sz. Könyvtár"/>
      <sheetName val="2.8. sz. Műv.Ház"/>
      <sheetName val="2.9. sz. Szivárvány Ó."/>
      <sheetName val="2.10.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sz. Állami támogatás"/>
      <sheetName val="12.sz.Felh.célú tám.ÁHbelül"/>
      <sheetName val="13.sz. Közhatalmi bevételek"/>
      <sheetName val="14.sz.Felhalmozási bev"/>
      <sheetName val="15.sz.mell. Létszámtábla"/>
      <sheetName val="1.sz.tájék.tábla Közvetett tám"/>
      <sheetName val="2.sz.tájék.tábla Mérlegszerű"/>
      <sheetName val="3.sz.tájék.tábla Gördülő"/>
      <sheetName val="4.sz.tájék.táb. Többéves"/>
      <sheetName val="5.sz.tájék.táb Adósságszolgálat"/>
      <sheetName val="6.sz.tájék.tábla Hitelképes "/>
      <sheetName val="7.sz.tájék.táb.Likviditási terv"/>
      <sheetName val="8.sz.tájék.tábla Ütemterv"/>
      <sheetName val="9. sz. tájék.tábla EU-s pály."/>
      <sheetName val="10. sz.tájék.Nem EU-s pály.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E6">
            <v>4000000</v>
          </cell>
        </row>
        <row r="7">
          <cell r="G7">
            <v>4000000</v>
          </cell>
        </row>
        <row r="8">
          <cell r="F8">
            <v>1000000</v>
          </cell>
        </row>
        <row r="11">
          <cell r="H11">
            <v>1320000</v>
          </cell>
        </row>
        <row r="12">
          <cell r="F12">
            <v>1500000</v>
          </cell>
        </row>
      </sheetData>
      <sheetData sheetId="13">
        <row r="7">
          <cell r="G7">
            <v>14856000</v>
          </cell>
        </row>
        <row r="8">
          <cell r="G8">
            <v>25216800</v>
          </cell>
        </row>
        <row r="11">
          <cell r="G11">
            <v>500000</v>
          </cell>
        </row>
        <row r="12">
          <cell r="G12">
            <v>500000</v>
          </cell>
        </row>
        <row r="13">
          <cell r="G13">
            <v>300000</v>
          </cell>
        </row>
        <row r="14">
          <cell r="G14">
            <v>1000000</v>
          </cell>
        </row>
        <row r="15">
          <cell r="G15">
            <v>920000</v>
          </cell>
        </row>
        <row r="17">
          <cell r="G17">
            <v>3080000</v>
          </cell>
        </row>
        <row r="19">
          <cell r="G19">
            <v>79620000</v>
          </cell>
        </row>
        <row r="21">
          <cell r="E21">
            <v>4000000</v>
          </cell>
        </row>
        <row r="23">
          <cell r="G23">
            <v>1750000</v>
          </cell>
        </row>
        <row r="24">
          <cell r="G24">
            <v>840000</v>
          </cell>
        </row>
        <row r="28">
          <cell r="E28">
            <v>210500</v>
          </cell>
        </row>
        <row r="32">
          <cell r="G32">
            <v>7047905</v>
          </cell>
        </row>
        <row r="35">
          <cell r="G35">
            <v>117853492</v>
          </cell>
        </row>
        <row r="44">
          <cell r="E44">
            <v>4000000</v>
          </cell>
        </row>
        <row r="45">
          <cell r="E45">
            <v>18600000</v>
          </cell>
        </row>
        <row r="46">
          <cell r="E46">
            <v>4000000</v>
          </cell>
        </row>
      </sheetData>
      <sheetData sheetId="14">
        <row r="11">
          <cell r="E11">
            <v>10000000</v>
          </cell>
        </row>
        <row r="81">
          <cell r="E81">
            <v>3000000</v>
          </cell>
        </row>
      </sheetData>
      <sheetData sheetId="15">
        <row r="10">
          <cell r="E10">
            <v>6698581</v>
          </cell>
        </row>
      </sheetData>
      <sheetData sheetId="16">
        <row r="71">
          <cell r="C71">
            <v>897149962</v>
          </cell>
        </row>
      </sheetData>
      <sheetData sheetId="17">
        <row r="8">
          <cell r="E8">
            <v>18000000</v>
          </cell>
        </row>
        <row r="9">
          <cell r="E9">
            <v>5000000</v>
          </cell>
        </row>
        <row r="10">
          <cell r="E10">
            <v>4000000</v>
          </cell>
        </row>
        <row r="11">
          <cell r="E11">
            <v>500000</v>
          </cell>
        </row>
        <row r="12">
          <cell r="E12">
            <v>1500000</v>
          </cell>
        </row>
        <row r="13">
          <cell r="E13">
            <v>2300000</v>
          </cell>
        </row>
        <row r="14">
          <cell r="E14">
            <v>2000000</v>
          </cell>
        </row>
        <row r="15">
          <cell r="E15">
            <v>3000000</v>
          </cell>
        </row>
        <row r="16">
          <cell r="E16">
            <v>500000</v>
          </cell>
        </row>
        <row r="17">
          <cell r="E17">
            <v>200000</v>
          </cell>
        </row>
        <row r="18">
          <cell r="E18">
            <v>7000000</v>
          </cell>
        </row>
      </sheetData>
      <sheetData sheetId="18">
        <row r="16">
          <cell r="D16">
            <v>3513510223</v>
          </cell>
        </row>
      </sheetData>
      <sheetData sheetId="19"/>
      <sheetData sheetId="20"/>
      <sheetData sheetId="21">
        <row r="5">
          <cell r="E5">
            <v>3822360000</v>
          </cell>
          <cell r="F5">
            <v>46979111</v>
          </cell>
        </row>
      </sheetData>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ézmények"/>
      <sheetName val="maradvánnyal"/>
      <sheetName val="Munka1"/>
    </sheetNames>
    <sheetDataSet>
      <sheetData sheetId="0" refreshError="1"/>
      <sheetData sheetId="1" refreshError="1"/>
      <sheetData sheetId="2">
        <row r="94">
          <cell r="D94">
            <v>2351625349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z. Önkormányzat 2020. "/>
      <sheetName val="2.1. sz. PMH"/>
      <sheetName val="2.2. sz. Hétszínvirág Óvoda"/>
      <sheetName val="2.3. sz. Mese Óvoda"/>
      <sheetName val="2.4. sz. Bölcsőde"/>
      <sheetName val="2.5. sz. Gyermekjóléti"/>
      <sheetName val="2.6 sz. Területi"/>
      <sheetName val="2.7. sz. Könyvtár"/>
      <sheetName val="2.8. sz. Műv.Ház"/>
      <sheetName val="2.9. sz. Szivárvány Ó."/>
      <sheetName val="2.10.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sz. Állami támogatás"/>
      <sheetName val="12.sz.mell. Létszámtábla"/>
      <sheetName val="1.sz.tájék.tábla Közvetett tám"/>
      <sheetName val="2.sz.tájék.tábla Mérlegszerű"/>
      <sheetName val="3.sz.tájék.tábla Gördülő"/>
      <sheetName val="4.sz.tájék.táb. Többéves"/>
      <sheetName val="5.sz.tájék.táb Adósságszolgálat"/>
      <sheetName val="6.sz.tájék.tábla Hitelképes "/>
      <sheetName val="7.sz.tájék.táb.Likviditási terv"/>
      <sheetName val="8.sz.tájék.tábla Ütemterv"/>
      <sheetName val="9. sz. tájék.tábla EU-s pály."/>
      <sheetName val="10. sz.tájék.Nem EU-s pály. "/>
    </sheetNames>
    <sheetDataSet>
      <sheetData sheetId="0"/>
      <sheetData sheetId="1"/>
      <sheetData sheetId="2"/>
      <sheetData sheetId="3"/>
      <sheetData sheetId="4"/>
      <sheetData sheetId="5"/>
      <sheetData sheetId="6"/>
      <sheetData sheetId="7"/>
      <sheetData sheetId="8"/>
      <sheetData sheetId="9"/>
      <sheetData sheetId="10"/>
      <sheetData sheetId="11">
        <row r="29">
          <cell r="G29">
            <v>10344621437</v>
          </cell>
        </row>
        <row r="39">
          <cell r="G39">
            <v>0</v>
          </cell>
        </row>
        <row r="44">
          <cell r="G44">
            <v>0</v>
          </cell>
        </row>
        <row r="45">
          <cell r="G4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z. Önkormányzat 2022. "/>
      <sheetName val="1.b sz. Önkormányzat 2022."/>
      <sheetName val="2.1. sz. PMH"/>
      <sheetName val="2.2. sz. Hétszínvirág Óvoda"/>
      <sheetName val="2.3. sz. Mese Óvoda"/>
      <sheetName val="2.4. sz. Bölcsőde"/>
      <sheetName val="2.5. sz. Gyermekjóléti"/>
      <sheetName val="2.6 sz. Területi"/>
      <sheetName val="2.7. sz. Könyvtár"/>
      <sheetName val="2.8. sz. Műv.Ház"/>
      <sheetName val="2.9. sz. Szivárvány Ó."/>
      <sheetName val="2.10.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a.sz. Állami támogatás"/>
      <sheetName val="11.b.sz. Műk.célú tám.ÁHbelül"/>
      <sheetName val="12.sz.Felh.célú tám.ÁHbelül"/>
      <sheetName val="13.sz. Közhatalmi bevételek"/>
      <sheetName val="14.sz.Felhalmozási bev"/>
      <sheetName val="15.sz.mell. Létszámtábla"/>
      <sheetName val="1.sz.tájék.tábla Közvetett tám"/>
      <sheetName val="2.sz.tájék.tábla Mérlegszerű"/>
      <sheetName val="3.sz.tájék.tábla Gördülő"/>
      <sheetName val="4.sz.tájék.táb. Többéves"/>
      <sheetName val="5.sz.tájék.táb Adósságszolgálat"/>
      <sheetName val="6.sz.tájék.tábla Hitelképes "/>
      <sheetName val="7.sz.tájék.táb.Likviditási terv"/>
      <sheetName val="8.sz.tájék.tábla Ütemterv"/>
      <sheetName val="9. sz. tájék.tábla EU-s pály."/>
      <sheetName val="10. sz.tájék.Nem EU-s pály. "/>
      <sheetName val="1.sz.függ.Önkormány bev-kiad"/>
      <sheetName val="2.sz.függ.PMH bev-kiad"/>
      <sheetName val="3.sz.függ.Ter.Gond. "/>
      <sheetName val="4.sz.függ.Könyvtár "/>
      <sheetName val="5.sz.függ.Hétszínvirág Ó. "/>
      <sheetName val="6.sz.függ.Mese Ó.  "/>
      <sheetName val="7.sz.függ.Bölcsőde"/>
      <sheetName val="8.sz.függ.Gyermekjóléti  "/>
      <sheetName val="9.sz.függ.Szivárvány Ó."/>
      <sheetName val="10.sz.függ.József A.Műv.Ház"/>
      <sheetName val="11.sz.függ.Mindösszesen"/>
      <sheetName val="12.sz.függ.Tartalékok vál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K8">
            <v>2706495246</v>
          </cell>
        </row>
        <row r="9">
          <cell r="K9">
            <v>400975191</v>
          </cell>
        </row>
        <row r="10">
          <cell r="K10">
            <v>4184667018</v>
          </cell>
        </row>
        <row r="11">
          <cell r="K11">
            <v>47819430</v>
          </cell>
        </row>
        <row r="12">
          <cell r="K12">
            <v>3268729967</v>
          </cell>
        </row>
        <row r="16">
          <cell r="K16">
            <v>2057444045</v>
          </cell>
        </row>
        <row r="17">
          <cell r="K17">
            <v>174757458</v>
          </cell>
        </row>
        <row r="18">
          <cell r="K18">
            <v>34271261</v>
          </cell>
        </row>
        <row r="21">
          <cell r="K21">
            <v>4171512868</v>
          </cell>
        </row>
        <row r="30">
          <cell r="K30">
            <v>2690598608</v>
          </cell>
        </row>
        <row r="31">
          <cell r="K31">
            <v>54255209</v>
          </cell>
        </row>
        <row r="32">
          <cell r="K32">
            <v>4723504433</v>
          </cell>
        </row>
        <row r="33">
          <cell r="K33">
            <v>884721530</v>
          </cell>
        </row>
        <row r="34">
          <cell r="K34">
            <v>741978797</v>
          </cell>
        </row>
        <row r="35">
          <cell r="K35">
            <v>295000</v>
          </cell>
        </row>
        <row r="36">
          <cell r="K36">
            <v>9541550</v>
          </cell>
        </row>
        <row r="38">
          <cell r="K38">
            <v>7941777357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z. Önkormányzat 2016. "/>
      <sheetName val="1. sz. Önkormányzat 2016.b"/>
      <sheetName val="2.1. sz. PMH"/>
      <sheetName val="2.2. sz. Hétszínvirág Óvoda"/>
      <sheetName val="2.3. sz. Mese Óvoda"/>
      <sheetName val="2.4. sz. Bölcsőde"/>
      <sheetName val="2.5. sz. Gyermekjóléti"/>
      <sheetName val="2.6 sz. Területi"/>
      <sheetName val="2.7. sz. Könyvtár"/>
      <sheetName val="2.8.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sz. Normatíva"/>
      <sheetName val="12.sz.mell. Létszámtábla"/>
      <sheetName val="1.sz.tájék.tábla Közvetett tám"/>
      <sheetName val="2.sz.tájék.tábla Mérlegszerű"/>
      <sheetName val="3.sz.tájék.tábla Gördülő"/>
      <sheetName val="4.sz.tájék.tábla Többéves"/>
      <sheetName val="5.sz.tájék.táb Adósságszolgálat"/>
      <sheetName val="6.sz.tájék.tábla Hitelképesség"/>
      <sheetName val="7.sz.tájék.táb.Likviditási terv"/>
      <sheetName val="8.sz.tájék.tábla Ütemterv"/>
      <sheetName val="9.sz.tájék.EUNapelemes korsz."/>
      <sheetName val="1.sz.függ.Önkormány bev-kiad"/>
      <sheetName val="2.sz.függ.PMH bev-kiad"/>
      <sheetName val="3.sz.függ.Ter.Gond. "/>
      <sheetName val="4.sz.függ.Könyvtár "/>
      <sheetName val="5.sz.függ.Hétszínvirág Ó. "/>
      <sheetName val="6.sz.függ.Mese Ó.  "/>
      <sheetName val="7.sz.függ.Bölcsőde"/>
      <sheetName val="8.sz.függ.Gyermekjóléti  "/>
      <sheetName val="9.sz.függ.Mindösszes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02">
          <cell r="W302">
            <v>355412047</v>
          </cell>
        </row>
      </sheetData>
      <sheetData sheetId="30">
        <row r="26">
          <cell r="W26">
            <v>2077164</v>
          </cell>
        </row>
      </sheetData>
      <sheetData sheetId="31">
        <row r="47">
          <cell r="W47">
            <v>2248378</v>
          </cell>
        </row>
      </sheetData>
      <sheetData sheetId="32">
        <row r="13">
          <cell r="W13">
            <v>1757504</v>
          </cell>
        </row>
      </sheetData>
      <sheetData sheetId="33">
        <row r="17">
          <cell r="W17">
            <v>1605955</v>
          </cell>
        </row>
      </sheetData>
      <sheetData sheetId="34">
        <row r="14">
          <cell r="W14">
            <v>1796203</v>
          </cell>
        </row>
      </sheetData>
      <sheetData sheetId="35">
        <row r="13">
          <cell r="W13">
            <v>1547338</v>
          </cell>
        </row>
      </sheetData>
      <sheetData sheetId="36"/>
      <sheetData sheetId="37"/>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K61"/>
  <sheetViews>
    <sheetView view="pageBreakPreview" zoomScale="80" zoomScaleNormal="80" zoomScaleSheetLayoutView="80" workbookViewId="0">
      <pane xSplit="3" ySplit="7" topLeftCell="D41" activePane="bottomRight" state="frozen"/>
      <selection pane="topRight" activeCell="D1" sqref="D1"/>
      <selection pane="bottomLeft" activeCell="A8" sqref="A8"/>
      <selection pane="bottomRight" activeCell="M5" sqref="M5:M6"/>
    </sheetView>
  </sheetViews>
  <sheetFormatPr defaultColWidth="16.5703125" defaultRowHeight="15.75" x14ac:dyDescent="0.25"/>
  <cols>
    <col min="1" max="1" width="7" style="242" customWidth="1"/>
    <col min="2" max="2" width="69.5703125" style="218" customWidth="1"/>
    <col min="3" max="3" width="7.42578125" style="239" customWidth="1"/>
    <col min="4" max="5" width="17.7109375" style="218" customWidth="1"/>
    <col min="6" max="6" width="18.140625" style="218" customWidth="1"/>
    <col min="7" max="7" width="16.42578125" style="218" customWidth="1"/>
    <col min="8" max="15" width="19.28515625" style="218" customWidth="1"/>
    <col min="16" max="17" width="18.42578125" style="218" customWidth="1"/>
    <col min="18" max="21" width="19.140625" style="218" customWidth="1"/>
    <col min="22" max="23" width="19" style="218" customWidth="1"/>
    <col min="24" max="25" width="18.7109375" style="218" customWidth="1"/>
    <col min="26" max="26" width="17.85546875" style="218" customWidth="1"/>
    <col min="27" max="27" width="17" style="218" customWidth="1"/>
    <col min="28" max="29" width="20.5703125" style="218" customWidth="1"/>
    <col min="30" max="30" width="17.85546875" style="218" customWidth="1"/>
    <col min="31" max="31" width="17" style="218" customWidth="1"/>
    <col min="32" max="32" width="18.140625" style="218" customWidth="1"/>
    <col min="33" max="33" width="17" style="218" customWidth="1"/>
    <col min="34" max="34" width="18.85546875" style="259" customWidth="1"/>
    <col min="35" max="35" width="17" style="259" customWidth="1"/>
    <col min="36" max="37" width="18.42578125" style="218" customWidth="1"/>
    <col min="38" max="39" width="18.85546875" style="218" customWidth="1"/>
    <col min="40" max="41" width="18.28515625" style="216" customWidth="1"/>
    <col min="42" max="43" width="19.85546875" style="216" customWidth="1"/>
    <col min="44" max="45" width="19.140625" style="216" customWidth="1"/>
    <col min="46" max="47" width="20.5703125" style="216" customWidth="1"/>
    <col min="48" max="49" width="18.42578125" style="216" customWidth="1"/>
    <col min="50" max="53" width="18.28515625" style="218" customWidth="1"/>
    <col min="54" max="55" width="19.5703125" style="218" customWidth="1"/>
    <col min="56" max="57" width="18.85546875" style="218" customWidth="1"/>
    <col min="58" max="59" width="20.7109375" style="218" customWidth="1"/>
    <col min="60" max="61" width="17.85546875" style="218" customWidth="1"/>
    <col min="62" max="63" width="19.140625" style="218" customWidth="1"/>
    <col min="64" max="65" width="22.28515625" style="218" customWidth="1"/>
    <col min="66" max="66" width="23.7109375" style="216" customWidth="1"/>
    <col min="67" max="67" width="22.28515625" style="216" customWidth="1"/>
    <col min="68" max="69" width="18.7109375" style="216" customWidth="1"/>
    <col min="70" max="71" width="18.140625" style="216" customWidth="1"/>
    <col min="72" max="73" width="19.42578125" style="216" customWidth="1"/>
    <col min="74" max="75" width="19.140625" style="218" customWidth="1"/>
    <col min="76" max="77" width="18.28515625" style="218" customWidth="1"/>
    <col min="78" max="79" width="18.140625" style="218" customWidth="1"/>
    <col min="80" max="80" width="18.140625" style="216" customWidth="1"/>
    <col min="81" max="81" width="17.28515625" style="216" customWidth="1"/>
    <col min="82" max="82" width="18.42578125" style="216" customWidth="1"/>
    <col min="83" max="83" width="17.28515625" style="216" customWidth="1"/>
    <col min="84" max="84" width="18.42578125" style="218" customWidth="1"/>
    <col min="85" max="85" width="17.28515625" style="218" customWidth="1"/>
    <col min="86" max="86" width="18.5703125" style="218" customWidth="1"/>
    <col min="87" max="87" width="17.42578125" style="218" customWidth="1"/>
    <col min="88" max="91" width="18.140625" style="218" customWidth="1"/>
    <col min="92" max="93" width="18.28515625" style="216" customWidth="1"/>
    <col min="94" max="95" width="18.7109375" style="218" customWidth="1"/>
    <col min="96" max="97" width="18.140625" style="218" customWidth="1"/>
    <col min="98" max="98" width="18.42578125" style="218" customWidth="1"/>
    <col min="99" max="99" width="17" style="218" customWidth="1"/>
    <col min="100" max="100" width="18.42578125" style="218" customWidth="1"/>
    <col min="101" max="101" width="17" style="218" customWidth="1"/>
    <col min="102" max="103" width="24" style="218" customWidth="1"/>
    <col min="104" max="105" width="17.7109375" style="218" customWidth="1"/>
    <col min="106" max="107" width="18" style="218" customWidth="1"/>
    <col min="108" max="109" width="18.7109375" style="218" customWidth="1"/>
    <col min="110" max="113" width="19.42578125" style="216" customWidth="1"/>
    <col min="114" max="114" width="19.42578125" style="218" customWidth="1"/>
    <col min="115" max="115" width="17.5703125" style="218" customWidth="1"/>
    <col min="116" max="117" width="18.140625" style="218" customWidth="1"/>
    <col min="118" max="123" width="18.140625" style="216" customWidth="1"/>
    <col min="124" max="125" width="18.7109375" style="259" customWidth="1"/>
    <col min="126" max="127" width="17.7109375" style="218" customWidth="1"/>
    <col min="128" max="128" width="18.7109375" style="218" customWidth="1"/>
    <col min="129" max="129" width="17.42578125" style="218" customWidth="1"/>
    <col min="130" max="130" width="19.28515625" style="218" customWidth="1"/>
    <col min="131" max="131" width="17.42578125" style="218" customWidth="1"/>
    <col min="132" max="132" width="18.85546875" style="218" customWidth="1"/>
    <col min="133" max="133" width="17.42578125" style="218" customWidth="1"/>
    <col min="134" max="134" width="19.42578125" style="218" customWidth="1"/>
    <col min="135" max="135" width="17.42578125" style="218" customWidth="1"/>
    <col min="136" max="136" width="19" style="218" customWidth="1"/>
    <col min="137" max="137" width="17.42578125" style="218" customWidth="1"/>
    <col min="138" max="139" width="19.85546875" style="218" customWidth="1"/>
    <col min="140" max="141" width="18.85546875" style="218" customWidth="1"/>
    <col min="142" max="143" width="19.28515625" style="259" customWidth="1"/>
    <col min="144" max="144" width="18.28515625" style="218" customWidth="1"/>
    <col min="145" max="145" width="17.140625" style="218" customWidth="1"/>
    <col min="146" max="147" width="18.140625" style="218" customWidth="1"/>
    <col min="148" max="148" width="19.42578125" style="218" customWidth="1"/>
    <col min="149" max="149" width="17.5703125" style="218" customWidth="1"/>
    <col min="150" max="151" width="18.140625" style="218" customWidth="1"/>
    <col min="152" max="155" width="22.140625" style="218" customWidth="1"/>
    <col min="156" max="157" width="21.7109375" style="218" customWidth="1"/>
    <col min="158" max="158" width="18" style="218" customWidth="1"/>
    <col min="159" max="159" width="15.85546875" style="218" customWidth="1"/>
    <col min="160" max="160" width="20.140625" style="218" customWidth="1"/>
    <col min="161" max="163" width="19.5703125" style="218" customWidth="1"/>
    <col min="164" max="171" width="19.28515625" style="218" customWidth="1"/>
    <col min="172" max="173" width="18.7109375" style="216" customWidth="1"/>
    <col min="174" max="177" width="21" style="216" customWidth="1"/>
    <col min="178" max="179" width="19.140625" style="216" customWidth="1"/>
    <col min="180" max="183" width="18.7109375" style="216" customWidth="1"/>
    <col min="184" max="187" width="17.85546875" style="218" customWidth="1"/>
    <col min="188" max="191" width="19.42578125" style="216" customWidth="1"/>
    <col min="192" max="193" width="20.7109375" style="261" customWidth="1"/>
    <col min="194" max="195" width="20.85546875" style="261" customWidth="1"/>
    <col min="196" max="197" width="21.28515625" style="261" customWidth="1"/>
    <col min="198" max="199" width="21.7109375" style="261" customWidth="1"/>
    <col min="200" max="205" width="21.28515625" style="261" customWidth="1"/>
    <col min="206" max="207" width="19.28515625" style="261" customWidth="1"/>
    <col min="208" max="209" width="19.7109375" style="218" customWidth="1"/>
    <col min="210" max="210" width="18.28515625" style="218" customWidth="1"/>
    <col min="211" max="211" width="17" style="218" customWidth="1"/>
    <col min="212" max="212" width="18.28515625" style="218" customWidth="1"/>
    <col min="213" max="213" width="17" style="218" customWidth="1"/>
    <col min="214" max="214" width="19" style="218" customWidth="1"/>
    <col min="215" max="215" width="17" style="218" customWidth="1"/>
    <col min="216" max="216" width="18.42578125" style="218" customWidth="1"/>
    <col min="217" max="217" width="17" style="218" customWidth="1"/>
    <col min="218" max="218" width="19" style="218" customWidth="1"/>
    <col min="219" max="219" width="17" style="218" customWidth="1"/>
    <col min="220" max="220" width="18.140625" style="218" customWidth="1"/>
    <col min="221" max="221" width="17" style="218" customWidth="1"/>
    <col min="222" max="222" width="18.28515625" style="218" customWidth="1"/>
    <col min="223" max="223" width="17" style="218" customWidth="1"/>
    <col min="224" max="224" width="18.42578125" style="218" customWidth="1"/>
    <col min="225" max="225" width="17" style="218" customWidth="1"/>
    <col min="226" max="226" width="18.5703125" style="218" customWidth="1"/>
    <col min="227" max="227" width="17" style="218" customWidth="1"/>
    <col min="228" max="228" width="18.28515625" style="218" customWidth="1"/>
    <col min="229" max="229" width="17" style="218" customWidth="1"/>
    <col min="230" max="230" width="18.140625" style="218" customWidth="1"/>
    <col min="231" max="231" width="17" style="218" customWidth="1"/>
    <col min="232" max="232" width="18.28515625" style="218" customWidth="1"/>
    <col min="233" max="233" width="16.85546875" style="218" customWidth="1"/>
    <col min="234" max="234" width="18.28515625" style="218" customWidth="1"/>
    <col min="235" max="243" width="18.42578125" style="218" customWidth="1"/>
    <col min="244" max="244" width="18.42578125" style="218" bestFit="1" customWidth="1"/>
    <col min="245" max="245" width="16.5703125" style="218" bestFit="1"/>
    <col min="246" max="16384" width="16.5703125" style="218"/>
  </cols>
  <sheetData>
    <row r="1" spans="1:245" ht="22.5" customHeight="1" x14ac:dyDescent="0.25">
      <c r="A1" s="216"/>
      <c r="B1" s="216"/>
      <c r="C1" s="217"/>
      <c r="D1" s="216"/>
      <c r="E1" s="216"/>
      <c r="F1" s="1175"/>
      <c r="G1" s="1175" t="s">
        <v>444</v>
      </c>
      <c r="H1" s="216"/>
      <c r="I1" s="216"/>
      <c r="J1" s="1175"/>
      <c r="K1" s="1175" t="s">
        <v>444</v>
      </c>
      <c r="L1" s="216"/>
      <c r="M1" s="216"/>
      <c r="N1" s="1175"/>
      <c r="O1" s="1175" t="s">
        <v>444</v>
      </c>
      <c r="P1" s="216"/>
      <c r="Q1" s="216"/>
      <c r="R1" s="1175"/>
      <c r="S1" s="1175" t="s">
        <v>444</v>
      </c>
      <c r="T1" s="216"/>
      <c r="U1" s="216"/>
      <c r="V1" s="1175"/>
      <c r="W1" s="1175" t="s">
        <v>444</v>
      </c>
      <c r="X1" s="216"/>
      <c r="Y1" s="216"/>
      <c r="Z1" s="1175"/>
      <c r="AA1" s="1175" t="s">
        <v>444</v>
      </c>
      <c r="AB1" s="216"/>
      <c r="AC1" s="216"/>
      <c r="AD1" s="1175"/>
      <c r="AE1" s="1175" t="s">
        <v>444</v>
      </c>
      <c r="AF1" s="216"/>
      <c r="AG1" s="216"/>
      <c r="AH1" s="1175"/>
      <c r="AI1" s="1175" t="s">
        <v>444</v>
      </c>
      <c r="AJ1" s="216"/>
      <c r="AK1" s="216"/>
      <c r="AL1" s="1175"/>
      <c r="AM1" s="1175" t="s">
        <v>444</v>
      </c>
      <c r="AP1" s="1175"/>
      <c r="AQ1" s="1175" t="s">
        <v>444</v>
      </c>
      <c r="AT1" s="1175"/>
      <c r="AU1" s="1175" t="s">
        <v>444</v>
      </c>
      <c r="AX1" s="1175"/>
      <c r="AY1" s="1175" t="s">
        <v>444</v>
      </c>
      <c r="AZ1" s="216"/>
      <c r="BA1" s="216"/>
      <c r="BB1" s="1175"/>
      <c r="BC1" s="1175" t="s">
        <v>444</v>
      </c>
      <c r="BD1" s="216"/>
      <c r="BE1" s="216"/>
      <c r="BF1" s="1175"/>
      <c r="BG1" s="1175" t="s">
        <v>444</v>
      </c>
      <c r="BH1" s="216"/>
      <c r="BI1" s="216"/>
      <c r="BJ1" s="1175"/>
      <c r="BK1" s="1175" t="s">
        <v>444</v>
      </c>
      <c r="BL1" s="216"/>
      <c r="BM1" s="216"/>
      <c r="BN1" s="1175"/>
      <c r="BO1" s="1175" t="s">
        <v>444</v>
      </c>
      <c r="BR1" s="1175"/>
      <c r="BS1" s="1175" t="s">
        <v>444</v>
      </c>
      <c r="BV1" s="1175"/>
      <c r="BW1" s="1175" t="s">
        <v>444</v>
      </c>
      <c r="BX1" s="216"/>
      <c r="BY1" s="216"/>
      <c r="BZ1" s="1175"/>
      <c r="CA1" s="1175" t="s">
        <v>444</v>
      </c>
      <c r="CD1" s="1175"/>
      <c r="CE1" s="1175" t="s">
        <v>444</v>
      </c>
      <c r="CF1" s="216"/>
      <c r="CG1" s="216"/>
      <c r="CH1" s="1175"/>
      <c r="CI1" s="1175" t="s">
        <v>444</v>
      </c>
      <c r="CJ1" s="216"/>
      <c r="CK1" s="216"/>
      <c r="CL1" s="1175"/>
      <c r="CM1" s="1175" t="s">
        <v>444</v>
      </c>
      <c r="CP1" s="1175"/>
      <c r="CQ1" s="1175" t="s">
        <v>444</v>
      </c>
      <c r="CR1" s="216"/>
      <c r="CS1" s="216"/>
      <c r="CT1" s="1175"/>
      <c r="CU1" s="1175" t="s">
        <v>444</v>
      </c>
      <c r="CV1" s="216"/>
      <c r="CW1" s="216"/>
      <c r="CX1" s="1175"/>
      <c r="CY1" s="1175" t="s">
        <v>444</v>
      </c>
      <c r="CZ1" s="216"/>
      <c r="DA1" s="216"/>
      <c r="DB1" s="1175"/>
      <c r="DC1" s="1175" t="s">
        <v>444</v>
      </c>
      <c r="DD1" s="216"/>
      <c r="DE1" s="216"/>
      <c r="DF1" s="1175"/>
      <c r="DG1" s="1175" t="s">
        <v>444</v>
      </c>
      <c r="DJ1" s="1175"/>
      <c r="DK1" s="1175" t="s">
        <v>444</v>
      </c>
      <c r="DL1" s="216"/>
      <c r="DM1" s="216"/>
      <c r="DN1" s="1175"/>
      <c r="DO1" s="1175" t="s">
        <v>444</v>
      </c>
      <c r="DR1" s="1175"/>
      <c r="DS1" s="1175" t="s">
        <v>444</v>
      </c>
      <c r="DT1" s="216"/>
      <c r="DU1" s="216"/>
      <c r="DV1" s="1175"/>
      <c r="DW1" s="1175" t="s">
        <v>444</v>
      </c>
      <c r="DX1" s="216"/>
      <c r="DY1" s="216"/>
      <c r="DZ1" s="216"/>
      <c r="EA1" s="1175" t="s">
        <v>444</v>
      </c>
      <c r="EB1" s="1175"/>
      <c r="ED1" s="216"/>
      <c r="EE1" s="1175" t="s">
        <v>444</v>
      </c>
      <c r="EF1" s="216"/>
      <c r="EG1" s="216"/>
      <c r="EH1" s="1175"/>
      <c r="EI1" s="1175" t="s">
        <v>444</v>
      </c>
      <c r="EJ1" s="216"/>
      <c r="EK1" s="216"/>
      <c r="EL1" s="1175"/>
      <c r="EM1" s="1175" t="s">
        <v>444</v>
      </c>
      <c r="EN1" s="216"/>
      <c r="EO1" s="216"/>
      <c r="EP1" s="1175"/>
      <c r="EQ1" s="1175" t="s">
        <v>444</v>
      </c>
      <c r="ER1" s="216"/>
      <c r="ES1" s="216"/>
      <c r="ET1" s="1175"/>
      <c r="EU1" s="1175" t="s">
        <v>444</v>
      </c>
      <c r="EV1" s="216"/>
      <c r="EW1" s="216"/>
      <c r="EX1" s="1175"/>
      <c r="EY1" s="1175" t="s">
        <v>444</v>
      </c>
      <c r="EZ1" s="216"/>
      <c r="FA1" s="216"/>
      <c r="FB1" s="1175"/>
      <c r="FC1" s="1175" t="s">
        <v>444</v>
      </c>
      <c r="FD1" s="216"/>
      <c r="FE1" s="216"/>
      <c r="FF1" s="1175"/>
      <c r="FG1" s="1175" t="s">
        <v>444</v>
      </c>
      <c r="FH1" s="216"/>
      <c r="FI1" s="216"/>
      <c r="FJ1" s="1175"/>
      <c r="FK1" s="1175" t="s">
        <v>444</v>
      </c>
      <c r="FL1" s="216"/>
      <c r="FM1" s="216"/>
      <c r="FN1" s="1175"/>
      <c r="FO1" s="1175" t="s">
        <v>444</v>
      </c>
      <c r="FR1" s="1175"/>
      <c r="FS1" s="1175" t="s">
        <v>444</v>
      </c>
      <c r="FV1" s="1175"/>
      <c r="FW1" s="1175" t="s">
        <v>444</v>
      </c>
      <c r="FZ1" s="1175"/>
      <c r="GA1" s="1175" t="s">
        <v>444</v>
      </c>
      <c r="GB1" s="216"/>
      <c r="GC1" s="216"/>
      <c r="GD1" s="1175"/>
      <c r="GE1" s="1175" t="s">
        <v>444</v>
      </c>
      <c r="GH1" s="1175"/>
      <c r="GI1" s="1175" t="s">
        <v>444</v>
      </c>
      <c r="GJ1" s="216"/>
      <c r="GK1" s="216"/>
      <c r="GL1" s="1175"/>
      <c r="GM1" s="1175" t="s">
        <v>444</v>
      </c>
      <c r="GN1" s="216"/>
      <c r="GO1" s="216"/>
      <c r="GP1" s="1175"/>
      <c r="GQ1" s="1175" t="s">
        <v>444</v>
      </c>
      <c r="GR1" s="216"/>
      <c r="GS1" s="216"/>
      <c r="GT1" s="1175"/>
      <c r="GU1" s="1175" t="s">
        <v>444</v>
      </c>
      <c r="GV1" s="216"/>
      <c r="GW1" s="216"/>
      <c r="GX1" s="1175"/>
      <c r="GY1" s="1175" t="s">
        <v>444</v>
      </c>
      <c r="GZ1" s="216"/>
      <c r="HA1" s="216"/>
      <c r="HB1" s="1175"/>
      <c r="HC1" s="1175" t="s">
        <v>444</v>
      </c>
      <c r="HD1" s="216"/>
      <c r="HE1" s="216"/>
      <c r="HF1" s="1175"/>
      <c r="HG1" s="1175" t="s">
        <v>444</v>
      </c>
      <c r="HH1" s="216"/>
      <c r="HI1" s="216"/>
      <c r="HJ1" s="1175"/>
      <c r="HK1" s="1175" t="s">
        <v>444</v>
      </c>
      <c r="HL1" s="216"/>
      <c r="HM1" s="216"/>
      <c r="HN1" s="1175"/>
      <c r="HO1" s="1175" t="s">
        <v>444</v>
      </c>
      <c r="HP1" s="216"/>
      <c r="HQ1" s="216"/>
      <c r="HR1" s="1175"/>
      <c r="HS1" s="1175" t="s">
        <v>444</v>
      </c>
      <c r="HT1" s="216"/>
      <c r="HU1" s="216"/>
      <c r="HV1" s="1175"/>
      <c r="HW1" s="1175" t="s">
        <v>444</v>
      </c>
      <c r="HX1" s="1175"/>
      <c r="HY1" s="1175"/>
      <c r="HZ1" s="1175"/>
      <c r="IA1" s="1175" t="s">
        <v>444</v>
      </c>
      <c r="IB1" s="1175"/>
      <c r="IE1" s="1175" t="s">
        <v>444</v>
      </c>
      <c r="IF1" s="1175"/>
      <c r="IH1" s="1175"/>
      <c r="II1" s="1175" t="s">
        <v>444</v>
      </c>
    </row>
    <row r="2" spans="1:245" ht="36" customHeight="1" x14ac:dyDescent="0.25">
      <c r="A2" s="1634" t="s">
        <v>258</v>
      </c>
      <c r="B2" s="1634"/>
      <c r="C2" s="1634"/>
      <c r="D2" s="387" t="s">
        <v>279</v>
      </c>
      <c r="E2" s="387" t="s">
        <v>1512</v>
      </c>
      <c r="F2" s="387" t="s">
        <v>279</v>
      </c>
      <c r="G2" s="387" t="s">
        <v>1512</v>
      </c>
      <c r="H2" s="387" t="s">
        <v>279</v>
      </c>
      <c r="I2" s="387" t="s">
        <v>1512</v>
      </c>
      <c r="J2" s="387" t="s">
        <v>279</v>
      </c>
      <c r="K2" s="387" t="s">
        <v>1512</v>
      </c>
      <c r="L2" s="387" t="s">
        <v>279</v>
      </c>
      <c r="M2" s="387" t="s">
        <v>1512</v>
      </c>
      <c r="N2" s="387" t="s">
        <v>279</v>
      </c>
      <c r="O2" s="387" t="s">
        <v>1512</v>
      </c>
      <c r="P2" s="387" t="s">
        <v>279</v>
      </c>
      <c r="Q2" s="387" t="s">
        <v>1512</v>
      </c>
      <c r="R2" s="387" t="s">
        <v>279</v>
      </c>
      <c r="S2" s="387" t="s">
        <v>1512</v>
      </c>
      <c r="T2" s="387" t="s">
        <v>279</v>
      </c>
      <c r="U2" s="387" t="s">
        <v>1512</v>
      </c>
      <c r="V2" s="387" t="s">
        <v>279</v>
      </c>
      <c r="W2" s="387" t="s">
        <v>1512</v>
      </c>
      <c r="X2" s="387" t="s">
        <v>279</v>
      </c>
      <c r="Y2" s="387" t="s">
        <v>1512</v>
      </c>
      <c r="Z2" s="387" t="s">
        <v>279</v>
      </c>
      <c r="AA2" s="387" t="s">
        <v>1512</v>
      </c>
      <c r="AB2" s="387" t="s">
        <v>279</v>
      </c>
      <c r="AC2" s="387" t="s">
        <v>1512</v>
      </c>
      <c r="AD2" s="387" t="s">
        <v>279</v>
      </c>
      <c r="AE2" s="387" t="s">
        <v>1512</v>
      </c>
      <c r="AF2" s="387" t="s">
        <v>279</v>
      </c>
      <c r="AG2" s="387" t="s">
        <v>1512</v>
      </c>
      <c r="AH2" s="387" t="s">
        <v>279</v>
      </c>
      <c r="AI2" s="387" t="s">
        <v>1512</v>
      </c>
      <c r="AJ2" s="387" t="s">
        <v>279</v>
      </c>
      <c r="AK2" s="387" t="s">
        <v>1512</v>
      </c>
      <c r="AL2" s="387" t="s">
        <v>279</v>
      </c>
      <c r="AM2" s="387" t="s">
        <v>1512</v>
      </c>
      <c r="AN2" s="387" t="s">
        <v>279</v>
      </c>
      <c r="AO2" s="387" t="s">
        <v>1512</v>
      </c>
      <c r="AP2" s="387" t="s">
        <v>279</v>
      </c>
      <c r="AQ2" s="387" t="s">
        <v>1512</v>
      </c>
      <c r="AR2" s="387" t="s">
        <v>279</v>
      </c>
      <c r="AS2" s="387" t="s">
        <v>1512</v>
      </c>
      <c r="AT2" s="387" t="s">
        <v>279</v>
      </c>
      <c r="AU2" s="387" t="s">
        <v>1512</v>
      </c>
      <c r="AV2" s="387" t="s">
        <v>279</v>
      </c>
      <c r="AW2" s="387" t="s">
        <v>1512</v>
      </c>
      <c r="AX2" s="387" t="s">
        <v>279</v>
      </c>
      <c r="AY2" s="387" t="s">
        <v>1512</v>
      </c>
      <c r="AZ2" s="387" t="s">
        <v>279</v>
      </c>
      <c r="BA2" s="387" t="s">
        <v>1512</v>
      </c>
      <c r="BB2" s="387" t="s">
        <v>279</v>
      </c>
      <c r="BC2" s="387" t="s">
        <v>1512</v>
      </c>
      <c r="BD2" s="387" t="s">
        <v>279</v>
      </c>
      <c r="BE2" s="387" t="s">
        <v>1512</v>
      </c>
      <c r="BF2" s="387" t="s">
        <v>279</v>
      </c>
      <c r="BG2" s="387" t="s">
        <v>1512</v>
      </c>
      <c r="BH2" s="387" t="s">
        <v>279</v>
      </c>
      <c r="BI2" s="387" t="s">
        <v>1512</v>
      </c>
      <c r="BJ2" s="387" t="s">
        <v>279</v>
      </c>
      <c r="BK2" s="387" t="s">
        <v>1512</v>
      </c>
      <c r="BL2" s="387" t="s">
        <v>279</v>
      </c>
      <c r="BM2" s="387" t="s">
        <v>1512</v>
      </c>
      <c r="BN2" s="387" t="s">
        <v>279</v>
      </c>
      <c r="BO2" s="387" t="s">
        <v>1512</v>
      </c>
      <c r="BP2" s="387" t="s">
        <v>279</v>
      </c>
      <c r="BQ2" s="387" t="s">
        <v>1512</v>
      </c>
      <c r="BR2" s="387" t="s">
        <v>279</v>
      </c>
      <c r="BS2" s="387" t="s">
        <v>1512</v>
      </c>
      <c r="BT2" s="387" t="s">
        <v>279</v>
      </c>
      <c r="BU2" s="387" t="s">
        <v>1512</v>
      </c>
      <c r="BV2" s="387" t="s">
        <v>279</v>
      </c>
      <c r="BW2" s="387" t="s">
        <v>1512</v>
      </c>
      <c r="BX2" s="387" t="s">
        <v>279</v>
      </c>
      <c r="BY2" s="387" t="s">
        <v>1512</v>
      </c>
      <c r="BZ2" s="387" t="s">
        <v>279</v>
      </c>
      <c r="CA2" s="387" t="s">
        <v>1512</v>
      </c>
      <c r="CB2" s="387" t="s">
        <v>279</v>
      </c>
      <c r="CC2" s="387" t="s">
        <v>1512</v>
      </c>
      <c r="CD2" s="387" t="s">
        <v>279</v>
      </c>
      <c r="CE2" s="387" t="s">
        <v>1512</v>
      </c>
      <c r="CF2" s="387" t="s">
        <v>279</v>
      </c>
      <c r="CG2" s="387" t="s">
        <v>1512</v>
      </c>
      <c r="CH2" s="387" t="s">
        <v>279</v>
      </c>
      <c r="CI2" s="387" t="s">
        <v>1512</v>
      </c>
      <c r="CJ2" s="387" t="s">
        <v>279</v>
      </c>
      <c r="CK2" s="387" t="s">
        <v>1512</v>
      </c>
      <c r="CL2" s="387" t="s">
        <v>279</v>
      </c>
      <c r="CM2" s="387" t="s">
        <v>1512</v>
      </c>
      <c r="CN2" s="387" t="s">
        <v>279</v>
      </c>
      <c r="CO2" s="387" t="s">
        <v>1512</v>
      </c>
      <c r="CP2" s="387" t="s">
        <v>279</v>
      </c>
      <c r="CQ2" s="387" t="s">
        <v>1512</v>
      </c>
      <c r="CR2" s="387" t="s">
        <v>279</v>
      </c>
      <c r="CS2" s="387" t="s">
        <v>1512</v>
      </c>
      <c r="CT2" s="387" t="s">
        <v>279</v>
      </c>
      <c r="CU2" s="387" t="s">
        <v>1512</v>
      </c>
      <c r="CV2" s="387" t="s">
        <v>279</v>
      </c>
      <c r="CW2" s="387" t="s">
        <v>1512</v>
      </c>
      <c r="CX2" s="387" t="s">
        <v>279</v>
      </c>
      <c r="CY2" s="387" t="s">
        <v>1512</v>
      </c>
      <c r="CZ2" s="387" t="s">
        <v>279</v>
      </c>
      <c r="DA2" s="387" t="s">
        <v>1512</v>
      </c>
      <c r="DB2" s="387" t="s">
        <v>279</v>
      </c>
      <c r="DC2" s="387" t="s">
        <v>1512</v>
      </c>
      <c r="DD2" s="387" t="s">
        <v>279</v>
      </c>
      <c r="DE2" s="387" t="s">
        <v>1512</v>
      </c>
      <c r="DF2" s="387" t="s">
        <v>279</v>
      </c>
      <c r="DG2" s="387" t="s">
        <v>1512</v>
      </c>
      <c r="DH2" s="387" t="s">
        <v>279</v>
      </c>
      <c r="DI2" s="387" t="s">
        <v>1512</v>
      </c>
      <c r="DJ2" s="387" t="s">
        <v>279</v>
      </c>
      <c r="DK2" s="387" t="s">
        <v>1512</v>
      </c>
      <c r="DL2" s="387" t="s">
        <v>279</v>
      </c>
      <c r="DM2" s="387" t="s">
        <v>1512</v>
      </c>
      <c r="DN2" s="387" t="s">
        <v>279</v>
      </c>
      <c r="DO2" s="387" t="s">
        <v>1512</v>
      </c>
      <c r="DP2" s="387" t="s">
        <v>279</v>
      </c>
      <c r="DQ2" s="387" t="s">
        <v>1512</v>
      </c>
      <c r="DR2" s="387" t="s">
        <v>279</v>
      </c>
      <c r="DS2" s="387" t="s">
        <v>1512</v>
      </c>
      <c r="DT2" s="387" t="s">
        <v>279</v>
      </c>
      <c r="DU2" s="387" t="s">
        <v>1512</v>
      </c>
      <c r="DV2" s="387" t="s">
        <v>279</v>
      </c>
      <c r="DW2" s="387" t="s">
        <v>1512</v>
      </c>
      <c r="DX2" s="387" t="s">
        <v>279</v>
      </c>
      <c r="DY2" s="387" t="s">
        <v>1512</v>
      </c>
      <c r="DZ2" s="387" t="s">
        <v>279</v>
      </c>
      <c r="EA2" s="387" t="s">
        <v>1512</v>
      </c>
      <c r="EB2" s="387" t="s">
        <v>279</v>
      </c>
      <c r="EC2" s="387" t="s">
        <v>1512</v>
      </c>
      <c r="ED2" s="387" t="s">
        <v>279</v>
      </c>
      <c r="EE2" s="387" t="s">
        <v>1512</v>
      </c>
      <c r="EF2" s="387" t="s">
        <v>279</v>
      </c>
      <c r="EG2" s="387" t="s">
        <v>1512</v>
      </c>
      <c r="EH2" s="387" t="s">
        <v>279</v>
      </c>
      <c r="EI2" s="387" t="s">
        <v>1512</v>
      </c>
      <c r="EJ2" s="387" t="s">
        <v>279</v>
      </c>
      <c r="EK2" s="387" t="s">
        <v>1512</v>
      </c>
      <c r="EL2" s="387" t="s">
        <v>279</v>
      </c>
      <c r="EM2" s="387" t="s">
        <v>1512</v>
      </c>
      <c r="EN2" s="387" t="s">
        <v>279</v>
      </c>
      <c r="EO2" s="387" t="s">
        <v>1512</v>
      </c>
      <c r="EP2" s="387" t="s">
        <v>279</v>
      </c>
      <c r="EQ2" s="387" t="s">
        <v>1512</v>
      </c>
      <c r="ER2" s="387" t="s">
        <v>279</v>
      </c>
      <c r="ES2" s="387" t="s">
        <v>1512</v>
      </c>
      <c r="ET2" s="387" t="s">
        <v>279</v>
      </c>
      <c r="EU2" s="387" t="s">
        <v>1512</v>
      </c>
      <c r="EV2" s="387" t="s">
        <v>279</v>
      </c>
      <c r="EW2" s="387" t="s">
        <v>1512</v>
      </c>
      <c r="EX2" s="387" t="s">
        <v>279</v>
      </c>
      <c r="EY2" s="387" t="s">
        <v>1512</v>
      </c>
      <c r="EZ2" s="387" t="s">
        <v>279</v>
      </c>
      <c r="FA2" s="387" t="s">
        <v>1512</v>
      </c>
      <c r="FB2" s="387" t="s">
        <v>279</v>
      </c>
      <c r="FC2" s="387" t="s">
        <v>1512</v>
      </c>
      <c r="FD2" s="387" t="s">
        <v>279</v>
      </c>
      <c r="FE2" s="387" t="s">
        <v>1512</v>
      </c>
      <c r="FF2" s="387" t="s">
        <v>279</v>
      </c>
      <c r="FG2" s="387" t="s">
        <v>1512</v>
      </c>
      <c r="FH2" s="387" t="s">
        <v>279</v>
      </c>
      <c r="FI2" s="387" t="s">
        <v>1512</v>
      </c>
      <c r="FJ2" s="387" t="s">
        <v>279</v>
      </c>
      <c r="FK2" s="387" t="s">
        <v>1512</v>
      </c>
      <c r="FL2" s="387" t="s">
        <v>279</v>
      </c>
      <c r="FM2" s="387" t="s">
        <v>1512</v>
      </c>
      <c r="FN2" s="387" t="s">
        <v>279</v>
      </c>
      <c r="FO2" s="387" t="s">
        <v>1512</v>
      </c>
      <c r="FP2" s="387" t="s">
        <v>279</v>
      </c>
      <c r="FQ2" s="387" t="s">
        <v>1512</v>
      </c>
      <c r="FR2" s="387" t="s">
        <v>279</v>
      </c>
      <c r="FS2" s="387" t="s">
        <v>1512</v>
      </c>
      <c r="FT2" s="387" t="s">
        <v>279</v>
      </c>
      <c r="FU2" s="387" t="s">
        <v>1512</v>
      </c>
      <c r="FV2" s="387" t="s">
        <v>279</v>
      </c>
      <c r="FW2" s="387" t="s">
        <v>1512</v>
      </c>
      <c r="FX2" s="387" t="s">
        <v>279</v>
      </c>
      <c r="FY2" s="387" t="s">
        <v>1512</v>
      </c>
      <c r="FZ2" s="387" t="s">
        <v>279</v>
      </c>
      <c r="GA2" s="387" t="s">
        <v>1512</v>
      </c>
      <c r="GB2" s="387" t="s">
        <v>279</v>
      </c>
      <c r="GC2" s="387" t="s">
        <v>1512</v>
      </c>
      <c r="GD2" s="387" t="s">
        <v>279</v>
      </c>
      <c r="GE2" s="387" t="s">
        <v>1512</v>
      </c>
      <c r="GF2" s="387" t="s">
        <v>279</v>
      </c>
      <c r="GG2" s="387" t="s">
        <v>1512</v>
      </c>
      <c r="GH2" s="387" t="s">
        <v>279</v>
      </c>
      <c r="GI2" s="387" t="s">
        <v>1512</v>
      </c>
      <c r="GJ2" s="387" t="s">
        <v>279</v>
      </c>
      <c r="GK2" s="387" t="s">
        <v>1512</v>
      </c>
      <c r="GL2" s="387" t="s">
        <v>279</v>
      </c>
      <c r="GM2" s="387" t="s">
        <v>1512</v>
      </c>
      <c r="GN2" s="387" t="s">
        <v>279</v>
      </c>
      <c r="GO2" s="387" t="s">
        <v>1512</v>
      </c>
      <c r="GP2" s="387" t="s">
        <v>279</v>
      </c>
      <c r="GQ2" s="387" t="s">
        <v>1512</v>
      </c>
      <c r="GR2" s="387" t="s">
        <v>279</v>
      </c>
      <c r="GS2" s="387" t="s">
        <v>1512</v>
      </c>
      <c r="GT2" s="387" t="s">
        <v>279</v>
      </c>
      <c r="GU2" s="387" t="s">
        <v>1512</v>
      </c>
      <c r="GV2" s="387" t="s">
        <v>279</v>
      </c>
      <c r="GW2" s="387" t="s">
        <v>1512</v>
      </c>
      <c r="GX2" s="387" t="s">
        <v>279</v>
      </c>
      <c r="GY2" s="387" t="s">
        <v>1512</v>
      </c>
      <c r="GZ2" s="387" t="s">
        <v>279</v>
      </c>
      <c r="HA2" s="387" t="s">
        <v>1512</v>
      </c>
      <c r="HB2" s="387" t="s">
        <v>279</v>
      </c>
      <c r="HC2" s="387" t="s">
        <v>1512</v>
      </c>
      <c r="HD2" s="387" t="s">
        <v>279</v>
      </c>
      <c r="HE2" s="387" t="s">
        <v>1512</v>
      </c>
      <c r="HF2" s="387" t="s">
        <v>279</v>
      </c>
      <c r="HG2" s="387" t="s">
        <v>1512</v>
      </c>
      <c r="HH2" s="387" t="s">
        <v>279</v>
      </c>
      <c r="HI2" s="387" t="s">
        <v>1512</v>
      </c>
      <c r="HJ2" s="387" t="s">
        <v>279</v>
      </c>
      <c r="HK2" s="387" t="s">
        <v>1512</v>
      </c>
      <c r="HL2" s="387" t="s">
        <v>279</v>
      </c>
      <c r="HM2" s="387" t="s">
        <v>1512</v>
      </c>
      <c r="HN2" s="387" t="s">
        <v>279</v>
      </c>
      <c r="HO2" s="387" t="s">
        <v>1512</v>
      </c>
      <c r="HP2" s="387" t="s">
        <v>279</v>
      </c>
      <c r="HQ2" s="387" t="s">
        <v>1512</v>
      </c>
      <c r="HR2" s="387" t="s">
        <v>279</v>
      </c>
      <c r="HS2" s="387" t="s">
        <v>1512</v>
      </c>
      <c r="HT2" s="387" t="s">
        <v>279</v>
      </c>
      <c r="HU2" s="387" t="s">
        <v>1512</v>
      </c>
      <c r="HV2" s="387" t="s">
        <v>279</v>
      </c>
      <c r="HW2" s="387" t="s">
        <v>1512</v>
      </c>
      <c r="HX2" s="387" t="s">
        <v>279</v>
      </c>
      <c r="HY2" s="387" t="s">
        <v>1512</v>
      </c>
      <c r="HZ2" s="387" t="s">
        <v>279</v>
      </c>
      <c r="IA2" s="387" t="s">
        <v>1512</v>
      </c>
      <c r="IB2" s="387" t="s">
        <v>279</v>
      </c>
      <c r="IC2" s="387" t="s">
        <v>1512</v>
      </c>
      <c r="ID2" s="387" t="s">
        <v>279</v>
      </c>
      <c r="IE2" s="387" t="s">
        <v>1512</v>
      </c>
      <c r="IF2" s="387" t="s">
        <v>279</v>
      </c>
      <c r="IG2" s="387" t="s">
        <v>1512</v>
      </c>
      <c r="IH2" s="387" t="s">
        <v>279</v>
      </c>
      <c r="II2" s="387" t="s">
        <v>1512</v>
      </c>
    </row>
    <row r="3" spans="1:245" ht="141" customHeight="1" x14ac:dyDescent="0.25">
      <c r="A3" s="1635" t="s">
        <v>192</v>
      </c>
      <c r="B3" s="1634" t="s">
        <v>250</v>
      </c>
      <c r="C3" s="1634"/>
      <c r="D3" s="62" t="s">
        <v>374</v>
      </c>
      <c r="E3" s="62" t="s">
        <v>374</v>
      </c>
      <c r="F3" s="62" t="s">
        <v>497</v>
      </c>
      <c r="G3" s="62" t="s">
        <v>497</v>
      </c>
      <c r="H3" s="62" t="s">
        <v>640</v>
      </c>
      <c r="I3" s="62" t="s">
        <v>640</v>
      </c>
      <c r="J3" s="62" t="s">
        <v>640</v>
      </c>
      <c r="K3" s="62" t="s">
        <v>640</v>
      </c>
      <c r="L3" s="62" t="s">
        <v>1316</v>
      </c>
      <c r="M3" s="62" t="s">
        <v>1316</v>
      </c>
      <c r="N3" s="62" t="s">
        <v>1318</v>
      </c>
      <c r="O3" s="62" t="s">
        <v>1318</v>
      </c>
      <c r="P3" s="62" t="s">
        <v>435</v>
      </c>
      <c r="Q3" s="62" t="s">
        <v>435</v>
      </c>
      <c r="R3" s="62" t="s">
        <v>896</v>
      </c>
      <c r="S3" s="62" t="s">
        <v>896</v>
      </c>
      <c r="T3" s="62" t="s">
        <v>643</v>
      </c>
      <c r="U3" s="62" t="s">
        <v>643</v>
      </c>
      <c r="V3" s="387" t="s">
        <v>375</v>
      </c>
      <c r="W3" s="387" t="s">
        <v>375</v>
      </c>
      <c r="X3" s="387" t="s">
        <v>375</v>
      </c>
      <c r="Y3" s="387" t="s">
        <v>375</v>
      </c>
      <c r="Z3" s="62" t="s">
        <v>383</v>
      </c>
      <c r="AA3" s="62" t="s">
        <v>383</v>
      </c>
      <c r="AB3" s="387" t="s">
        <v>514</v>
      </c>
      <c r="AC3" s="387" t="s">
        <v>514</v>
      </c>
      <c r="AD3" s="62" t="s">
        <v>904</v>
      </c>
      <c r="AE3" s="62" t="s">
        <v>904</v>
      </c>
      <c r="AF3" s="62" t="s">
        <v>1327</v>
      </c>
      <c r="AG3" s="62" t="s">
        <v>1327</v>
      </c>
      <c r="AH3" s="62" t="s">
        <v>922</v>
      </c>
      <c r="AI3" s="62" t="s">
        <v>922</v>
      </c>
      <c r="AJ3" s="1550" t="s">
        <v>339</v>
      </c>
      <c r="AK3" s="1550" t="s">
        <v>339</v>
      </c>
      <c r="AL3" s="1550" t="s">
        <v>339</v>
      </c>
      <c r="AM3" s="1550" t="s">
        <v>339</v>
      </c>
      <c r="AN3" s="62" t="s">
        <v>378</v>
      </c>
      <c r="AO3" s="62" t="s">
        <v>378</v>
      </c>
      <c r="AP3" s="62" t="s">
        <v>377</v>
      </c>
      <c r="AQ3" s="62" t="s">
        <v>377</v>
      </c>
      <c r="AR3" s="62" t="s">
        <v>849</v>
      </c>
      <c r="AS3" s="62" t="s">
        <v>849</v>
      </c>
      <c r="AT3" s="62" t="s">
        <v>377</v>
      </c>
      <c r="AU3" s="62" t="s">
        <v>377</v>
      </c>
      <c r="AV3" s="62" t="s">
        <v>376</v>
      </c>
      <c r="AW3" s="62" t="s">
        <v>376</v>
      </c>
      <c r="AX3" s="62" t="s">
        <v>897</v>
      </c>
      <c r="AY3" s="62" t="s">
        <v>897</v>
      </c>
      <c r="AZ3" s="62" t="s">
        <v>253</v>
      </c>
      <c r="BA3" s="62" t="s">
        <v>253</v>
      </c>
      <c r="BB3" s="62" t="s">
        <v>848</v>
      </c>
      <c r="BC3" s="62" t="s">
        <v>848</v>
      </c>
      <c r="BD3" s="62" t="s">
        <v>389</v>
      </c>
      <c r="BE3" s="62" t="s">
        <v>389</v>
      </c>
      <c r="BF3" s="62" t="s">
        <v>1529</v>
      </c>
      <c r="BG3" s="62" t="s">
        <v>1529</v>
      </c>
      <c r="BH3" s="62" t="s">
        <v>387</v>
      </c>
      <c r="BI3" s="62" t="s">
        <v>387</v>
      </c>
      <c r="BJ3" s="62" t="s">
        <v>425</v>
      </c>
      <c r="BK3" s="62" t="s">
        <v>425</v>
      </c>
      <c r="BL3" s="62" t="s">
        <v>542</v>
      </c>
      <c r="BM3" s="62" t="s">
        <v>542</v>
      </c>
      <c r="BN3" s="62" t="s">
        <v>386</v>
      </c>
      <c r="BO3" s="62" t="s">
        <v>386</v>
      </c>
      <c r="BP3" s="62" t="s">
        <v>386</v>
      </c>
      <c r="BQ3" s="62" t="s">
        <v>386</v>
      </c>
      <c r="BR3" s="62" t="s">
        <v>499</v>
      </c>
      <c r="BS3" s="62" t="s">
        <v>499</v>
      </c>
      <c r="BT3" s="62" t="s">
        <v>439</v>
      </c>
      <c r="BU3" s="62" t="s">
        <v>439</v>
      </c>
      <c r="BV3" s="62" t="s">
        <v>427</v>
      </c>
      <c r="BW3" s="62" t="s">
        <v>427</v>
      </c>
      <c r="BX3" s="62" t="s">
        <v>385</v>
      </c>
      <c r="BY3" s="62" t="s">
        <v>385</v>
      </c>
      <c r="BZ3" s="62" t="s">
        <v>749</v>
      </c>
      <c r="CA3" s="62" t="s">
        <v>749</v>
      </c>
      <c r="CB3" s="62" t="s">
        <v>254</v>
      </c>
      <c r="CC3" s="62" t="s">
        <v>254</v>
      </c>
      <c r="CD3" s="62" t="s">
        <v>435</v>
      </c>
      <c r="CE3" s="62" t="s">
        <v>435</v>
      </c>
      <c r="CF3" s="62" t="s">
        <v>422</v>
      </c>
      <c r="CG3" s="62" t="s">
        <v>422</v>
      </c>
      <c r="CH3" s="62" t="s">
        <v>259</v>
      </c>
      <c r="CI3" s="62" t="s">
        <v>259</v>
      </c>
      <c r="CJ3" s="62" t="s">
        <v>384</v>
      </c>
      <c r="CK3" s="62" t="s">
        <v>384</v>
      </c>
      <c r="CL3" s="62" t="s">
        <v>500</v>
      </c>
      <c r="CM3" s="62" t="s">
        <v>500</v>
      </c>
      <c r="CN3" s="62" t="s">
        <v>429</v>
      </c>
      <c r="CO3" s="62" t="s">
        <v>429</v>
      </c>
      <c r="CP3" s="62" t="s">
        <v>383</v>
      </c>
      <c r="CQ3" s="62" t="s">
        <v>383</v>
      </c>
      <c r="CR3" s="62" t="s">
        <v>255</v>
      </c>
      <c r="CS3" s="62" t="s">
        <v>255</v>
      </c>
      <c r="CT3" s="62" t="s">
        <v>490</v>
      </c>
      <c r="CU3" s="62" t="s">
        <v>490</v>
      </c>
      <c r="CV3" s="62" t="s">
        <v>490</v>
      </c>
      <c r="CW3" s="62" t="s">
        <v>490</v>
      </c>
      <c r="CX3" s="62" t="s">
        <v>382</v>
      </c>
      <c r="CY3" s="62" t="s">
        <v>382</v>
      </c>
      <c r="CZ3" s="62" t="s">
        <v>381</v>
      </c>
      <c r="DA3" s="62" t="s">
        <v>381</v>
      </c>
      <c r="DB3" s="62" t="s">
        <v>380</v>
      </c>
      <c r="DC3" s="62" t="s">
        <v>380</v>
      </c>
      <c r="DD3" s="62" t="s">
        <v>898</v>
      </c>
      <c r="DE3" s="62" t="s">
        <v>898</v>
      </c>
      <c r="DF3" s="62" t="s">
        <v>628</v>
      </c>
      <c r="DG3" s="62" t="s">
        <v>628</v>
      </c>
      <c r="DH3" s="62" t="s">
        <v>903</v>
      </c>
      <c r="DI3" s="62" t="s">
        <v>903</v>
      </c>
      <c r="DJ3" s="62" t="s">
        <v>752</v>
      </c>
      <c r="DK3" s="62" t="s">
        <v>752</v>
      </c>
      <c r="DL3" s="62" t="s">
        <v>900</v>
      </c>
      <c r="DM3" s="62" t="s">
        <v>900</v>
      </c>
      <c r="DN3" s="62" t="s">
        <v>899</v>
      </c>
      <c r="DO3" s="62" t="s">
        <v>899</v>
      </c>
      <c r="DP3" s="62" t="s">
        <v>439</v>
      </c>
      <c r="DQ3" s="62" t="s">
        <v>439</v>
      </c>
      <c r="DR3" s="62" t="s">
        <v>439</v>
      </c>
      <c r="DS3" s="62" t="s">
        <v>439</v>
      </c>
      <c r="DT3" s="262" t="s">
        <v>537</v>
      </c>
      <c r="DU3" s="262" t="s">
        <v>537</v>
      </c>
      <c r="DV3" s="262" t="s">
        <v>564</v>
      </c>
      <c r="DW3" s="262" t="s">
        <v>564</v>
      </c>
      <c r="DX3" s="262" t="s">
        <v>564</v>
      </c>
      <c r="DY3" s="262" t="s">
        <v>564</v>
      </c>
      <c r="DZ3" s="262" t="s">
        <v>564</v>
      </c>
      <c r="EA3" s="262" t="s">
        <v>564</v>
      </c>
      <c r="EB3" s="262" t="s">
        <v>562</v>
      </c>
      <c r="EC3" s="262" t="s">
        <v>562</v>
      </c>
      <c r="ED3" s="262" t="s">
        <v>562</v>
      </c>
      <c r="EE3" s="262" t="s">
        <v>562</v>
      </c>
      <c r="EF3" s="262" t="s">
        <v>562</v>
      </c>
      <c r="EG3" s="262" t="s">
        <v>562</v>
      </c>
      <c r="EH3" s="62" t="s">
        <v>379</v>
      </c>
      <c r="EI3" s="62" t="s">
        <v>379</v>
      </c>
      <c r="EJ3" s="62" t="s">
        <v>431</v>
      </c>
      <c r="EK3" s="62" t="s">
        <v>431</v>
      </c>
      <c r="EL3" s="62" t="s">
        <v>430</v>
      </c>
      <c r="EM3" s="62" t="s">
        <v>430</v>
      </c>
      <c r="EN3" s="62" t="s">
        <v>432</v>
      </c>
      <c r="EO3" s="62" t="s">
        <v>432</v>
      </c>
      <c r="EP3" s="62" t="s">
        <v>656</v>
      </c>
      <c r="EQ3" s="62" t="s">
        <v>656</v>
      </c>
      <c r="ER3" s="262" t="s">
        <v>535</v>
      </c>
      <c r="ES3" s="262" t="s">
        <v>535</v>
      </c>
      <c r="ET3" s="62" t="s">
        <v>667</v>
      </c>
      <c r="EU3" s="62" t="s">
        <v>667</v>
      </c>
      <c r="EV3" s="62" t="s">
        <v>753</v>
      </c>
      <c r="EW3" s="62" t="s">
        <v>753</v>
      </c>
      <c r="EX3" s="62" t="s">
        <v>754</v>
      </c>
      <c r="EY3" s="62" t="s">
        <v>754</v>
      </c>
      <c r="EZ3" s="62" t="s">
        <v>755</v>
      </c>
      <c r="FA3" s="62" t="s">
        <v>755</v>
      </c>
      <c r="FB3" s="62" t="s">
        <v>758</v>
      </c>
      <c r="FC3" s="62" t="s">
        <v>758</v>
      </c>
      <c r="FD3" s="62" t="s">
        <v>835</v>
      </c>
      <c r="FE3" s="62" t="s">
        <v>835</v>
      </c>
      <c r="FF3" s="62" t="s">
        <v>280</v>
      </c>
      <c r="FG3" s="62" t="s">
        <v>280</v>
      </c>
      <c r="FH3" s="62" t="s">
        <v>511</v>
      </c>
      <c r="FI3" s="62" t="s">
        <v>511</v>
      </c>
      <c r="FJ3" s="1550" t="s">
        <v>179</v>
      </c>
      <c r="FK3" s="1550" t="s">
        <v>179</v>
      </c>
      <c r="FL3" s="62" t="s">
        <v>585</v>
      </c>
      <c r="FM3" s="62" t="s">
        <v>585</v>
      </c>
      <c r="FN3" s="1550" t="s">
        <v>1383</v>
      </c>
      <c r="FO3" s="1550" t="s">
        <v>1383</v>
      </c>
      <c r="FP3" s="62" t="s">
        <v>280</v>
      </c>
      <c r="FQ3" s="62" t="s">
        <v>280</v>
      </c>
      <c r="FR3" s="1545" t="s">
        <v>895</v>
      </c>
      <c r="FS3" s="1545" t="s">
        <v>895</v>
      </c>
      <c r="FT3" s="1550" t="s">
        <v>339</v>
      </c>
      <c r="FU3" s="1550" t="s">
        <v>339</v>
      </c>
      <c r="FV3" s="262" t="s">
        <v>901</v>
      </c>
      <c r="FW3" s="262" t="s">
        <v>901</v>
      </c>
      <c r="FX3" s="263" t="s">
        <v>597</v>
      </c>
      <c r="FY3" s="1522" t="s">
        <v>3170</v>
      </c>
      <c r="FZ3" s="62" t="s">
        <v>359</v>
      </c>
      <c r="GA3" s="62" t="s">
        <v>3171</v>
      </c>
      <c r="GB3" s="262" t="s">
        <v>586</v>
      </c>
      <c r="GC3" s="262" t="s">
        <v>586</v>
      </c>
      <c r="GD3" s="262" t="s">
        <v>865</v>
      </c>
      <c r="GE3" s="262" t="s">
        <v>865</v>
      </c>
      <c r="GF3" s="387" t="s">
        <v>560</v>
      </c>
      <c r="GG3" s="387" t="s">
        <v>560</v>
      </c>
      <c r="GH3" s="387" t="s">
        <v>915</v>
      </c>
      <c r="GI3" s="387" t="s">
        <v>915</v>
      </c>
      <c r="GJ3" s="262" t="s">
        <v>901</v>
      </c>
      <c r="GK3" s="262" t="s">
        <v>901</v>
      </c>
      <c r="GL3" s="262" t="s">
        <v>901</v>
      </c>
      <c r="GM3" s="262" t="s">
        <v>901</v>
      </c>
      <c r="GN3" s="62" t="s">
        <v>753</v>
      </c>
      <c r="GO3" s="62" t="s">
        <v>753</v>
      </c>
      <c r="GP3" s="62" t="s">
        <v>754</v>
      </c>
      <c r="GQ3" s="62" t="s">
        <v>754</v>
      </c>
      <c r="GR3" s="62" t="s">
        <v>835</v>
      </c>
      <c r="GS3" s="62" t="s">
        <v>835</v>
      </c>
      <c r="GT3" s="62" t="s">
        <v>439</v>
      </c>
      <c r="GU3" s="62" t="s">
        <v>439</v>
      </c>
      <c r="GV3" s="62" t="s">
        <v>439</v>
      </c>
      <c r="GW3" s="62" t="s">
        <v>439</v>
      </c>
      <c r="GX3" s="62" t="s">
        <v>497</v>
      </c>
      <c r="GY3" s="62" t="s">
        <v>497</v>
      </c>
      <c r="GZ3" s="62" t="s">
        <v>384</v>
      </c>
      <c r="HA3" s="62" t="s">
        <v>384</v>
      </c>
      <c r="HB3" s="1545" t="s">
        <v>895</v>
      </c>
      <c r="HC3" s="1545" t="s">
        <v>895</v>
      </c>
      <c r="HD3" s="1545" t="s">
        <v>895</v>
      </c>
      <c r="HE3" s="1545" t="s">
        <v>895</v>
      </c>
      <c r="HF3" s="62" t="s">
        <v>374</v>
      </c>
      <c r="HG3" s="62" t="s">
        <v>374</v>
      </c>
      <c r="HH3" s="62" t="s">
        <v>374</v>
      </c>
      <c r="HI3" s="62" t="s">
        <v>374</v>
      </c>
      <c r="HJ3" s="62" t="s">
        <v>435</v>
      </c>
      <c r="HK3" s="62" t="s">
        <v>435</v>
      </c>
      <c r="HL3" s="62" t="s">
        <v>435</v>
      </c>
      <c r="HM3" s="62" t="s">
        <v>435</v>
      </c>
      <c r="HN3" s="262" t="s">
        <v>586</v>
      </c>
      <c r="HO3" s="262" t="s">
        <v>586</v>
      </c>
      <c r="HP3" s="262" t="s">
        <v>586</v>
      </c>
      <c r="HQ3" s="262" t="s">
        <v>586</v>
      </c>
      <c r="HR3" s="62" t="s">
        <v>439</v>
      </c>
      <c r="HS3" s="62" t="s">
        <v>439</v>
      </c>
      <c r="HT3" s="62" t="s">
        <v>439</v>
      </c>
      <c r="HU3" s="62" t="s">
        <v>439</v>
      </c>
      <c r="HV3" s="262" t="s">
        <v>901</v>
      </c>
      <c r="HW3" s="262" t="s">
        <v>901</v>
      </c>
      <c r="HX3" s="262" t="s">
        <v>901</v>
      </c>
      <c r="HY3" s="262" t="s">
        <v>901</v>
      </c>
      <c r="HZ3" s="62" t="s">
        <v>439</v>
      </c>
      <c r="IA3" s="62" t="s">
        <v>439</v>
      </c>
      <c r="IB3" s="62" t="s">
        <v>439</v>
      </c>
      <c r="IC3" s="62" t="s">
        <v>439</v>
      </c>
      <c r="ID3" s="62" t="s">
        <v>374</v>
      </c>
      <c r="IE3" s="62" t="s">
        <v>374</v>
      </c>
      <c r="IF3" s="1553" t="s">
        <v>517</v>
      </c>
      <c r="IG3" s="1553" t="s">
        <v>517</v>
      </c>
      <c r="IH3" s="1553" t="s">
        <v>517</v>
      </c>
      <c r="II3" s="1553" t="s">
        <v>517</v>
      </c>
    </row>
    <row r="4" spans="1:245" ht="28.5" customHeight="1" x14ac:dyDescent="0.25">
      <c r="A4" s="1635"/>
      <c r="B4" s="1634" t="s">
        <v>11</v>
      </c>
      <c r="C4" s="1634"/>
      <c r="D4" s="62" t="s">
        <v>228</v>
      </c>
      <c r="E4" s="62" t="s">
        <v>228</v>
      </c>
      <c r="F4" s="62" t="s">
        <v>228</v>
      </c>
      <c r="G4" s="62" t="s">
        <v>228</v>
      </c>
      <c r="H4" s="62" t="s">
        <v>228</v>
      </c>
      <c r="I4" s="62" t="s">
        <v>228</v>
      </c>
      <c r="J4" s="62" t="s">
        <v>229</v>
      </c>
      <c r="K4" s="62" t="s">
        <v>229</v>
      </c>
      <c r="L4" s="62" t="s">
        <v>228</v>
      </c>
      <c r="M4" s="62" t="s">
        <v>228</v>
      </c>
      <c r="N4" s="62" t="s">
        <v>228</v>
      </c>
      <c r="O4" s="62" t="s">
        <v>228</v>
      </c>
      <c r="P4" s="62" t="s">
        <v>228</v>
      </c>
      <c r="Q4" s="62" t="s">
        <v>228</v>
      </c>
      <c r="R4" s="62" t="s">
        <v>228</v>
      </c>
      <c r="S4" s="62" t="s">
        <v>228</v>
      </c>
      <c r="T4" s="62" t="s">
        <v>228</v>
      </c>
      <c r="U4" s="62" t="s">
        <v>228</v>
      </c>
      <c r="V4" s="62" t="s">
        <v>228</v>
      </c>
      <c r="W4" s="62" t="s">
        <v>228</v>
      </c>
      <c r="X4" s="387" t="s">
        <v>229</v>
      </c>
      <c r="Y4" s="387" t="s">
        <v>229</v>
      </c>
      <c r="Z4" s="387" t="s">
        <v>229</v>
      </c>
      <c r="AA4" s="387" t="s">
        <v>229</v>
      </c>
      <c r="AB4" s="387" t="s">
        <v>228</v>
      </c>
      <c r="AC4" s="387" t="s">
        <v>228</v>
      </c>
      <c r="AD4" s="387" t="s">
        <v>228</v>
      </c>
      <c r="AE4" s="387" t="s">
        <v>228</v>
      </c>
      <c r="AF4" s="387" t="s">
        <v>228</v>
      </c>
      <c r="AG4" s="387" t="s">
        <v>228</v>
      </c>
      <c r="AH4" s="62" t="s">
        <v>228</v>
      </c>
      <c r="AI4" s="62" t="s">
        <v>228</v>
      </c>
      <c r="AJ4" s="62" t="s">
        <v>228</v>
      </c>
      <c r="AK4" s="62" t="s">
        <v>228</v>
      </c>
      <c r="AL4" s="62" t="s">
        <v>228</v>
      </c>
      <c r="AM4" s="62" t="s">
        <v>228</v>
      </c>
      <c r="AN4" s="62" t="s">
        <v>228</v>
      </c>
      <c r="AO4" s="62" t="s">
        <v>228</v>
      </c>
      <c r="AP4" s="62" t="s">
        <v>228</v>
      </c>
      <c r="AQ4" s="62" t="s">
        <v>228</v>
      </c>
      <c r="AR4" s="62" t="s">
        <v>228</v>
      </c>
      <c r="AS4" s="62" t="s">
        <v>228</v>
      </c>
      <c r="AT4" s="62" t="s">
        <v>229</v>
      </c>
      <c r="AU4" s="62" t="s">
        <v>229</v>
      </c>
      <c r="AV4" s="62" t="s">
        <v>229</v>
      </c>
      <c r="AW4" s="62" t="s">
        <v>229</v>
      </c>
      <c r="AX4" s="62" t="s">
        <v>228</v>
      </c>
      <c r="AY4" s="62" t="s">
        <v>228</v>
      </c>
      <c r="AZ4" s="62" t="s">
        <v>228</v>
      </c>
      <c r="BA4" s="62" t="s">
        <v>228</v>
      </c>
      <c r="BB4" s="62" t="s">
        <v>228</v>
      </c>
      <c r="BC4" s="62" t="s">
        <v>228</v>
      </c>
      <c r="BD4" s="62" t="s">
        <v>228</v>
      </c>
      <c r="BE4" s="62" t="s">
        <v>228</v>
      </c>
      <c r="BF4" s="62" t="s">
        <v>228</v>
      </c>
      <c r="BG4" s="62" t="s">
        <v>228</v>
      </c>
      <c r="BH4" s="62" t="s">
        <v>228</v>
      </c>
      <c r="BI4" s="62" t="s">
        <v>228</v>
      </c>
      <c r="BJ4" s="62" t="s">
        <v>228</v>
      </c>
      <c r="BK4" s="62" t="s">
        <v>228</v>
      </c>
      <c r="BL4" s="62" t="s">
        <v>228</v>
      </c>
      <c r="BM4" s="62" t="s">
        <v>228</v>
      </c>
      <c r="BN4" s="62" t="s">
        <v>228</v>
      </c>
      <c r="BO4" s="62" t="s">
        <v>228</v>
      </c>
      <c r="BP4" s="62" t="s">
        <v>229</v>
      </c>
      <c r="BQ4" s="62" t="s">
        <v>229</v>
      </c>
      <c r="BR4" s="62" t="s">
        <v>229</v>
      </c>
      <c r="BS4" s="62" t="s">
        <v>229</v>
      </c>
      <c r="BT4" s="62" t="s">
        <v>228</v>
      </c>
      <c r="BU4" s="62" t="s">
        <v>228</v>
      </c>
      <c r="BV4" s="62" t="s">
        <v>228</v>
      </c>
      <c r="BW4" s="62" t="s">
        <v>228</v>
      </c>
      <c r="BX4" s="62" t="s">
        <v>228</v>
      </c>
      <c r="BY4" s="62" t="s">
        <v>228</v>
      </c>
      <c r="BZ4" s="62" t="s">
        <v>228</v>
      </c>
      <c r="CA4" s="62" t="s">
        <v>228</v>
      </c>
      <c r="CB4" s="62" t="s">
        <v>229</v>
      </c>
      <c r="CC4" s="62" t="s">
        <v>229</v>
      </c>
      <c r="CD4" s="62" t="s">
        <v>228</v>
      </c>
      <c r="CE4" s="62" t="s">
        <v>228</v>
      </c>
      <c r="CF4" s="62" t="s">
        <v>229</v>
      </c>
      <c r="CG4" s="62" t="s">
        <v>229</v>
      </c>
      <c r="CH4" s="62" t="s">
        <v>229</v>
      </c>
      <c r="CI4" s="62" t="s">
        <v>229</v>
      </c>
      <c r="CJ4" s="62" t="s">
        <v>228</v>
      </c>
      <c r="CK4" s="62" t="s">
        <v>228</v>
      </c>
      <c r="CL4" s="62" t="s">
        <v>228</v>
      </c>
      <c r="CM4" s="62" t="s">
        <v>228</v>
      </c>
      <c r="CN4" s="62" t="s">
        <v>228</v>
      </c>
      <c r="CO4" s="62" t="s">
        <v>228</v>
      </c>
      <c r="CP4" s="62" t="s">
        <v>228</v>
      </c>
      <c r="CQ4" s="62" t="s">
        <v>228</v>
      </c>
      <c r="CR4" s="62" t="s">
        <v>228</v>
      </c>
      <c r="CS4" s="62" t="s">
        <v>228</v>
      </c>
      <c r="CT4" s="62" t="s">
        <v>228</v>
      </c>
      <c r="CU4" s="62" t="s">
        <v>228</v>
      </c>
      <c r="CV4" s="62" t="s">
        <v>228</v>
      </c>
      <c r="CW4" s="62" t="s">
        <v>228</v>
      </c>
      <c r="CX4" s="62" t="s">
        <v>228</v>
      </c>
      <c r="CY4" s="62" t="s">
        <v>228</v>
      </c>
      <c r="CZ4" s="62" t="s">
        <v>229</v>
      </c>
      <c r="DA4" s="62" t="s">
        <v>229</v>
      </c>
      <c r="DB4" s="62" t="s">
        <v>229</v>
      </c>
      <c r="DC4" s="62" t="s">
        <v>229</v>
      </c>
      <c r="DD4" s="62" t="s">
        <v>229</v>
      </c>
      <c r="DE4" s="62" t="s">
        <v>229</v>
      </c>
      <c r="DF4" s="387" t="s">
        <v>229</v>
      </c>
      <c r="DG4" s="387" t="s">
        <v>229</v>
      </c>
      <c r="DH4" s="387" t="s">
        <v>229</v>
      </c>
      <c r="DI4" s="387" t="s">
        <v>229</v>
      </c>
      <c r="DJ4" s="62" t="s">
        <v>228</v>
      </c>
      <c r="DK4" s="62" t="s">
        <v>228</v>
      </c>
      <c r="DL4" s="62" t="s">
        <v>229</v>
      </c>
      <c r="DM4" s="62" t="s">
        <v>229</v>
      </c>
      <c r="DN4" s="62" t="s">
        <v>228</v>
      </c>
      <c r="DO4" s="62" t="s">
        <v>228</v>
      </c>
      <c r="DP4" s="387" t="s">
        <v>229</v>
      </c>
      <c r="DQ4" s="387" t="s">
        <v>229</v>
      </c>
      <c r="DR4" s="387" t="s">
        <v>229</v>
      </c>
      <c r="DS4" s="387" t="s">
        <v>229</v>
      </c>
      <c r="DT4" s="62" t="s">
        <v>228</v>
      </c>
      <c r="DU4" s="62" t="s">
        <v>228</v>
      </c>
      <c r="DV4" s="62" t="s">
        <v>228</v>
      </c>
      <c r="DW4" s="62" t="s">
        <v>228</v>
      </c>
      <c r="DX4" s="62" t="s">
        <v>228</v>
      </c>
      <c r="DY4" s="62" t="s">
        <v>228</v>
      </c>
      <c r="DZ4" s="62" t="s">
        <v>228</v>
      </c>
      <c r="EA4" s="62" t="s">
        <v>228</v>
      </c>
      <c r="EB4" s="62" t="s">
        <v>228</v>
      </c>
      <c r="EC4" s="62" t="s">
        <v>228</v>
      </c>
      <c r="ED4" s="62" t="s">
        <v>228</v>
      </c>
      <c r="EE4" s="62" t="s">
        <v>228</v>
      </c>
      <c r="EF4" s="62" t="s">
        <v>228</v>
      </c>
      <c r="EG4" s="62" t="s">
        <v>228</v>
      </c>
      <c r="EH4" s="62" t="s">
        <v>229</v>
      </c>
      <c r="EI4" s="62" t="s">
        <v>229</v>
      </c>
      <c r="EJ4" s="62" t="s">
        <v>229</v>
      </c>
      <c r="EK4" s="62" t="s">
        <v>229</v>
      </c>
      <c r="EL4" s="62" t="s">
        <v>229</v>
      </c>
      <c r="EM4" s="62" t="s">
        <v>229</v>
      </c>
      <c r="EN4" s="62" t="s">
        <v>229</v>
      </c>
      <c r="EO4" s="62" t="s">
        <v>229</v>
      </c>
      <c r="EP4" s="387" t="s">
        <v>228</v>
      </c>
      <c r="EQ4" s="387" t="s">
        <v>228</v>
      </c>
      <c r="ER4" s="62" t="s">
        <v>228</v>
      </c>
      <c r="ES4" s="62" t="s">
        <v>228</v>
      </c>
      <c r="ET4" s="387" t="s">
        <v>228</v>
      </c>
      <c r="EU4" s="387" t="s">
        <v>228</v>
      </c>
      <c r="EV4" s="62" t="s">
        <v>229</v>
      </c>
      <c r="EW4" s="62" t="s">
        <v>229</v>
      </c>
      <c r="EX4" s="62" t="s">
        <v>229</v>
      </c>
      <c r="EY4" s="62" t="s">
        <v>229</v>
      </c>
      <c r="EZ4" s="62" t="s">
        <v>229</v>
      </c>
      <c r="FA4" s="62" t="s">
        <v>229</v>
      </c>
      <c r="FB4" s="62" t="s">
        <v>229</v>
      </c>
      <c r="FC4" s="62" t="s">
        <v>229</v>
      </c>
      <c r="FD4" s="62" t="s">
        <v>229</v>
      </c>
      <c r="FE4" s="62" t="s">
        <v>229</v>
      </c>
      <c r="FF4" s="62" t="s">
        <v>228</v>
      </c>
      <c r="FG4" s="62" t="s">
        <v>228</v>
      </c>
      <c r="FH4" s="62" t="s">
        <v>228</v>
      </c>
      <c r="FI4" s="62" t="s">
        <v>228</v>
      </c>
      <c r="FJ4" s="62" t="s">
        <v>228</v>
      </c>
      <c r="FK4" s="62" t="s">
        <v>228</v>
      </c>
      <c r="FL4" s="62" t="s">
        <v>229</v>
      </c>
      <c r="FM4" s="62" t="s">
        <v>229</v>
      </c>
      <c r="FN4" s="62" t="s">
        <v>229</v>
      </c>
      <c r="FO4" s="62" t="s">
        <v>229</v>
      </c>
      <c r="FP4" s="62" t="s">
        <v>228</v>
      </c>
      <c r="FQ4" s="62" t="s">
        <v>228</v>
      </c>
      <c r="FR4" s="62" t="s">
        <v>228</v>
      </c>
      <c r="FS4" s="62" t="s">
        <v>228</v>
      </c>
      <c r="FT4" s="62" t="s">
        <v>229</v>
      </c>
      <c r="FU4" s="62" t="s">
        <v>229</v>
      </c>
      <c r="FV4" s="62" t="s">
        <v>228</v>
      </c>
      <c r="FW4" s="62" t="s">
        <v>228</v>
      </c>
      <c r="FX4" s="62" t="s">
        <v>228</v>
      </c>
      <c r="FY4" s="62" t="s">
        <v>228</v>
      </c>
      <c r="FZ4" s="62" t="s">
        <v>228</v>
      </c>
      <c r="GA4" s="62" t="s">
        <v>228</v>
      </c>
      <c r="GB4" s="62" t="s">
        <v>228</v>
      </c>
      <c r="GC4" s="62" t="s">
        <v>228</v>
      </c>
      <c r="GD4" s="62" t="s">
        <v>229</v>
      </c>
      <c r="GE4" s="62" t="s">
        <v>229</v>
      </c>
      <c r="GF4" s="387" t="s">
        <v>228</v>
      </c>
      <c r="GG4" s="387" t="s">
        <v>228</v>
      </c>
      <c r="GH4" s="387" t="s">
        <v>228</v>
      </c>
      <c r="GI4" s="387" t="s">
        <v>228</v>
      </c>
      <c r="GJ4" s="62" t="s">
        <v>228</v>
      </c>
      <c r="GK4" s="62" t="s">
        <v>228</v>
      </c>
      <c r="GL4" s="62" t="s">
        <v>228</v>
      </c>
      <c r="GM4" s="62" t="s">
        <v>228</v>
      </c>
      <c r="GN4" s="62" t="s">
        <v>229</v>
      </c>
      <c r="GO4" s="62" t="s">
        <v>229</v>
      </c>
      <c r="GP4" s="62" t="s">
        <v>229</v>
      </c>
      <c r="GQ4" s="62" t="s">
        <v>229</v>
      </c>
      <c r="GR4" s="62" t="s">
        <v>229</v>
      </c>
      <c r="GS4" s="62" t="s">
        <v>229</v>
      </c>
      <c r="GT4" s="62" t="s">
        <v>229</v>
      </c>
      <c r="GU4" s="62" t="s">
        <v>229</v>
      </c>
      <c r="GV4" s="62" t="s">
        <v>229</v>
      </c>
      <c r="GW4" s="62" t="s">
        <v>229</v>
      </c>
      <c r="GX4" s="62" t="s">
        <v>228</v>
      </c>
      <c r="GY4" s="62" t="s">
        <v>228</v>
      </c>
      <c r="GZ4" s="62" t="s">
        <v>229</v>
      </c>
      <c r="HA4" s="62" t="s">
        <v>229</v>
      </c>
      <c r="HB4" s="62" t="s">
        <v>228</v>
      </c>
      <c r="HC4" s="62" t="s">
        <v>228</v>
      </c>
      <c r="HD4" s="62" t="s">
        <v>228</v>
      </c>
      <c r="HE4" s="62" t="s">
        <v>228</v>
      </c>
      <c r="HF4" s="62" t="s">
        <v>228</v>
      </c>
      <c r="HG4" s="62" t="s">
        <v>228</v>
      </c>
      <c r="HH4" s="62" t="s">
        <v>228</v>
      </c>
      <c r="HI4" s="62" t="s">
        <v>228</v>
      </c>
      <c r="HJ4" s="62" t="s">
        <v>228</v>
      </c>
      <c r="HK4" s="62" t="s">
        <v>228</v>
      </c>
      <c r="HL4" s="62" t="s">
        <v>228</v>
      </c>
      <c r="HM4" s="62" t="s">
        <v>228</v>
      </c>
      <c r="HN4" s="62" t="s">
        <v>228</v>
      </c>
      <c r="HO4" s="62" t="s">
        <v>228</v>
      </c>
      <c r="HP4" s="62" t="s">
        <v>228</v>
      </c>
      <c r="HQ4" s="62" t="s">
        <v>228</v>
      </c>
      <c r="HR4" s="62" t="s">
        <v>229</v>
      </c>
      <c r="HS4" s="62" t="s">
        <v>229</v>
      </c>
      <c r="HT4" s="62" t="s">
        <v>229</v>
      </c>
      <c r="HU4" s="62" t="s">
        <v>229</v>
      </c>
      <c r="HV4" s="62" t="s">
        <v>228</v>
      </c>
      <c r="HW4" s="62" t="s">
        <v>228</v>
      </c>
      <c r="HX4" s="62" t="s">
        <v>228</v>
      </c>
      <c r="HY4" s="62" t="s">
        <v>228</v>
      </c>
      <c r="HZ4" s="62" t="s">
        <v>229</v>
      </c>
      <c r="IA4" s="62" t="s">
        <v>229</v>
      </c>
      <c r="IB4" s="62" t="s">
        <v>229</v>
      </c>
      <c r="IC4" s="62" t="s">
        <v>229</v>
      </c>
      <c r="ID4" s="62" t="s">
        <v>228</v>
      </c>
      <c r="IE4" s="62" t="s">
        <v>228</v>
      </c>
      <c r="IF4" s="62" t="s">
        <v>228</v>
      </c>
      <c r="IG4" s="62" t="s">
        <v>228</v>
      </c>
      <c r="IH4" s="62" t="s">
        <v>228</v>
      </c>
      <c r="II4" s="62" t="s">
        <v>228</v>
      </c>
    </row>
    <row r="5" spans="1:245" ht="30" customHeight="1" x14ac:dyDescent="0.25">
      <c r="A5" s="1635"/>
      <c r="B5" s="1634" t="s">
        <v>741</v>
      </c>
      <c r="C5" s="1634"/>
      <c r="D5" s="1633" t="s">
        <v>1510</v>
      </c>
      <c r="E5" s="1633" t="s">
        <v>1510</v>
      </c>
      <c r="F5" s="1633" t="s">
        <v>1511</v>
      </c>
      <c r="G5" s="1633" t="s">
        <v>1513</v>
      </c>
      <c r="H5" s="1633" t="s">
        <v>663</v>
      </c>
      <c r="I5" s="1633" t="s">
        <v>1514</v>
      </c>
      <c r="J5" s="1633" t="s">
        <v>639</v>
      </c>
      <c r="K5" s="1633" t="s">
        <v>639</v>
      </c>
      <c r="L5" s="1633" t="s">
        <v>1317</v>
      </c>
      <c r="M5" s="1633" t="s">
        <v>1515</v>
      </c>
      <c r="N5" s="1633" t="s">
        <v>1319</v>
      </c>
      <c r="O5" s="1633" t="s">
        <v>1516</v>
      </c>
      <c r="P5" s="1633" t="s">
        <v>551</v>
      </c>
      <c r="Q5" s="1633" t="s">
        <v>1517</v>
      </c>
      <c r="R5" s="1633" t="s">
        <v>908</v>
      </c>
      <c r="S5" s="1633" t="s">
        <v>908</v>
      </c>
      <c r="T5" s="1633" t="s">
        <v>672</v>
      </c>
      <c r="U5" s="1633" t="s">
        <v>672</v>
      </c>
      <c r="V5" s="1629" t="s">
        <v>673</v>
      </c>
      <c r="W5" s="1629" t="s">
        <v>673</v>
      </c>
      <c r="X5" s="1629" t="s">
        <v>714</v>
      </c>
      <c r="Y5" s="1629" t="s">
        <v>1518</v>
      </c>
      <c r="Z5" s="1631" t="s">
        <v>923</v>
      </c>
      <c r="AA5" s="1631" t="s">
        <v>1519</v>
      </c>
      <c r="AB5" s="1631" t="s">
        <v>713</v>
      </c>
      <c r="AC5" s="1631" t="s">
        <v>1520</v>
      </c>
      <c r="AD5" s="1629" t="s">
        <v>712</v>
      </c>
      <c r="AE5" s="1629" t="s">
        <v>1521</v>
      </c>
      <c r="AF5" s="1629" t="s">
        <v>1328</v>
      </c>
      <c r="AG5" s="1629" t="s">
        <v>1522</v>
      </c>
      <c r="AH5" s="1636" t="s">
        <v>921</v>
      </c>
      <c r="AI5" s="1636" t="s">
        <v>1523</v>
      </c>
      <c r="AJ5" s="1629" t="s">
        <v>448</v>
      </c>
      <c r="AK5" s="1629" t="s">
        <v>448</v>
      </c>
      <c r="AL5" s="1629" t="s">
        <v>544</v>
      </c>
      <c r="AM5" s="1629" t="s">
        <v>1524</v>
      </c>
      <c r="AN5" s="1629" t="s">
        <v>674</v>
      </c>
      <c r="AO5" s="1629" t="s">
        <v>1525</v>
      </c>
      <c r="AP5" s="1629" t="s">
        <v>675</v>
      </c>
      <c r="AQ5" s="1629" t="s">
        <v>675</v>
      </c>
      <c r="AR5" s="1629" t="s">
        <v>676</v>
      </c>
      <c r="AS5" s="1629" t="s">
        <v>676</v>
      </c>
      <c r="AT5" s="1629" t="s">
        <v>677</v>
      </c>
      <c r="AU5" s="1629" t="s">
        <v>1526</v>
      </c>
      <c r="AV5" s="1629" t="s">
        <v>678</v>
      </c>
      <c r="AW5" s="1629" t="s">
        <v>678</v>
      </c>
      <c r="AX5" s="1629" t="s">
        <v>679</v>
      </c>
      <c r="AY5" s="1629" t="s">
        <v>679</v>
      </c>
      <c r="AZ5" s="1629" t="s">
        <v>260</v>
      </c>
      <c r="BA5" s="1629" t="s">
        <v>260</v>
      </c>
      <c r="BB5" s="1629" t="s">
        <v>421</v>
      </c>
      <c r="BC5" s="1629" t="s">
        <v>1527</v>
      </c>
      <c r="BD5" s="1629" t="s">
        <v>391</v>
      </c>
      <c r="BE5" s="1629" t="s">
        <v>1528</v>
      </c>
      <c r="BF5" s="1629" t="s">
        <v>873</v>
      </c>
      <c r="BG5" s="1629" t="s">
        <v>1530</v>
      </c>
      <c r="BH5" s="1629" t="s">
        <v>388</v>
      </c>
      <c r="BI5" s="1629" t="s">
        <v>1531</v>
      </c>
      <c r="BJ5" s="1629" t="s">
        <v>880</v>
      </c>
      <c r="BK5" s="1629" t="s">
        <v>1532</v>
      </c>
      <c r="BL5" s="1629" t="s">
        <v>875</v>
      </c>
      <c r="BM5" s="1629" t="s">
        <v>1533</v>
      </c>
      <c r="BN5" s="1629" t="s">
        <v>878</v>
      </c>
      <c r="BO5" s="1629" t="s">
        <v>1534</v>
      </c>
      <c r="BP5" s="1629" t="s">
        <v>665</v>
      </c>
      <c r="BQ5" s="1629" t="s">
        <v>1535</v>
      </c>
      <c r="BR5" s="1629" t="s">
        <v>261</v>
      </c>
      <c r="BS5" s="1629" t="s">
        <v>261</v>
      </c>
      <c r="BT5" s="1629" t="s">
        <v>1276</v>
      </c>
      <c r="BU5" s="1629" t="s">
        <v>1536</v>
      </c>
      <c r="BV5" s="1631" t="s">
        <v>666</v>
      </c>
      <c r="BW5" s="1631" t="s">
        <v>1537</v>
      </c>
      <c r="BX5" s="1629" t="s">
        <v>262</v>
      </c>
      <c r="BY5" s="1629" t="s">
        <v>1538</v>
      </c>
      <c r="BZ5" s="1629" t="s">
        <v>890</v>
      </c>
      <c r="CA5" s="1629" t="s">
        <v>890</v>
      </c>
      <c r="CB5" s="1629" t="s">
        <v>488</v>
      </c>
      <c r="CC5" s="1629" t="s">
        <v>1539</v>
      </c>
      <c r="CD5" s="1629" t="s">
        <v>1323</v>
      </c>
      <c r="CE5" s="1629" t="s">
        <v>1540</v>
      </c>
      <c r="CF5" s="1629" t="s">
        <v>750</v>
      </c>
      <c r="CG5" s="1629" t="s">
        <v>750</v>
      </c>
      <c r="CH5" s="1629" t="s">
        <v>263</v>
      </c>
      <c r="CI5" s="1629" t="s">
        <v>263</v>
      </c>
      <c r="CJ5" s="1629" t="s">
        <v>264</v>
      </c>
      <c r="CK5" s="1629" t="s">
        <v>264</v>
      </c>
      <c r="CL5" s="1629" t="s">
        <v>671</v>
      </c>
      <c r="CM5" s="1629" t="s">
        <v>671</v>
      </c>
      <c r="CN5" s="1629" t="s">
        <v>681</v>
      </c>
      <c r="CO5" s="1629" t="s">
        <v>1541</v>
      </c>
      <c r="CP5" s="1629" t="s">
        <v>584</v>
      </c>
      <c r="CQ5" s="1629" t="s">
        <v>584</v>
      </c>
      <c r="CR5" s="1629" t="s">
        <v>657</v>
      </c>
      <c r="CS5" s="1629" t="s">
        <v>1542</v>
      </c>
      <c r="CT5" s="1629" t="s">
        <v>265</v>
      </c>
      <c r="CU5" s="1629" t="s">
        <v>1543</v>
      </c>
      <c r="CV5" s="1629" t="s">
        <v>489</v>
      </c>
      <c r="CW5" s="1629" t="s">
        <v>489</v>
      </c>
      <c r="CX5" s="1629" t="s">
        <v>1290</v>
      </c>
      <c r="CY5" s="1629" t="s">
        <v>1544</v>
      </c>
      <c r="CZ5" s="1629" t="s">
        <v>751</v>
      </c>
      <c r="DA5" s="1629" t="s">
        <v>751</v>
      </c>
      <c r="DB5" s="1629" t="s">
        <v>428</v>
      </c>
      <c r="DC5" s="1629" t="s">
        <v>1545</v>
      </c>
      <c r="DD5" s="1629" t="s">
        <v>423</v>
      </c>
      <c r="DE5" s="1629" t="s">
        <v>423</v>
      </c>
      <c r="DF5" s="1629" t="s">
        <v>680</v>
      </c>
      <c r="DG5" s="1629" t="s">
        <v>680</v>
      </c>
      <c r="DH5" s="1629" t="s">
        <v>682</v>
      </c>
      <c r="DI5" s="1629" t="s">
        <v>1546</v>
      </c>
      <c r="DJ5" s="1629" t="s">
        <v>1334</v>
      </c>
      <c r="DK5" s="1629" t="s">
        <v>1334</v>
      </c>
      <c r="DL5" s="1629" t="s">
        <v>587</v>
      </c>
      <c r="DM5" s="1629" t="s">
        <v>1547</v>
      </c>
      <c r="DN5" s="1629" t="s">
        <v>683</v>
      </c>
      <c r="DO5" s="1629" t="s">
        <v>683</v>
      </c>
      <c r="DP5" s="1629" t="s">
        <v>1293</v>
      </c>
      <c r="DQ5" s="1629" t="s">
        <v>1548</v>
      </c>
      <c r="DR5" s="1629" t="s">
        <v>1332</v>
      </c>
      <c r="DS5" s="1629" t="s">
        <v>1332</v>
      </c>
      <c r="DT5" s="1629" t="s">
        <v>536</v>
      </c>
      <c r="DU5" s="1629" t="s">
        <v>536</v>
      </c>
      <c r="DV5" s="1629" t="s">
        <v>684</v>
      </c>
      <c r="DW5" s="1629" t="s">
        <v>684</v>
      </c>
      <c r="DX5" s="1629" t="s">
        <v>1349</v>
      </c>
      <c r="DY5" s="1629" t="s">
        <v>1549</v>
      </c>
      <c r="DZ5" s="1629" t="s">
        <v>3431</v>
      </c>
      <c r="EA5" s="1629" t="s">
        <v>3432</v>
      </c>
      <c r="EB5" s="1629" t="s">
        <v>685</v>
      </c>
      <c r="EC5" s="1629" t="s">
        <v>685</v>
      </c>
      <c r="ED5" s="1629" t="s">
        <v>1350</v>
      </c>
      <c r="EE5" s="1629" t="s">
        <v>1550</v>
      </c>
      <c r="EF5" s="1629" t="s">
        <v>3433</v>
      </c>
      <c r="EG5" s="1629" t="s">
        <v>3434</v>
      </c>
      <c r="EH5" s="1629" t="s">
        <v>1303</v>
      </c>
      <c r="EI5" s="1629" t="s">
        <v>1303</v>
      </c>
      <c r="EJ5" s="1629" t="s">
        <v>1551</v>
      </c>
      <c r="EK5" s="1629" t="s">
        <v>1552</v>
      </c>
      <c r="EL5" s="1629" t="s">
        <v>1377</v>
      </c>
      <c r="EM5" s="1629" t="s">
        <v>1553</v>
      </c>
      <c r="EN5" s="1629" t="s">
        <v>433</v>
      </c>
      <c r="EO5" s="1629" t="s">
        <v>1554</v>
      </c>
      <c r="EP5" s="1629" t="s">
        <v>686</v>
      </c>
      <c r="EQ5" s="1629" t="s">
        <v>1555</v>
      </c>
      <c r="ER5" s="1629" t="s">
        <v>688</v>
      </c>
      <c r="ES5" s="1629" t="s">
        <v>1556</v>
      </c>
      <c r="ET5" s="1629" t="s">
        <v>687</v>
      </c>
      <c r="EU5" s="1629" t="s">
        <v>1557</v>
      </c>
      <c r="EV5" s="1629" t="s">
        <v>689</v>
      </c>
      <c r="EW5" s="1629" t="s">
        <v>689</v>
      </c>
      <c r="EX5" s="1629" t="s">
        <v>690</v>
      </c>
      <c r="EY5" s="1629" t="s">
        <v>1558</v>
      </c>
      <c r="EZ5" s="1629" t="s">
        <v>756</v>
      </c>
      <c r="FA5" s="1629" t="s">
        <v>1559</v>
      </c>
      <c r="FB5" s="1629" t="s">
        <v>757</v>
      </c>
      <c r="FC5" s="1629" t="s">
        <v>757</v>
      </c>
      <c r="FD5" s="1629" t="s">
        <v>841</v>
      </c>
      <c r="FE5" s="1629" t="s">
        <v>1560</v>
      </c>
      <c r="FF5" s="1629" t="s">
        <v>443</v>
      </c>
      <c r="FG5" s="1629" t="s">
        <v>443</v>
      </c>
      <c r="FH5" s="1629" t="s">
        <v>491</v>
      </c>
      <c r="FI5" s="1629" t="s">
        <v>1561</v>
      </c>
      <c r="FJ5" s="1629" t="s">
        <v>1270</v>
      </c>
      <c r="FK5" s="1629" t="s">
        <v>1270</v>
      </c>
      <c r="FL5" s="1629" t="s">
        <v>538</v>
      </c>
      <c r="FM5" s="1629" t="s">
        <v>1562</v>
      </c>
      <c r="FN5" s="1629" t="s">
        <v>1382</v>
      </c>
      <c r="FO5" s="1629" t="s">
        <v>1563</v>
      </c>
      <c r="FP5" s="1629" t="s">
        <v>925</v>
      </c>
      <c r="FQ5" s="1629" t="s">
        <v>1564</v>
      </c>
      <c r="FR5" s="1629" t="s">
        <v>1271</v>
      </c>
      <c r="FS5" s="1629" t="s">
        <v>1565</v>
      </c>
      <c r="FT5" s="1629" t="s">
        <v>879</v>
      </c>
      <c r="FU5" s="1629" t="s">
        <v>1566</v>
      </c>
      <c r="FV5" s="1629" t="s">
        <v>691</v>
      </c>
      <c r="FW5" s="1629" t="s">
        <v>1567</v>
      </c>
      <c r="FX5" s="1629" t="s">
        <v>692</v>
      </c>
      <c r="FY5" s="1629" t="s">
        <v>692</v>
      </c>
      <c r="FZ5" s="1629" t="s">
        <v>693</v>
      </c>
      <c r="GA5" s="1629" t="s">
        <v>1568</v>
      </c>
      <c r="GB5" s="1629" t="s">
        <v>694</v>
      </c>
      <c r="GC5" s="1629" t="s">
        <v>1569</v>
      </c>
      <c r="GD5" s="1629" t="s">
        <v>876</v>
      </c>
      <c r="GE5" s="1629" t="s">
        <v>876</v>
      </c>
      <c r="GF5" s="1629" t="s">
        <v>695</v>
      </c>
      <c r="GG5" s="1629" t="s">
        <v>695</v>
      </c>
      <c r="GH5" s="1629" t="s">
        <v>916</v>
      </c>
      <c r="GI5" s="1629" t="s">
        <v>1570</v>
      </c>
      <c r="GJ5" s="1629" t="s">
        <v>1272</v>
      </c>
      <c r="GK5" s="1629" t="s">
        <v>1571</v>
      </c>
      <c r="GL5" s="1629" t="s">
        <v>1273</v>
      </c>
      <c r="GM5" s="1629" t="s">
        <v>1273</v>
      </c>
      <c r="GN5" s="1629" t="s">
        <v>884</v>
      </c>
      <c r="GO5" s="1629" t="s">
        <v>1572</v>
      </c>
      <c r="GP5" s="1629" t="s">
        <v>885</v>
      </c>
      <c r="GQ5" s="1629" t="s">
        <v>1573</v>
      </c>
      <c r="GR5" s="1629" t="s">
        <v>1574</v>
      </c>
      <c r="GS5" s="1629" t="s">
        <v>1575</v>
      </c>
      <c r="GT5" s="1629" t="s">
        <v>1313</v>
      </c>
      <c r="GU5" s="1629" t="s">
        <v>1576</v>
      </c>
      <c r="GV5" s="1629" t="s">
        <v>1387</v>
      </c>
      <c r="GW5" s="1629" t="s">
        <v>1387</v>
      </c>
      <c r="GX5" s="1636" t="s">
        <v>1441</v>
      </c>
      <c r="GY5" s="1636" t="s">
        <v>1577</v>
      </c>
      <c r="GZ5" s="1629" t="s">
        <v>836</v>
      </c>
      <c r="HA5" s="1629" t="s">
        <v>1578</v>
      </c>
      <c r="HB5" s="1629" t="s">
        <v>3499</v>
      </c>
      <c r="HC5" s="1629" t="s">
        <v>1401</v>
      </c>
      <c r="HD5" s="1629" t="s">
        <v>1400</v>
      </c>
      <c r="HE5" s="1629" t="s">
        <v>1579</v>
      </c>
      <c r="HF5" s="1629" t="s">
        <v>2653</v>
      </c>
      <c r="HG5" s="1629" t="s">
        <v>2653</v>
      </c>
      <c r="HH5" s="1629" t="s">
        <v>2811</v>
      </c>
      <c r="HI5" s="1629" t="s">
        <v>2812</v>
      </c>
      <c r="HJ5" s="1629" t="s">
        <v>1389</v>
      </c>
      <c r="HK5" s="1629" t="s">
        <v>1389</v>
      </c>
      <c r="HL5" s="1629" t="s">
        <v>1390</v>
      </c>
      <c r="HM5" s="1629" t="s">
        <v>1390</v>
      </c>
      <c r="HN5" s="1629" t="s">
        <v>1344</v>
      </c>
      <c r="HO5" s="1629" t="s">
        <v>1344</v>
      </c>
      <c r="HP5" s="1629" t="s">
        <v>1346</v>
      </c>
      <c r="HQ5" s="1629" t="s">
        <v>1346</v>
      </c>
      <c r="HR5" s="1629" t="s">
        <v>3500</v>
      </c>
      <c r="HS5" s="1629" t="s">
        <v>1370</v>
      </c>
      <c r="HT5" s="1629" t="s">
        <v>1371</v>
      </c>
      <c r="HU5" s="1629" t="s">
        <v>1371</v>
      </c>
      <c r="HV5" s="1629" t="s">
        <v>1446</v>
      </c>
      <c r="HW5" s="1629" t="s">
        <v>1446</v>
      </c>
      <c r="HX5" s="1629" t="s">
        <v>1447</v>
      </c>
      <c r="HY5" s="1629" t="s">
        <v>1447</v>
      </c>
      <c r="HZ5" s="1629" t="s">
        <v>1892</v>
      </c>
      <c r="IA5" s="1629" t="s">
        <v>1893</v>
      </c>
      <c r="IB5" s="1629" t="s">
        <v>1894</v>
      </c>
      <c r="IC5" s="1629" t="s">
        <v>1895</v>
      </c>
      <c r="ID5" s="1629" t="s">
        <v>1958</v>
      </c>
      <c r="IE5" s="1629" t="s">
        <v>1958</v>
      </c>
      <c r="IF5" s="1629" t="s">
        <v>1914</v>
      </c>
      <c r="IG5" s="1629" t="s">
        <v>1914</v>
      </c>
      <c r="IH5" s="1629" t="s">
        <v>1915</v>
      </c>
      <c r="II5" s="1629" t="s">
        <v>1915</v>
      </c>
    </row>
    <row r="6" spans="1:245" ht="110.25" customHeight="1" x14ac:dyDescent="0.25">
      <c r="A6" s="1635"/>
      <c r="B6" s="1547" t="s">
        <v>193</v>
      </c>
      <c r="C6" s="219" t="s">
        <v>251</v>
      </c>
      <c r="D6" s="1633"/>
      <c r="E6" s="1633"/>
      <c r="F6" s="1633"/>
      <c r="G6" s="1633"/>
      <c r="H6" s="1633"/>
      <c r="I6" s="1633"/>
      <c r="J6" s="1633"/>
      <c r="K6" s="1633"/>
      <c r="L6" s="1633"/>
      <c r="M6" s="1633"/>
      <c r="N6" s="1633"/>
      <c r="O6" s="1633"/>
      <c r="P6" s="1633"/>
      <c r="Q6" s="1633"/>
      <c r="R6" s="1633"/>
      <c r="S6" s="1633"/>
      <c r="T6" s="1633"/>
      <c r="U6" s="1633"/>
      <c r="V6" s="1630"/>
      <c r="W6" s="1630"/>
      <c r="X6" s="1630"/>
      <c r="Y6" s="1630"/>
      <c r="Z6" s="1632"/>
      <c r="AA6" s="1632"/>
      <c r="AB6" s="1632"/>
      <c r="AC6" s="1632"/>
      <c r="AD6" s="1630"/>
      <c r="AE6" s="1630"/>
      <c r="AF6" s="1630"/>
      <c r="AG6" s="1630"/>
      <c r="AH6" s="1637"/>
      <c r="AI6" s="1637"/>
      <c r="AJ6" s="1630"/>
      <c r="AK6" s="1630"/>
      <c r="AL6" s="1630"/>
      <c r="AM6" s="1630"/>
      <c r="AN6" s="1630"/>
      <c r="AO6" s="1630"/>
      <c r="AP6" s="1630"/>
      <c r="AQ6" s="1630"/>
      <c r="AR6" s="1630"/>
      <c r="AS6" s="1630"/>
      <c r="AT6" s="1630"/>
      <c r="AU6" s="1630"/>
      <c r="AV6" s="1630"/>
      <c r="AW6" s="1630"/>
      <c r="AX6" s="1630"/>
      <c r="AY6" s="1630"/>
      <c r="AZ6" s="1630"/>
      <c r="BA6" s="1630"/>
      <c r="BB6" s="1630"/>
      <c r="BC6" s="1630"/>
      <c r="BD6" s="1630"/>
      <c r="BE6" s="1630"/>
      <c r="BF6" s="1630"/>
      <c r="BG6" s="1630"/>
      <c r="BH6" s="1630"/>
      <c r="BI6" s="1630"/>
      <c r="BJ6" s="1630"/>
      <c r="BK6" s="1630"/>
      <c r="BL6" s="1630"/>
      <c r="BM6" s="1630"/>
      <c r="BN6" s="1630"/>
      <c r="BO6" s="1630"/>
      <c r="BP6" s="1630"/>
      <c r="BQ6" s="1630"/>
      <c r="BR6" s="1630"/>
      <c r="BS6" s="1630"/>
      <c r="BT6" s="1630"/>
      <c r="BU6" s="1630"/>
      <c r="BV6" s="1632"/>
      <c r="BW6" s="1632"/>
      <c r="BX6" s="1630"/>
      <c r="BY6" s="1630"/>
      <c r="BZ6" s="1630"/>
      <c r="CA6" s="1630"/>
      <c r="CB6" s="1630"/>
      <c r="CC6" s="1630"/>
      <c r="CD6" s="1630"/>
      <c r="CE6" s="1630"/>
      <c r="CF6" s="1630"/>
      <c r="CG6" s="1630"/>
      <c r="CH6" s="1630"/>
      <c r="CI6" s="1630"/>
      <c r="CJ6" s="1630"/>
      <c r="CK6" s="1630"/>
      <c r="CL6" s="1630"/>
      <c r="CM6" s="1630"/>
      <c r="CN6" s="1630"/>
      <c r="CO6" s="1630"/>
      <c r="CP6" s="1630"/>
      <c r="CQ6" s="1630"/>
      <c r="CR6" s="1630"/>
      <c r="CS6" s="1630"/>
      <c r="CT6" s="1630"/>
      <c r="CU6" s="1630"/>
      <c r="CV6" s="1630"/>
      <c r="CW6" s="1630"/>
      <c r="CX6" s="1630"/>
      <c r="CY6" s="1630"/>
      <c r="CZ6" s="1630"/>
      <c r="DA6" s="1630"/>
      <c r="DB6" s="1630"/>
      <c r="DC6" s="1630"/>
      <c r="DD6" s="1630"/>
      <c r="DE6" s="1630"/>
      <c r="DF6" s="1630"/>
      <c r="DG6" s="1630"/>
      <c r="DH6" s="1630"/>
      <c r="DI6" s="1630"/>
      <c r="DJ6" s="1630"/>
      <c r="DK6" s="1630"/>
      <c r="DL6" s="1630"/>
      <c r="DM6" s="1630"/>
      <c r="DN6" s="1630"/>
      <c r="DO6" s="1630"/>
      <c r="DP6" s="1629"/>
      <c r="DQ6" s="1629"/>
      <c r="DR6" s="1629"/>
      <c r="DS6" s="1629"/>
      <c r="DT6" s="1630"/>
      <c r="DU6" s="1630"/>
      <c r="DV6" s="1630"/>
      <c r="DW6" s="1630"/>
      <c r="DX6" s="1630"/>
      <c r="DY6" s="1630"/>
      <c r="DZ6" s="1630"/>
      <c r="EA6" s="1630"/>
      <c r="EB6" s="1630"/>
      <c r="EC6" s="1630"/>
      <c r="ED6" s="1630"/>
      <c r="EE6" s="1630"/>
      <c r="EF6" s="1630"/>
      <c r="EG6" s="1630"/>
      <c r="EH6" s="1630"/>
      <c r="EI6" s="1630"/>
      <c r="EJ6" s="1630"/>
      <c r="EK6" s="1630"/>
      <c r="EL6" s="1630"/>
      <c r="EM6" s="1630"/>
      <c r="EN6" s="1630"/>
      <c r="EO6" s="1630"/>
      <c r="EP6" s="1630"/>
      <c r="EQ6" s="1630"/>
      <c r="ER6" s="1630"/>
      <c r="ES6" s="1630"/>
      <c r="ET6" s="1630"/>
      <c r="EU6" s="1630"/>
      <c r="EV6" s="1630"/>
      <c r="EW6" s="1630"/>
      <c r="EX6" s="1630"/>
      <c r="EY6" s="1630"/>
      <c r="EZ6" s="1630"/>
      <c r="FA6" s="1630"/>
      <c r="FB6" s="1630"/>
      <c r="FC6" s="1630"/>
      <c r="FD6" s="1630"/>
      <c r="FE6" s="1630"/>
      <c r="FF6" s="1630"/>
      <c r="FG6" s="1630"/>
      <c r="FH6" s="1630"/>
      <c r="FI6" s="1630"/>
      <c r="FJ6" s="1629"/>
      <c r="FK6" s="1629"/>
      <c r="FL6" s="1630"/>
      <c r="FM6" s="1630"/>
      <c r="FN6" s="1630"/>
      <c r="FO6" s="1630"/>
      <c r="FP6" s="1630"/>
      <c r="FQ6" s="1630"/>
      <c r="FR6" s="1630"/>
      <c r="FS6" s="1630"/>
      <c r="FT6" s="1629"/>
      <c r="FU6" s="1629"/>
      <c r="FV6" s="1630"/>
      <c r="FW6" s="1630"/>
      <c r="FX6" s="1630"/>
      <c r="FY6" s="1630"/>
      <c r="FZ6" s="1630"/>
      <c r="GA6" s="1630"/>
      <c r="GB6" s="1630"/>
      <c r="GC6" s="1630"/>
      <c r="GD6" s="1629"/>
      <c r="GE6" s="1629"/>
      <c r="GF6" s="1630"/>
      <c r="GG6" s="1630"/>
      <c r="GH6" s="1630"/>
      <c r="GI6" s="1630"/>
      <c r="GJ6" s="1629"/>
      <c r="GK6" s="1629"/>
      <c r="GL6" s="1629"/>
      <c r="GM6" s="1629"/>
      <c r="GN6" s="1630"/>
      <c r="GO6" s="1630"/>
      <c r="GP6" s="1630"/>
      <c r="GQ6" s="1630"/>
      <c r="GR6" s="1630"/>
      <c r="GS6" s="1630"/>
      <c r="GT6" s="1630"/>
      <c r="GU6" s="1630"/>
      <c r="GV6" s="1630"/>
      <c r="GW6" s="1630"/>
      <c r="GX6" s="1638"/>
      <c r="GY6" s="1638"/>
      <c r="GZ6" s="1630"/>
      <c r="HA6" s="1630"/>
      <c r="HB6" s="1630"/>
      <c r="HC6" s="1630"/>
      <c r="HD6" s="1630"/>
      <c r="HE6" s="1630"/>
      <c r="HF6" s="1630"/>
      <c r="HG6" s="1630"/>
      <c r="HH6" s="1630"/>
      <c r="HI6" s="1630"/>
      <c r="HJ6" s="1630"/>
      <c r="HK6" s="1630"/>
      <c r="HL6" s="1630"/>
      <c r="HM6" s="1630"/>
      <c r="HN6" s="1630"/>
      <c r="HO6" s="1630"/>
      <c r="HP6" s="1630"/>
      <c r="HQ6" s="1630"/>
      <c r="HR6" s="1630"/>
      <c r="HS6" s="1630"/>
      <c r="HT6" s="1630"/>
      <c r="HU6" s="1630"/>
      <c r="HV6" s="1630"/>
      <c r="HW6" s="1630"/>
      <c r="HX6" s="1630"/>
      <c r="HY6" s="1630"/>
      <c r="HZ6" s="1630"/>
      <c r="IA6" s="1630"/>
      <c r="IB6" s="1630"/>
      <c r="IC6" s="1630"/>
      <c r="ID6" s="1630"/>
      <c r="IE6" s="1630"/>
      <c r="IF6" s="1630"/>
      <c r="IG6" s="1630"/>
      <c r="IH6" s="1630"/>
      <c r="II6" s="1630"/>
    </row>
    <row r="7" spans="1:245" ht="16.5" customHeight="1" x14ac:dyDescent="0.25">
      <c r="A7" s="220" t="s">
        <v>194</v>
      </c>
      <c r="B7" s="221" t="s">
        <v>195</v>
      </c>
      <c r="C7" s="221" t="s">
        <v>196</v>
      </c>
      <c r="D7" s="383" t="s">
        <v>197</v>
      </c>
      <c r="E7" s="383" t="s">
        <v>198</v>
      </c>
      <c r="F7" s="383" t="s">
        <v>199</v>
      </c>
      <c r="G7" s="383" t="s">
        <v>200</v>
      </c>
      <c r="H7" s="383" t="s">
        <v>201</v>
      </c>
      <c r="I7" s="383" t="s">
        <v>202</v>
      </c>
      <c r="J7" s="383" t="s">
        <v>203</v>
      </c>
      <c r="K7" s="383" t="s">
        <v>204</v>
      </c>
      <c r="L7" s="383" t="s">
        <v>231</v>
      </c>
      <c r="M7" s="383" t="s">
        <v>232</v>
      </c>
      <c r="N7" s="383" t="s">
        <v>233</v>
      </c>
      <c r="O7" s="383" t="s">
        <v>234</v>
      </c>
      <c r="P7" s="383" t="s">
        <v>235</v>
      </c>
      <c r="Q7" s="383" t="s">
        <v>236</v>
      </c>
      <c r="R7" s="383" t="s">
        <v>237</v>
      </c>
      <c r="S7" s="383" t="s">
        <v>238</v>
      </c>
      <c r="T7" s="383" t="s">
        <v>239</v>
      </c>
      <c r="U7" s="383" t="s">
        <v>266</v>
      </c>
      <c r="V7" s="383" t="s">
        <v>267</v>
      </c>
      <c r="W7" s="383" t="s">
        <v>268</v>
      </c>
      <c r="X7" s="383" t="s">
        <v>269</v>
      </c>
      <c r="Y7" s="383" t="s">
        <v>270</v>
      </c>
      <c r="Z7" s="383" t="s">
        <v>271</v>
      </c>
      <c r="AA7" s="383" t="s">
        <v>272</v>
      </c>
      <c r="AB7" s="383" t="s">
        <v>273</v>
      </c>
      <c r="AC7" s="383" t="s">
        <v>274</v>
      </c>
      <c r="AD7" s="383" t="s">
        <v>275</v>
      </c>
      <c r="AE7" s="383" t="s">
        <v>276</v>
      </c>
      <c r="AF7" s="383" t="s">
        <v>277</v>
      </c>
      <c r="AG7" s="383" t="s">
        <v>278</v>
      </c>
      <c r="AH7" s="383" t="s">
        <v>282</v>
      </c>
      <c r="AI7" s="383" t="s">
        <v>283</v>
      </c>
      <c r="AJ7" s="383" t="s">
        <v>284</v>
      </c>
      <c r="AK7" s="383" t="s">
        <v>285</v>
      </c>
      <c r="AL7" s="383" t="s">
        <v>286</v>
      </c>
      <c r="AM7" s="383" t="s">
        <v>287</v>
      </c>
      <c r="AN7" s="383" t="s">
        <v>288</v>
      </c>
      <c r="AO7" s="383" t="s">
        <v>289</v>
      </c>
      <c r="AP7" s="383" t="s">
        <v>290</v>
      </c>
      <c r="AQ7" s="383" t="s">
        <v>291</v>
      </c>
      <c r="AR7" s="383" t="s">
        <v>292</v>
      </c>
      <c r="AS7" s="383" t="s">
        <v>293</v>
      </c>
      <c r="AT7" s="383" t="s">
        <v>294</v>
      </c>
      <c r="AU7" s="383" t="s">
        <v>295</v>
      </c>
      <c r="AV7" s="383" t="s">
        <v>296</v>
      </c>
      <c r="AW7" s="383" t="s">
        <v>297</v>
      </c>
      <c r="AX7" s="383" t="s">
        <v>298</v>
      </c>
      <c r="AY7" s="383" t="s">
        <v>299</v>
      </c>
      <c r="AZ7" s="383" t="s">
        <v>300</v>
      </c>
      <c r="BA7" s="383" t="s">
        <v>759</v>
      </c>
      <c r="BB7" s="383" t="s">
        <v>301</v>
      </c>
      <c r="BC7" s="383" t="s">
        <v>760</v>
      </c>
      <c r="BD7" s="383" t="s">
        <v>302</v>
      </c>
      <c r="BE7" s="383" t="s">
        <v>303</v>
      </c>
      <c r="BF7" s="383" t="s">
        <v>304</v>
      </c>
      <c r="BG7" s="383" t="s">
        <v>305</v>
      </c>
      <c r="BH7" s="383" t="s">
        <v>306</v>
      </c>
      <c r="BI7" s="383" t="s">
        <v>307</v>
      </c>
      <c r="BJ7" s="383" t="s">
        <v>308</v>
      </c>
      <c r="BK7" s="383" t="s">
        <v>309</v>
      </c>
      <c r="BL7" s="383" t="s">
        <v>310</v>
      </c>
      <c r="BM7" s="383" t="s">
        <v>311</v>
      </c>
      <c r="BN7" s="383" t="s">
        <v>312</v>
      </c>
      <c r="BO7" s="383" t="s">
        <v>313</v>
      </c>
      <c r="BP7" s="383" t="s">
        <v>314</v>
      </c>
      <c r="BQ7" s="383" t="s">
        <v>315</v>
      </c>
      <c r="BR7" s="383" t="s">
        <v>761</v>
      </c>
      <c r="BS7" s="383" t="s">
        <v>316</v>
      </c>
      <c r="BT7" s="383" t="s">
        <v>317</v>
      </c>
      <c r="BU7" s="383" t="s">
        <v>762</v>
      </c>
      <c r="BV7" s="383" t="s">
        <v>763</v>
      </c>
      <c r="BW7" s="383" t="s">
        <v>155</v>
      </c>
      <c r="BX7" s="383" t="s">
        <v>318</v>
      </c>
      <c r="BY7" s="383" t="s">
        <v>764</v>
      </c>
      <c r="BZ7" s="383" t="s">
        <v>765</v>
      </c>
      <c r="CA7" s="383" t="s">
        <v>319</v>
      </c>
      <c r="CB7" s="383" t="s">
        <v>320</v>
      </c>
      <c r="CC7" s="383" t="s">
        <v>321</v>
      </c>
      <c r="CD7" s="383" t="s">
        <v>322</v>
      </c>
      <c r="CE7" s="383" t="s">
        <v>323</v>
      </c>
      <c r="CF7" s="383" t="s">
        <v>324</v>
      </c>
      <c r="CG7" s="383" t="s">
        <v>325</v>
      </c>
      <c r="CH7" s="383" t="s">
        <v>326</v>
      </c>
      <c r="CI7" s="383" t="s">
        <v>766</v>
      </c>
      <c r="CJ7" s="383" t="s">
        <v>767</v>
      </c>
      <c r="CK7" s="383" t="s">
        <v>768</v>
      </c>
      <c r="CL7" s="383" t="s">
        <v>769</v>
      </c>
      <c r="CM7" s="383" t="s">
        <v>770</v>
      </c>
      <c r="CN7" s="383" t="s">
        <v>771</v>
      </c>
      <c r="CO7" s="383" t="s">
        <v>1384</v>
      </c>
      <c r="CP7" s="383" t="s">
        <v>772</v>
      </c>
      <c r="CQ7" s="383" t="s">
        <v>909</v>
      </c>
      <c r="CR7" s="383" t="s">
        <v>327</v>
      </c>
      <c r="CS7" s="383" t="s">
        <v>328</v>
      </c>
      <c r="CT7" s="383" t="s">
        <v>329</v>
      </c>
      <c r="CU7" s="383" t="s">
        <v>330</v>
      </c>
      <c r="CV7" s="383" t="s">
        <v>331</v>
      </c>
      <c r="CW7" s="383" t="s">
        <v>773</v>
      </c>
      <c r="CX7" s="383" t="s">
        <v>798</v>
      </c>
      <c r="CY7" s="383" t="s">
        <v>799</v>
      </c>
      <c r="CZ7" s="383" t="s">
        <v>800</v>
      </c>
      <c r="DA7" s="383" t="s">
        <v>801</v>
      </c>
      <c r="DB7" s="383" t="s">
        <v>802</v>
      </c>
      <c r="DC7" s="383" t="s">
        <v>803</v>
      </c>
      <c r="DD7" s="383" t="s">
        <v>804</v>
      </c>
      <c r="DE7" s="383" t="s">
        <v>1492</v>
      </c>
      <c r="DF7" s="383" t="s">
        <v>1493</v>
      </c>
      <c r="DG7" s="383" t="s">
        <v>805</v>
      </c>
      <c r="DH7" s="383" t="s">
        <v>806</v>
      </c>
      <c r="DI7" s="383" t="s">
        <v>807</v>
      </c>
      <c r="DJ7" s="383" t="s">
        <v>808</v>
      </c>
      <c r="DK7" s="383" t="s">
        <v>811</v>
      </c>
      <c r="DL7" s="383" t="s">
        <v>812</v>
      </c>
      <c r="DM7" s="383" t="s">
        <v>813</v>
      </c>
      <c r="DN7" s="383" t="s">
        <v>814</v>
      </c>
      <c r="DO7" s="383" t="s">
        <v>815</v>
      </c>
      <c r="DP7" s="383" t="s">
        <v>816</v>
      </c>
      <c r="DQ7" s="383" t="s">
        <v>817</v>
      </c>
      <c r="DR7" s="383" t="s">
        <v>818</v>
      </c>
      <c r="DS7" s="383" t="s">
        <v>819</v>
      </c>
      <c r="DT7" s="383" t="s">
        <v>820</v>
      </c>
      <c r="DU7" s="383" t="s">
        <v>821</v>
      </c>
      <c r="DV7" s="383" t="s">
        <v>822</v>
      </c>
      <c r="DW7" s="383" t="s">
        <v>823</v>
      </c>
      <c r="DX7" s="383" t="s">
        <v>831</v>
      </c>
      <c r="DY7" s="383" t="s">
        <v>830</v>
      </c>
      <c r="DZ7" s="383" t="s">
        <v>832</v>
      </c>
      <c r="EA7" s="383" t="s">
        <v>829</v>
      </c>
      <c r="EB7" s="383" t="s">
        <v>834</v>
      </c>
      <c r="EC7" s="383" t="s">
        <v>828</v>
      </c>
      <c r="ED7" s="383" t="s">
        <v>827</v>
      </c>
      <c r="EE7" s="383" t="s">
        <v>837</v>
      </c>
      <c r="EF7" s="383" t="s">
        <v>826</v>
      </c>
      <c r="EG7" s="383" t="s">
        <v>825</v>
      </c>
      <c r="EH7" s="383" t="s">
        <v>824</v>
      </c>
      <c r="EI7" s="383" t="s">
        <v>838</v>
      </c>
      <c r="EJ7" s="383" t="s">
        <v>839</v>
      </c>
      <c r="EK7" s="383" t="s">
        <v>840</v>
      </c>
      <c r="EL7" s="383" t="s">
        <v>1314</v>
      </c>
      <c r="EM7" s="383" t="s">
        <v>1320</v>
      </c>
      <c r="EN7" s="383" t="s">
        <v>1321</v>
      </c>
      <c r="EO7" s="383" t="s">
        <v>1324</v>
      </c>
      <c r="EP7" s="383" t="s">
        <v>1329</v>
      </c>
      <c r="EQ7" s="383" t="s">
        <v>1333</v>
      </c>
      <c r="ER7" s="383" t="s">
        <v>1340</v>
      </c>
      <c r="ES7" s="383" t="s">
        <v>1341</v>
      </c>
      <c r="ET7" s="383" t="s">
        <v>1342</v>
      </c>
      <c r="EU7" s="383" t="s">
        <v>1343</v>
      </c>
      <c r="EV7" s="383" t="s">
        <v>1345</v>
      </c>
      <c r="EW7" s="383" t="s">
        <v>1372</v>
      </c>
      <c r="EX7" s="383" t="s">
        <v>1373</v>
      </c>
      <c r="EY7" s="383" t="s">
        <v>1388</v>
      </c>
      <c r="EZ7" s="383" t="s">
        <v>1777</v>
      </c>
      <c r="FA7" s="383" t="s">
        <v>1948</v>
      </c>
      <c r="FB7" s="383" t="s">
        <v>1950</v>
      </c>
      <c r="FC7" s="383" t="s">
        <v>1952</v>
      </c>
      <c r="FD7" s="383" t="s">
        <v>1956</v>
      </c>
      <c r="FE7" s="383" t="s">
        <v>1959</v>
      </c>
      <c r="FF7" s="383" t="s">
        <v>1960</v>
      </c>
      <c r="FG7" s="383" t="s">
        <v>1961</v>
      </c>
      <c r="FH7" s="383" t="s">
        <v>1962</v>
      </c>
      <c r="FI7" s="383" t="s">
        <v>1963</v>
      </c>
      <c r="FJ7" s="383" t="s">
        <v>1964</v>
      </c>
      <c r="FK7" s="383" t="s">
        <v>1965</v>
      </c>
      <c r="FL7" s="383" t="s">
        <v>1966</v>
      </c>
      <c r="FM7" s="383" t="s">
        <v>2041</v>
      </c>
      <c r="FN7" s="383" t="s">
        <v>2043</v>
      </c>
      <c r="FO7" s="383" t="s">
        <v>2296</v>
      </c>
      <c r="FP7" s="383" t="s">
        <v>2046</v>
      </c>
      <c r="FQ7" s="383" t="s">
        <v>2048</v>
      </c>
      <c r="FR7" s="383" t="s">
        <v>2049</v>
      </c>
      <c r="FS7" s="383" t="s">
        <v>2051</v>
      </c>
      <c r="FT7" s="383" t="s">
        <v>2055</v>
      </c>
      <c r="FU7" s="383" t="s">
        <v>2059</v>
      </c>
      <c r="FV7" s="383" t="s">
        <v>2062</v>
      </c>
      <c r="FW7" s="383" t="s">
        <v>2064</v>
      </c>
      <c r="FX7" s="383" t="s">
        <v>2067</v>
      </c>
      <c r="FY7" s="383" t="s">
        <v>2070</v>
      </c>
      <c r="FZ7" s="383" t="s">
        <v>2073</v>
      </c>
      <c r="GA7" s="383" t="s">
        <v>2075</v>
      </c>
      <c r="GB7" s="383" t="s">
        <v>2091</v>
      </c>
      <c r="GC7" s="383" t="s">
        <v>2094</v>
      </c>
      <c r="GD7" s="383" t="s">
        <v>2096</v>
      </c>
      <c r="GE7" s="383" t="s">
        <v>2099</v>
      </c>
      <c r="GF7" s="383" t="s">
        <v>2370</v>
      </c>
      <c r="GG7" s="383" t="s">
        <v>2107</v>
      </c>
      <c r="GH7" s="383" t="s">
        <v>2109</v>
      </c>
      <c r="GI7" s="383" t="s">
        <v>2111</v>
      </c>
      <c r="GJ7" s="383" t="s">
        <v>2119</v>
      </c>
      <c r="GK7" s="383" t="s">
        <v>2128</v>
      </c>
      <c r="GL7" s="383" t="s">
        <v>2130</v>
      </c>
      <c r="GM7" s="383" t="s">
        <v>2131</v>
      </c>
      <c r="GN7" s="383" t="s">
        <v>2132</v>
      </c>
      <c r="GO7" s="383" t="s">
        <v>2134</v>
      </c>
      <c r="GP7" s="383" t="s">
        <v>2136</v>
      </c>
      <c r="GQ7" s="383" t="s">
        <v>2138</v>
      </c>
      <c r="GR7" s="383" t="s">
        <v>2140</v>
      </c>
      <c r="GS7" s="383" t="s">
        <v>2423</v>
      </c>
      <c r="GT7" s="383" t="s">
        <v>2160</v>
      </c>
      <c r="GU7" s="383" t="s">
        <v>2162</v>
      </c>
      <c r="GV7" s="383" t="s">
        <v>2164</v>
      </c>
      <c r="GW7" s="383" t="s">
        <v>2166</v>
      </c>
      <c r="GX7" s="383" t="s">
        <v>2168</v>
      </c>
      <c r="GY7" s="383" t="s">
        <v>2170</v>
      </c>
      <c r="GZ7" s="383" t="s">
        <v>2172</v>
      </c>
      <c r="HA7" s="383" t="s">
        <v>2174</v>
      </c>
      <c r="HB7" s="383" t="s">
        <v>2176</v>
      </c>
      <c r="HC7" s="383" t="s">
        <v>2178</v>
      </c>
      <c r="HD7" s="383" t="s">
        <v>2180</v>
      </c>
      <c r="HE7" s="383" t="s">
        <v>2182</v>
      </c>
      <c r="HF7" s="383" t="s">
        <v>2184</v>
      </c>
      <c r="HG7" s="383" t="s">
        <v>2187</v>
      </c>
      <c r="HH7" s="383" t="s">
        <v>2189</v>
      </c>
      <c r="HI7" s="383" t="s">
        <v>2191</v>
      </c>
      <c r="HJ7" s="383" t="s">
        <v>2193</v>
      </c>
      <c r="HK7" s="383" t="s">
        <v>2195</v>
      </c>
      <c r="HL7" s="383" t="s">
        <v>2197</v>
      </c>
      <c r="HM7" s="383" t="s">
        <v>2199</v>
      </c>
      <c r="HN7" s="383" t="s">
        <v>2200</v>
      </c>
      <c r="HO7" s="383" t="s">
        <v>2203</v>
      </c>
      <c r="HP7" s="383" t="s">
        <v>2212</v>
      </c>
      <c r="HQ7" s="383" t="s">
        <v>2213</v>
      </c>
      <c r="HR7" s="383" t="s">
        <v>2215</v>
      </c>
      <c r="HS7" s="383" t="s">
        <v>2216</v>
      </c>
      <c r="HT7" s="383" t="s">
        <v>2219</v>
      </c>
      <c r="HU7" s="383" t="s">
        <v>2221</v>
      </c>
      <c r="HV7" s="383" t="s">
        <v>2223</v>
      </c>
      <c r="HW7" s="383" t="s">
        <v>2225</v>
      </c>
      <c r="HX7" s="383" t="s">
        <v>2227</v>
      </c>
      <c r="HY7" s="383" t="s">
        <v>2229</v>
      </c>
      <c r="HZ7" s="383" t="s">
        <v>2231</v>
      </c>
      <c r="IA7" s="383" t="s">
        <v>2253</v>
      </c>
      <c r="IB7" s="383" t="s">
        <v>2256</v>
      </c>
      <c r="IC7" s="383" t="s">
        <v>2258</v>
      </c>
      <c r="ID7" s="383" t="s">
        <v>2260</v>
      </c>
      <c r="IE7" s="383" t="s">
        <v>2262</v>
      </c>
      <c r="IF7" s="383" t="s">
        <v>2265</v>
      </c>
      <c r="IG7" s="383" t="s">
        <v>2267</v>
      </c>
      <c r="IH7" s="383" t="s">
        <v>2269</v>
      </c>
      <c r="II7" s="383" t="s">
        <v>2273</v>
      </c>
    </row>
    <row r="8" spans="1:245" ht="21.75" customHeight="1" x14ac:dyDescent="0.25">
      <c r="A8" s="222" t="s">
        <v>194</v>
      </c>
      <c r="B8" s="223" t="s">
        <v>335</v>
      </c>
      <c r="C8" s="224" t="s">
        <v>205</v>
      </c>
      <c r="D8" s="243"/>
      <c r="E8" s="243"/>
      <c r="F8" s="243"/>
      <c r="G8" s="243"/>
      <c r="H8" s="243"/>
      <c r="I8" s="243"/>
      <c r="J8" s="243"/>
      <c r="K8" s="243"/>
      <c r="L8" s="243"/>
      <c r="M8" s="243"/>
      <c r="N8" s="243"/>
      <c r="O8" s="243"/>
      <c r="P8" s="243"/>
      <c r="Q8" s="243"/>
      <c r="R8" s="243"/>
      <c r="S8" s="243"/>
      <c r="T8" s="243"/>
      <c r="U8" s="243"/>
      <c r="V8" s="255"/>
      <c r="W8" s="255"/>
      <c r="X8" s="255"/>
      <c r="Y8" s="255"/>
      <c r="Z8" s="255"/>
      <c r="AA8" s="255"/>
      <c r="AB8" s="255"/>
      <c r="AC8" s="255"/>
      <c r="AD8" s="255"/>
      <c r="AE8" s="255"/>
      <c r="AF8" s="255"/>
      <c r="AG8" s="255"/>
      <c r="AH8" s="255"/>
      <c r="AI8" s="255"/>
      <c r="AJ8" s="243">
        <f>(27075000+50195000)+237857</f>
        <v>77507857</v>
      </c>
      <c r="AK8" s="243">
        <f>(27075000+50195000)+237857-449286+449286-987857+987857-312857+312857-750000+750000-750000+750000-777283+777283-750000+750000-777285+777285-680215+680215-10000+10000-400000+400000-370200+370200-5392417-1053269+5735486+710200+14186897-1000000+1000000-980527-1500000+1500000</f>
        <v>90714227</v>
      </c>
      <c r="AL8" s="243">
        <f>17340000+144000</f>
        <v>17484000</v>
      </c>
      <c r="AM8" s="243">
        <f>17340000+144000-144000-21225+28650500+200000-70000+20000+50000-311884+211884+100000-885000+500000+32500+352500-15600+15600-400000+400000-1174259+1000000+161700+12559-2002559+300000+590000+1112559+390527+590000-287489+287489</f>
        <v>47149802</v>
      </c>
      <c r="AN8" s="243"/>
      <c r="AO8" s="243"/>
      <c r="AP8" s="243"/>
      <c r="AQ8" s="243"/>
      <c r="AR8" s="243"/>
      <c r="AS8" s="243"/>
      <c r="AT8" s="243"/>
      <c r="AU8" s="243"/>
      <c r="AV8" s="243">
        <v>1212000</v>
      </c>
      <c r="AW8" s="243">
        <v>1212000</v>
      </c>
      <c r="AX8" s="243"/>
      <c r="AY8" s="243"/>
      <c r="AZ8" s="243"/>
      <c r="BA8" s="243"/>
      <c r="BB8" s="243"/>
      <c r="BC8" s="243"/>
      <c r="BD8" s="243"/>
      <c r="BE8" s="243"/>
      <c r="BF8" s="243"/>
      <c r="BG8" s="243"/>
      <c r="BH8" s="243"/>
      <c r="BI8" s="243"/>
      <c r="BJ8" s="243"/>
      <c r="BK8" s="243"/>
      <c r="BL8" s="243"/>
      <c r="BM8" s="243"/>
      <c r="BN8" s="243"/>
      <c r="BO8" s="243"/>
      <c r="BP8" s="243">
        <v>4000000</v>
      </c>
      <c r="BQ8" s="243">
        <f>4000000+200000+1980000</f>
        <v>6180000</v>
      </c>
      <c r="BR8" s="243"/>
      <c r="BS8" s="243"/>
      <c r="BT8" s="243"/>
      <c r="BU8" s="243"/>
      <c r="BV8" s="243"/>
      <c r="BW8" s="243"/>
      <c r="BX8" s="243">
        <v>10242000</v>
      </c>
      <c r="BY8" s="243">
        <f>10242000-16200+16200-16200+16200-15000+15000-15600+15600+130000-70600+15600+55000-125600+15600+110000-113376+15600+97776-377072+309850+67222-15600+15600+600000+15600+450000-195472+179872+15600-355600+340000+15600</f>
        <v>11437600</v>
      </c>
      <c r="BZ8" s="255"/>
      <c r="CA8" s="255"/>
      <c r="CB8" s="243"/>
      <c r="CC8" s="243"/>
      <c r="CD8" s="243"/>
      <c r="CE8" s="243"/>
      <c r="CF8" s="243"/>
      <c r="CG8" s="243"/>
      <c r="CH8" s="243">
        <v>3000000</v>
      </c>
      <c r="CI8" s="243">
        <v>3000000</v>
      </c>
      <c r="CJ8" s="243">
        <v>12256000</v>
      </c>
      <c r="CK8" s="243">
        <f>12256000-67701+67701-26207+26207-70000+70000-74828+74828-248276+200000+48276-67586+67586-591724+500000+91724-60345+60345-48276+48276-1062759+1000000+62759-38621+38621-50690+50690</f>
        <v>12256000</v>
      </c>
      <c r="CL8" s="243">
        <v>14452000</v>
      </c>
      <c r="CM8" s="243">
        <f>14452000-28000+28000-28000+28000+300000-21768+21768-700000+700000</f>
        <v>14752000</v>
      </c>
      <c r="CN8" s="243"/>
      <c r="CO8" s="243"/>
      <c r="CP8" s="243"/>
      <c r="CQ8" s="243"/>
      <c r="CR8" s="243"/>
      <c r="CS8" s="243"/>
      <c r="CT8" s="243">
        <v>8990320</v>
      </c>
      <c r="CU8" s="243">
        <f>8990320-101913+18000+83913+100000-18000+18000-45000+45000-27000+27000-668000+650000+18000-298429+27000+271429</f>
        <v>9090320</v>
      </c>
      <c r="CV8" s="243">
        <v>37934480</v>
      </c>
      <c r="CW8" s="243">
        <f>37934480-85000+40000+45000-60000+60000-34920+34920-95182+27000+68182+500000-93000+63000+30000-147000+117000+30000-112571+54000+58571-1857000+27000+30000+1800000-111000+81000+30000-3722514+3700000+54000+30000-100920+36000+64920-118920+54000+64920</f>
        <v>38495966</v>
      </c>
      <c r="CX8" s="243"/>
      <c r="CY8" s="243"/>
      <c r="CZ8" s="243">
        <v>8010000</v>
      </c>
      <c r="DA8" s="243">
        <f>8010000-1065600</f>
        <v>6944400</v>
      </c>
      <c r="DB8" s="243">
        <f>+(8658009)+38095</f>
        <v>8696104</v>
      </c>
      <c r="DC8" s="243">
        <f>+(8658009)+38095-680000+70000+610000</f>
        <v>8696104</v>
      </c>
      <c r="DD8" s="243"/>
      <c r="DE8" s="243">
        <v>48126</v>
      </c>
      <c r="DF8" s="254">
        <v>38955000</v>
      </c>
      <c r="DG8" s="254">
        <f>38955000-108333+108333-162685+162685+2322951+800000-143050+143050-57488+57488-43415+43415-43415+43415-2971594+2877049+44545-146566+146566-40000+40000</f>
        <v>42027951</v>
      </c>
      <c r="DH8" s="255"/>
      <c r="DI8" s="255"/>
      <c r="DJ8" s="243"/>
      <c r="DK8" s="243"/>
      <c r="DL8" s="243">
        <v>562771</v>
      </c>
      <c r="DM8" s="243">
        <v>562771</v>
      </c>
      <c r="DN8" s="243"/>
      <c r="DO8" s="243"/>
      <c r="DP8" s="243"/>
      <c r="DQ8" s="243"/>
      <c r="DR8" s="243"/>
      <c r="DS8" s="243"/>
      <c r="DT8" s="243"/>
      <c r="DU8" s="243"/>
      <c r="DV8" s="243"/>
      <c r="DW8" s="243"/>
      <c r="DX8" s="243"/>
      <c r="DY8" s="243"/>
      <c r="DZ8" s="243"/>
      <c r="EA8" s="243"/>
      <c r="EB8" s="243"/>
      <c r="EC8" s="243"/>
      <c r="ED8" s="243"/>
      <c r="EE8" s="243"/>
      <c r="EF8" s="243"/>
      <c r="EG8" s="243"/>
      <c r="EH8" s="243"/>
      <c r="EI8" s="243"/>
      <c r="EJ8" s="243"/>
      <c r="EK8" s="243"/>
      <c r="EL8" s="611">
        <f>2000000+800000+300000+292035</f>
        <v>3392035</v>
      </c>
      <c r="EM8" s="611">
        <f>2000000+800000+300000+292035+68936</f>
        <v>3460971</v>
      </c>
      <c r="EN8" s="243"/>
      <c r="EO8" s="243"/>
      <c r="EP8" s="243"/>
      <c r="EQ8" s="243"/>
      <c r="ER8" s="243">
        <v>720000</v>
      </c>
      <c r="ES8" s="243">
        <v>720000</v>
      </c>
      <c r="ET8" s="243"/>
      <c r="EU8" s="243"/>
      <c r="EV8" s="243"/>
      <c r="EW8" s="243"/>
      <c r="EX8" s="243"/>
      <c r="EY8" s="243"/>
      <c r="EZ8" s="243"/>
      <c r="FA8" s="243"/>
      <c r="FB8" s="243"/>
      <c r="FC8" s="243"/>
      <c r="FD8" s="243"/>
      <c r="FE8" s="243"/>
      <c r="FF8" s="243"/>
      <c r="FG8" s="243"/>
      <c r="FH8" s="243"/>
      <c r="FI8" s="243"/>
      <c r="FJ8" s="243"/>
      <c r="FK8" s="243"/>
      <c r="FL8" s="243"/>
      <c r="FM8" s="243"/>
      <c r="FN8" s="243"/>
      <c r="FO8" s="243"/>
      <c r="FP8" s="243"/>
      <c r="FQ8" s="243"/>
      <c r="FR8" s="243"/>
      <c r="FS8" s="243"/>
      <c r="FT8" s="243"/>
      <c r="FU8" s="243"/>
      <c r="FV8" s="243"/>
      <c r="FW8" s="243"/>
      <c r="FX8" s="243"/>
      <c r="FY8" s="243"/>
      <c r="FZ8" s="243"/>
      <c r="GA8" s="243"/>
      <c r="GB8" s="243"/>
      <c r="GC8" s="243"/>
      <c r="GD8" s="243"/>
      <c r="GE8" s="243"/>
      <c r="GF8" s="255"/>
      <c r="GG8" s="255"/>
      <c r="GH8" s="255"/>
      <c r="GI8" s="255"/>
      <c r="GJ8" s="255"/>
      <c r="GK8" s="255"/>
      <c r="GL8" s="255"/>
      <c r="GM8" s="255"/>
      <c r="GN8" s="255"/>
      <c r="GO8" s="255"/>
      <c r="GP8" s="255"/>
      <c r="GQ8" s="255"/>
      <c r="GR8" s="255"/>
      <c r="GS8" s="255"/>
      <c r="GT8" s="255"/>
      <c r="GU8" s="255"/>
      <c r="GV8" s="255"/>
      <c r="GW8" s="255"/>
      <c r="GX8" s="255"/>
      <c r="GY8" s="255"/>
      <c r="GZ8" s="243"/>
      <c r="HA8" s="243"/>
      <c r="HB8" s="243"/>
      <c r="HC8" s="243"/>
      <c r="HD8" s="243"/>
      <c r="HE8" s="243"/>
      <c r="HF8" s="243"/>
      <c r="HG8" s="243">
        <v>579760</v>
      </c>
      <c r="HH8" s="243"/>
      <c r="HI8" s="243"/>
      <c r="HJ8" s="243"/>
      <c r="HK8" s="243"/>
      <c r="HL8" s="243"/>
      <c r="HM8" s="243"/>
      <c r="HN8" s="243"/>
      <c r="HO8" s="243"/>
      <c r="HP8" s="243"/>
      <c r="HQ8" s="243"/>
      <c r="HR8" s="243"/>
      <c r="HS8" s="243"/>
      <c r="HT8" s="243"/>
      <c r="HU8" s="243"/>
      <c r="HV8" s="243"/>
      <c r="HW8" s="243"/>
      <c r="HX8" s="243"/>
      <c r="HY8" s="243"/>
      <c r="HZ8" s="243"/>
      <c r="IA8" s="243"/>
      <c r="IB8" s="243"/>
      <c r="IC8" s="243"/>
      <c r="ID8" s="243"/>
      <c r="IE8" s="243"/>
      <c r="IF8" s="243"/>
      <c r="IG8" s="243"/>
      <c r="IH8" s="243"/>
      <c r="II8" s="243"/>
      <c r="IJ8" s="227"/>
    </row>
    <row r="9" spans="1:245" s="229" customFormat="1" ht="21.75" customHeight="1" x14ac:dyDescent="0.25">
      <c r="A9" s="222" t="s">
        <v>195</v>
      </c>
      <c r="B9" s="228" t="s">
        <v>206</v>
      </c>
      <c r="C9" s="224" t="s">
        <v>207</v>
      </c>
      <c r="D9" s="243"/>
      <c r="E9" s="243"/>
      <c r="F9" s="243"/>
      <c r="G9" s="243"/>
      <c r="H9" s="243"/>
      <c r="I9" s="243"/>
      <c r="J9" s="243"/>
      <c r="K9" s="243"/>
      <c r="L9" s="243"/>
      <c r="M9" s="243"/>
      <c r="N9" s="243"/>
      <c r="O9" s="243"/>
      <c r="P9" s="243"/>
      <c r="Q9" s="243"/>
      <c r="R9" s="243"/>
      <c r="S9" s="243"/>
      <c r="T9" s="243"/>
      <c r="U9" s="243"/>
      <c r="V9" s="254"/>
      <c r="W9" s="254"/>
      <c r="X9" s="254"/>
      <c r="Y9" s="254"/>
      <c r="Z9" s="254"/>
      <c r="AA9" s="254"/>
      <c r="AB9" s="254"/>
      <c r="AC9" s="254"/>
      <c r="AD9" s="254"/>
      <c r="AE9" s="254"/>
      <c r="AF9" s="254"/>
      <c r="AG9" s="254"/>
      <c r="AH9" s="254"/>
      <c r="AI9" s="254"/>
      <c r="AJ9" s="243">
        <f>3554750+6652100</f>
        <v>10206850</v>
      </c>
      <c r="AK9" s="243">
        <f>3554750+6652100-1157127-345462+1844297</f>
        <v>10548558</v>
      </c>
      <c r="AL9" s="243">
        <f>2324200+1750832+18720</f>
        <v>4093752</v>
      </c>
      <c r="AM9" s="243">
        <f>2324200+1750832+18720-18720+3724565+26000-238773-42633-137761</f>
        <v>7406430</v>
      </c>
      <c r="AN9" s="243"/>
      <c r="AO9" s="243"/>
      <c r="AP9" s="243"/>
      <c r="AQ9" s="243"/>
      <c r="AR9" s="243"/>
      <c r="AS9" s="243"/>
      <c r="AT9" s="243"/>
      <c r="AU9" s="243"/>
      <c r="AV9" s="243">
        <v>188000</v>
      </c>
      <c r="AW9" s="243">
        <f>188000+262357</f>
        <v>450357</v>
      </c>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v>1371710</v>
      </c>
      <c r="BY9" s="243">
        <f>1371710+16900</f>
        <v>1388610</v>
      </c>
      <c r="BZ9" s="254"/>
      <c r="CA9" s="254"/>
      <c r="CB9" s="243"/>
      <c r="CC9" s="243"/>
      <c r="CD9" s="243"/>
      <c r="CE9" s="243"/>
      <c r="CF9" s="243"/>
      <c r="CG9" s="243"/>
      <c r="CH9" s="243">
        <v>465000</v>
      </c>
      <c r="CI9" s="243">
        <v>465000</v>
      </c>
      <c r="CJ9" s="243">
        <v>1678280</v>
      </c>
      <c r="CK9" s="243">
        <v>1678280</v>
      </c>
      <c r="CL9" s="243">
        <v>1975010</v>
      </c>
      <c r="CM9" s="243">
        <f>1975010+39000</f>
        <v>2014010</v>
      </c>
      <c r="CN9" s="243"/>
      <c r="CO9" s="243"/>
      <c r="CP9" s="243"/>
      <c r="CQ9" s="243"/>
      <c r="CR9" s="243"/>
      <c r="CS9" s="243"/>
      <c r="CT9" s="243">
        <v>1238742</v>
      </c>
      <c r="CU9" s="243">
        <f>1238742+13000+11486+132938+45396</f>
        <v>1441562</v>
      </c>
      <c r="CV9" s="243">
        <v>5106482</v>
      </c>
      <c r="CW9" s="243">
        <f>5106482+65000-132938-45396</f>
        <v>4993148</v>
      </c>
      <c r="CX9" s="243"/>
      <c r="CY9" s="243"/>
      <c r="CZ9" s="243">
        <v>1076300</v>
      </c>
      <c r="DA9" s="243">
        <v>1076300</v>
      </c>
      <c r="DB9" s="243">
        <v>1341991</v>
      </c>
      <c r="DC9" s="243">
        <f>1341991+238773+42633+1138182+137761+60133</f>
        <v>2959473</v>
      </c>
      <c r="DD9" s="243"/>
      <c r="DE9" s="243">
        <v>18945</v>
      </c>
      <c r="DF9" s="254">
        <v>5309150</v>
      </c>
      <c r="DG9" s="254">
        <f>5309150+301984+104000</f>
        <v>5715134</v>
      </c>
      <c r="DH9" s="254"/>
      <c r="DI9" s="254"/>
      <c r="DJ9" s="243"/>
      <c r="DK9" s="243"/>
      <c r="DL9" s="243">
        <v>87229</v>
      </c>
      <c r="DM9" s="243">
        <v>87229</v>
      </c>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611">
        <f>480500+37965</f>
        <v>518465</v>
      </c>
      <c r="EM9" s="611">
        <f>480500+37965</f>
        <v>518465</v>
      </c>
      <c r="EN9" s="243"/>
      <c r="EO9" s="243"/>
      <c r="EP9" s="243"/>
      <c r="EQ9" s="243"/>
      <c r="ER9" s="243">
        <v>297360</v>
      </c>
      <c r="ES9" s="243">
        <v>297360</v>
      </c>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c r="FX9" s="243"/>
      <c r="FY9" s="243"/>
      <c r="FZ9" s="243"/>
      <c r="GA9" s="243"/>
      <c r="GB9" s="243"/>
      <c r="GC9" s="243"/>
      <c r="GD9" s="243"/>
      <c r="GE9" s="243"/>
      <c r="GF9" s="254"/>
      <c r="GG9" s="254"/>
      <c r="GH9" s="254"/>
      <c r="GI9" s="254"/>
      <c r="GJ9" s="254"/>
      <c r="GK9" s="254"/>
      <c r="GL9" s="254"/>
      <c r="GM9" s="254"/>
      <c r="GN9" s="254"/>
      <c r="GO9" s="254"/>
      <c r="GP9" s="254"/>
      <c r="GQ9" s="254"/>
      <c r="GR9" s="254"/>
      <c r="GS9" s="254"/>
      <c r="GT9" s="254"/>
      <c r="GU9" s="254"/>
      <c r="GV9" s="254"/>
      <c r="GW9" s="254"/>
      <c r="GX9" s="254"/>
      <c r="GY9" s="254"/>
      <c r="GZ9" s="243"/>
      <c r="HA9" s="243"/>
      <c r="HB9" s="243"/>
      <c r="HC9" s="243"/>
      <c r="HD9" s="243"/>
      <c r="HE9" s="243"/>
      <c r="HF9" s="243"/>
      <c r="HG9" s="243">
        <v>67832</v>
      </c>
      <c r="HH9" s="243"/>
      <c r="HI9" s="243"/>
      <c r="HJ9" s="243"/>
      <c r="HK9" s="243"/>
      <c r="HL9" s="243"/>
      <c r="HM9" s="243"/>
      <c r="HN9" s="243"/>
      <c r="HO9" s="243"/>
      <c r="HP9" s="243"/>
      <c r="HQ9" s="243"/>
      <c r="HR9" s="243"/>
      <c r="HS9" s="243"/>
      <c r="HT9" s="243"/>
      <c r="HU9" s="243"/>
      <c r="HV9" s="243"/>
      <c r="HW9" s="243"/>
      <c r="HX9" s="243"/>
      <c r="HY9" s="243"/>
      <c r="HZ9" s="243"/>
      <c r="IA9" s="243"/>
      <c r="IB9" s="243"/>
      <c r="IC9" s="243"/>
      <c r="ID9" s="243"/>
      <c r="IE9" s="243"/>
      <c r="IF9" s="243"/>
      <c r="IG9" s="243"/>
      <c r="IH9" s="243"/>
      <c r="II9" s="243"/>
      <c r="IJ9" s="227"/>
    </row>
    <row r="10" spans="1:245" ht="21.75" customHeight="1" x14ac:dyDescent="0.25">
      <c r="A10" s="222" t="s">
        <v>196</v>
      </c>
      <c r="B10" s="228" t="s">
        <v>336</v>
      </c>
      <c r="C10" s="224" t="s">
        <v>208</v>
      </c>
      <c r="D10" s="274"/>
      <c r="E10" s="274"/>
      <c r="F10" s="274"/>
      <c r="G10" s="274"/>
      <c r="H10" s="274"/>
      <c r="I10" s="274"/>
      <c r="J10" s="274"/>
      <c r="K10" s="274"/>
      <c r="L10" s="274"/>
      <c r="M10" s="274">
        <f>6377953-6377953</f>
        <v>0</v>
      </c>
      <c r="N10" s="274"/>
      <c r="O10" s="274"/>
      <c r="P10" s="274"/>
      <c r="Q10" s="274"/>
      <c r="R10" s="274"/>
      <c r="S10" s="274"/>
      <c r="T10" s="243">
        <v>1000000</v>
      </c>
      <c r="U10" s="243">
        <v>1000000</v>
      </c>
      <c r="V10" s="288">
        <f>(10000000)+6262+21232</f>
        <v>10027494</v>
      </c>
      <c r="W10" s="288">
        <f>10027494+1725000+465750-1144722+1144722+2000000-203923+203923+3000000+810000+5000000+1350000+5000000+1350000</f>
        <v>30728244</v>
      </c>
      <c r="X10" s="225"/>
      <c r="Y10" s="225"/>
      <c r="Z10" s="225"/>
      <c r="AA10" s="225">
        <v>160000</v>
      </c>
      <c r="AB10" s="225"/>
      <c r="AC10" s="225"/>
      <c r="AD10" s="225"/>
      <c r="AE10" s="225"/>
      <c r="AF10" s="225"/>
      <c r="AG10" s="225"/>
      <c r="AH10" s="255"/>
      <c r="AI10" s="255"/>
      <c r="AJ10" s="274">
        <f>(3063000)+11893</f>
        <v>3074893</v>
      </c>
      <c r="AK10" s="274">
        <f>(3063000)+11893-17000+17000-120000+100000+20000</f>
        <v>3074893</v>
      </c>
      <c r="AL10" s="243">
        <f>+(47995964)+23923964</f>
        <v>71919928</v>
      </c>
      <c r="AM10" s="243">
        <f>+(47995964)+23923964+162720-100000+100000+21225-162720-6600+6600-25200+25200-300000+300000+5200000+1404000-50000+50000</f>
        <v>78545153</v>
      </c>
      <c r="AN10" s="274"/>
      <c r="AO10" s="274"/>
      <c r="AP10" s="274">
        <f>(5000000+3000000)+18137+14+963418</f>
        <v>8981569</v>
      </c>
      <c r="AQ10" s="274">
        <f>(5000000+3000000)+18137+14+963418-50780-13711+65000+17550-100000+100000-34410-9290-220000+220000+1000000+270000-368785-99573+600000+162000-28000-7560</f>
        <v>10484010</v>
      </c>
      <c r="AR10" s="243"/>
      <c r="AS10" s="243"/>
      <c r="AT10" s="274"/>
      <c r="AU10" s="274"/>
      <c r="AV10" s="274">
        <v>25000000</v>
      </c>
      <c r="AW10" s="274">
        <f>25000000-865200-233604-173045+173045-3200000-400008+3600008-178274+38274+140000</f>
        <v>23901196</v>
      </c>
      <c r="AX10" s="274">
        <v>10000000</v>
      </c>
      <c r="AY10" s="274">
        <f>10000000-3111000-839970-758000-204660-68008-18362</f>
        <v>5000000</v>
      </c>
      <c r="AZ10" s="274">
        <f>25000000</f>
        <v>25000000</v>
      </c>
      <c r="BA10" s="274">
        <f>25000000-5314961+5314961-772160-550000-1301764-351476-264600+264600</f>
        <v>22024600</v>
      </c>
      <c r="BB10" s="274">
        <f>(10000000+(150000000+7620000)+5000000+2000000+5000000+8000000+32000000+5000000+10000000+10000000+3000000+8000000+1392000+10000000+10000000+6000000)+15938943</f>
        <v>298950943</v>
      </c>
      <c r="BC10" s="274">
        <f>(10000000+(150000000+7620000)+5000000+2000000+5000000+8000000+32000000+5000000+10000000+10000000+3000000+8000000+1392000+10000000+10000000+6000000)+15938943-565500-152685-121700+121700-300000+300000-681000-183870-5629921-1520079-2244094-605906-420000-113400-3645075+3645075+608000+164160+758000+204660+550000+1301764+351476-27204-7345+778000+210060-400796-27940+428736+350000+650000+175500-81290+150986</f>
        <v>292971255</v>
      </c>
      <c r="BD10" s="274">
        <f>(10000000+12000000+15000000+1428000+1380000)+76200+3243838</f>
        <v>43128038</v>
      </c>
      <c r="BE10" s="274">
        <f>(10000000+12000000+15000000+1428000+1380000)+76200+3243838-2874016-775984-2125984-574016+8400000+2268000-425647-114925</f>
        <v>46905466</v>
      </c>
      <c r="BF10" s="274">
        <f>32500000+19000000</f>
        <v>51500000</v>
      </c>
      <c r="BG10" s="274">
        <f>32500000+19000000-8464846-2285508-8400000-2268000-372500-100575-363835-98236</f>
        <v>29146500</v>
      </c>
      <c r="BH10" s="274">
        <f>5000000+300000</f>
        <v>5300000</v>
      </c>
      <c r="BI10" s="274">
        <f>5000000+300000+3937008+1062992+2125984+574016+426000+68248-79344+9648</f>
        <v>13424552</v>
      </c>
      <c r="BJ10" s="274">
        <f>(160000000+10000000)+24079193</f>
        <v>194079193</v>
      </c>
      <c r="BK10" s="274">
        <f>(160000000+10000000)+24079193-5764000-1556280+1453106+392338+2800000+756000-6527121+6527121-1472879+1346894+125985+6142500+1658475+644972+174142</f>
        <v>200780446</v>
      </c>
      <c r="BL10" s="274">
        <f>50000000+50000000+1000000</f>
        <v>101000000</v>
      </c>
      <c r="BM10" s="274">
        <f>50000000+50000000+1000000+6807259+1837960+561305+151552+2874016+775984+3920000+1058400-95669+95669+354331+95669+843528+227753</f>
        <v>120507757</v>
      </c>
      <c r="BN10" s="274">
        <f>(30786653)+250000+160000+2540000+2540000</f>
        <v>36276653</v>
      </c>
      <c r="BO10" s="274">
        <f>(30786653)+250000+160000+2540000+2540000+162720+59055+15945+40551+10949-1574803-425197+1968504+531496+93546+25258+3365550+908699-1000000+1000000</f>
        <v>41458926</v>
      </c>
      <c r="BP10" s="274">
        <f>1430000+1200000</f>
        <v>2630000</v>
      </c>
      <c r="BQ10" s="274">
        <f>1430000+1200000+300000</f>
        <v>2930000</v>
      </c>
      <c r="BR10" s="274">
        <f>+(20000000)+200000+300000+222250</f>
        <v>20722250</v>
      </c>
      <c r="BS10" s="274">
        <f>+(20000000)+200000+300000+222250</f>
        <v>20722250</v>
      </c>
      <c r="BT10" s="243">
        <f>5000000+4152000</f>
        <v>9152000</v>
      </c>
      <c r="BU10" s="243">
        <f>5000000+4152000-803780-217020-431497-188801-267768-308527-83303-12992-3508+50946+13756+71000+19170+372500+100575</f>
        <v>7462751</v>
      </c>
      <c r="BV10" s="243">
        <f>+(19000000)+609600</f>
        <v>19609600</v>
      </c>
      <c r="BW10" s="243">
        <f>+(19000000)+609600+500000+135000+150000+40500</f>
        <v>20435100</v>
      </c>
      <c r="BX10" s="274">
        <f>(24409400)+3922+10668+88990+810787+609600</f>
        <v>25933367</v>
      </c>
      <c r="BY10" s="274">
        <f>(24409400)+3922+10668+88990+810787+609600+5000000+1350000+1000000+270000+5000000+1350000+2500000+47850+400000-5100</f>
        <v>42846117</v>
      </c>
      <c r="BZ10" s="225"/>
      <c r="CA10" s="225"/>
      <c r="CB10" s="274">
        <v>2000000</v>
      </c>
      <c r="CC10" s="274">
        <v>2000000</v>
      </c>
      <c r="CD10" s="274"/>
      <c r="CE10" s="274">
        <v>240000</v>
      </c>
      <c r="CF10" s="243">
        <v>500000</v>
      </c>
      <c r="CG10" s="243">
        <v>500000</v>
      </c>
      <c r="CH10" s="274"/>
      <c r="CI10" s="274">
        <f>157480+42520</f>
        <v>200000</v>
      </c>
      <c r="CJ10" s="274">
        <v>2500000</v>
      </c>
      <c r="CK10" s="274">
        <f>2500000-20000+20000</f>
        <v>2500000</v>
      </c>
      <c r="CL10" s="274">
        <f>(17901350)+10929+5171+42000</f>
        <v>17959450</v>
      </c>
      <c r="CM10" s="274">
        <f>(17901350)+10929+5171+42000+2500000+675000-70000+70000+2500000+675000</f>
        <v>24309450</v>
      </c>
      <c r="CN10" s="274">
        <v>1500000</v>
      </c>
      <c r="CO10" s="274">
        <f>1500000-43299-11691</f>
        <v>1445010</v>
      </c>
      <c r="CP10" s="274">
        <v>2000000</v>
      </c>
      <c r="CQ10" s="274">
        <f>2000000+7050000+1903500+274016+73984+378700+102249+280000+75600+1574803+425197+5621200+1517724+100000+665000+179550+1055005+8803</f>
        <v>23285331</v>
      </c>
      <c r="CR10" s="274">
        <f>(1000000)+11638</f>
        <v>1011638</v>
      </c>
      <c r="CS10" s="274">
        <f>(1000000)+11638+15200</f>
        <v>1026838</v>
      </c>
      <c r="CT10" s="274">
        <v>16875600</v>
      </c>
      <c r="CU10" s="274">
        <f>16875600-100000+100000-200000-54000+600000+162000-300000+300000+53189-184870-2993</f>
        <v>17248926</v>
      </c>
      <c r="CV10" s="274">
        <f>(25607800)+13716+24964+212217+105029+29154</f>
        <v>25992880</v>
      </c>
      <c r="CW10" s="274">
        <f>(25607800)+13716+24964+212217+105029+29154-46142-443000-119610+600000+162000+1500000+2500000+6000000+2295000-220000+100000+20000+100000-1112527-4666648-1155387</f>
        <v>31506566</v>
      </c>
      <c r="CX10" s="243">
        <f>(70000000+1000000+6000000+5000000)+2578100</f>
        <v>84578100</v>
      </c>
      <c r="CY10" s="243">
        <f>(70000000+1000000+6000000+5000000)+2578100-7000000+7000000+2500000+675000+416994+112589+49739+13429+24396063+6586937+27652096+7466066+18000000+4860000</f>
        <v>177307013</v>
      </c>
      <c r="CZ10" s="243">
        <v>27600000</v>
      </c>
      <c r="DA10" s="243">
        <f>27600000+1000000+270000+43739+11871</f>
        <v>28925610</v>
      </c>
      <c r="DB10" s="274">
        <f>+(42500000)+254000+1905</f>
        <v>42755905</v>
      </c>
      <c r="DC10" s="274">
        <f>+(42500000)+254000+1905+787402+212598-142266+50866+91400-3923+3923-2000000+2000000+3937008+1062992+406146+9354</f>
        <v>49171405</v>
      </c>
      <c r="DD10" s="274">
        <v>2000000</v>
      </c>
      <c r="DE10" s="274">
        <f>2000000-57340+9214-63500+50000+13500</f>
        <v>1951874</v>
      </c>
      <c r="DF10" s="288">
        <f>(35672700)+50432+108612+120794+139700</f>
        <v>36092238</v>
      </c>
      <c r="DG10" s="288">
        <f>(35672700)+50432+108612+120794+139700-176000-47520+3000000+176000+47520+124850+33710+186152+50261-110000+110000-221000+221000-60000+60000+4000000+1080000+684000+184680-300000+300000+4988000</f>
        <v>50423891</v>
      </c>
      <c r="DH10" s="288">
        <v>13000000</v>
      </c>
      <c r="DI10" s="288">
        <f>13000000+9534+3675406+1073311+10000-96520+96520</f>
        <v>17768251</v>
      </c>
      <c r="DJ10" s="274">
        <v>24000000</v>
      </c>
      <c r="DK10" s="274">
        <v>24000000</v>
      </c>
      <c r="DL10" s="274">
        <v>2000000</v>
      </c>
      <c r="DM10" s="274">
        <f>2000000-500000+500000-200000-100000-176190+476190-244369-46529+32638+258260+148480+9000+42520</f>
        <v>2200000</v>
      </c>
      <c r="DN10" s="274">
        <v>500000</v>
      </c>
      <c r="DO10" s="274">
        <f>500000+72000</f>
        <v>572000</v>
      </c>
      <c r="DP10" s="274">
        <v>3840000</v>
      </c>
      <c r="DQ10" s="274">
        <f>3840000+251969+68031</f>
        <v>4160000</v>
      </c>
      <c r="DR10" s="274"/>
      <c r="DS10" s="274"/>
      <c r="DT10" s="274"/>
      <c r="DU10" s="274"/>
      <c r="DV10" s="274"/>
      <c r="DW10" s="274">
        <f>1537730+5206356+240200+64854</f>
        <v>7049140</v>
      </c>
      <c r="DX10" s="274"/>
      <c r="DY10" s="274"/>
      <c r="DZ10" s="274"/>
      <c r="EA10" s="274">
        <v>1626378</v>
      </c>
      <c r="EB10" s="274"/>
      <c r="EC10" s="274">
        <f>164300+44361</f>
        <v>208661</v>
      </c>
      <c r="ED10" s="274"/>
      <c r="EE10" s="274"/>
      <c r="EF10" s="274"/>
      <c r="EG10" s="274">
        <v>9347819</v>
      </c>
      <c r="EH10" s="274">
        <f>(800000+800000+800000+1200000)+100000</f>
        <v>3700000</v>
      </c>
      <c r="EI10" s="274">
        <f>(800000+800000+800000+1200000)+100000+65533+3277+200000+106438+5322</f>
        <v>4080570</v>
      </c>
      <c r="EJ10" s="243">
        <f>2500000+240000</f>
        <v>2740000</v>
      </c>
      <c r="EK10" s="243">
        <f>2500000+240000</f>
        <v>2740000</v>
      </c>
      <c r="EL10" s="243">
        <v>3360000</v>
      </c>
      <c r="EM10" s="243">
        <f>3360000+18613</f>
        <v>3378613</v>
      </c>
      <c r="EN10" s="274">
        <f>+(1000000)+1000000</f>
        <v>2000000</v>
      </c>
      <c r="EO10" s="274">
        <f>+(1000000)+1000000</f>
        <v>2000000</v>
      </c>
      <c r="EP10" s="274">
        <f>+(7400000)+855800</f>
        <v>8255800</v>
      </c>
      <c r="EQ10" s="274">
        <f>+(7400000)+855800</f>
        <v>8255800</v>
      </c>
      <c r="ER10" s="243">
        <v>1000000</v>
      </c>
      <c r="ES10" s="243">
        <f>1000000-10000+10000</f>
        <v>1000000</v>
      </c>
      <c r="ET10" s="274">
        <v>5000000</v>
      </c>
      <c r="EU10" s="274">
        <v>5000000</v>
      </c>
      <c r="EV10" s="274"/>
      <c r="EW10" s="274"/>
      <c r="EX10" s="274"/>
      <c r="EY10" s="274"/>
      <c r="EZ10" s="274"/>
      <c r="FA10" s="274"/>
      <c r="FB10" s="274"/>
      <c r="FC10" s="274"/>
      <c r="FD10" s="274"/>
      <c r="FE10" s="274"/>
      <c r="FF10" s="274"/>
      <c r="FG10" s="274"/>
      <c r="FH10" s="274"/>
      <c r="FI10" s="274"/>
      <c r="FJ10" s="243"/>
      <c r="FK10" s="243"/>
      <c r="FL10" s="274">
        <v>3000000</v>
      </c>
      <c r="FM10" s="274">
        <f>3000000+1574803+425197+1500000+405000+4258706+1120170</f>
        <v>12283876</v>
      </c>
      <c r="FN10" s="274"/>
      <c r="FO10" s="274"/>
      <c r="FP10" s="274">
        <f>10000000+11529356+176189566+642944250+2328805</f>
        <v>842991977</v>
      </c>
      <c r="FQ10" s="274">
        <f>10000000+11529356+176189566+642944250+2328805+26627953+17384058+8087000-642868+13365000+6377953+206262</f>
        <v>914397335</v>
      </c>
      <c r="FR10" s="243"/>
      <c r="FS10" s="243"/>
      <c r="FT10" s="243"/>
      <c r="FU10" s="243"/>
      <c r="FV10" s="274"/>
      <c r="FW10" s="274"/>
      <c r="FX10" s="274"/>
      <c r="FY10" s="274">
        <v>80000</v>
      </c>
      <c r="FZ10" s="274"/>
      <c r="GA10" s="274"/>
      <c r="GB10" s="274"/>
      <c r="GC10" s="274">
        <v>15000</v>
      </c>
      <c r="GD10" s="274">
        <v>7000000</v>
      </c>
      <c r="GE10" s="274">
        <f>7000000-46101+36300+9801</f>
        <v>7000000</v>
      </c>
      <c r="GF10" s="225"/>
      <c r="GG10" s="225"/>
      <c r="GH10" s="254">
        <v>5000000</v>
      </c>
      <c r="GI10" s="254">
        <v>5000000</v>
      </c>
      <c r="GJ10" s="254">
        <v>14342440</v>
      </c>
      <c r="GK10" s="254">
        <f>14342440+120767389</f>
        <v>135109829</v>
      </c>
      <c r="GL10" s="254"/>
      <c r="GM10" s="254">
        <f>21052+5684+448148+121000+157480+42520+100000+27000+165000+44550+312500+84375</f>
        <v>1529309</v>
      </c>
      <c r="GN10" s="254"/>
      <c r="GO10" s="254"/>
      <c r="GP10" s="254"/>
      <c r="GQ10" s="254"/>
      <c r="GR10" s="254"/>
      <c r="GS10" s="254"/>
      <c r="GT10" s="254"/>
      <c r="GU10" s="254">
        <f>70155909+34588202</f>
        <v>104744111</v>
      </c>
      <c r="GV10" s="254"/>
      <c r="GW10" s="254">
        <f>34588202+34410+9290+60261+16270+38853+10490+393701+106299+782360+211237-17007+17007+300000+81000+295000+79650+386800+104436-34588202+28000+7560</f>
        <v>2945617</v>
      </c>
      <c r="GX10" s="254"/>
      <c r="GY10" s="254"/>
      <c r="GZ10" s="274"/>
      <c r="HA10" s="274"/>
      <c r="HB10" s="274">
        <v>330331</v>
      </c>
      <c r="HC10" s="274">
        <v>330331</v>
      </c>
      <c r="HD10" s="274"/>
      <c r="HE10" s="274"/>
      <c r="HF10" s="274"/>
      <c r="HG10" s="274">
        <f>5905000+1594350</f>
        <v>7499350</v>
      </c>
      <c r="HH10" s="274"/>
      <c r="HI10" s="274"/>
      <c r="HJ10" s="274"/>
      <c r="HK10" s="274"/>
      <c r="HL10" s="274"/>
      <c r="HM10" s="274"/>
      <c r="HN10" s="274"/>
      <c r="HO10" s="274">
        <v>4000000</v>
      </c>
      <c r="HP10" s="274"/>
      <c r="HQ10" s="274"/>
      <c r="HR10" s="274"/>
      <c r="HS10" s="274"/>
      <c r="HT10" s="274"/>
      <c r="HU10" s="274">
        <f>280000+75600</f>
        <v>355600</v>
      </c>
      <c r="HV10" s="274"/>
      <c r="HW10" s="274">
        <f>92126+24874+92126+24874-49748+49748</f>
        <v>234000</v>
      </c>
      <c r="HX10" s="274"/>
      <c r="HY10" s="274"/>
      <c r="HZ10" s="274"/>
      <c r="IA10" s="274">
        <f>450000+121500</f>
        <v>571500</v>
      </c>
      <c r="IB10" s="274"/>
      <c r="IC10" s="274"/>
      <c r="ID10" s="274"/>
      <c r="IE10" s="274">
        <v>500000</v>
      </c>
      <c r="IF10" s="274"/>
      <c r="IG10" s="274">
        <f>800000+300000+81000</f>
        <v>1181000</v>
      </c>
      <c r="IH10" s="274"/>
      <c r="II10" s="274"/>
      <c r="IJ10" s="227">
        <v>1288029137</v>
      </c>
      <c r="IK10" s="227" t="e">
        <f>+IJ10-#REF!</f>
        <v>#REF!</v>
      </c>
    </row>
    <row r="11" spans="1:245" ht="21.75" customHeight="1" x14ac:dyDescent="0.25">
      <c r="A11" s="222" t="s">
        <v>197</v>
      </c>
      <c r="B11" s="231" t="s">
        <v>337</v>
      </c>
      <c r="C11" s="224" t="s">
        <v>209</v>
      </c>
      <c r="D11" s="243"/>
      <c r="E11" s="243"/>
      <c r="F11" s="243"/>
      <c r="G11" s="243"/>
      <c r="H11" s="243"/>
      <c r="I11" s="243"/>
      <c r="J11" s="243"/>
      <c r="K11" s="243"/>
      <c r="L11" s="243"/>
      <c r="M11" s="243"/>
      <c r="N11" s="243"/>
      <c r="O11" s="243"/>
      <c r="P11" s="243"/>
      <c r="Q11" s="243"/>
      <c r="R11" s="243"/>
      <c r="S11" s="243"/>
      <c r="T11" s="243"/>
      <c r="U11" s="243"/>
      <c r="V11" s="255"/>
      <c r="W11" s="255"/>
      <c r="X11" s="255"/>
      <c r="Y11" s="255"/>
      <c r="Z11" s="255"/>
      <c r="AA11" s="255"/>
      <c r="AB11" s="255"/>
      <c r="AC11" s="255"/>
      <c r="AD11" s="255"/>
      <c r="AE11" s="255"/>
      <c r="AF11" s="255"/>
      <c r="AG11" s="255"/>
      <c r="AH11" s="255"/>
      <c r="AI11" s="255"/>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55"/>
      <c r="CA11" s="255"/>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55"/>
      <c r="DG11" s="255"/>
      <c r="DH11" s="255"/>
      <c r="DI11" s="255"/>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55"/>
      <c r="GG11" s="255"/>
      <c r="GH11" s="255"/>
      <c r="GI11" s="255"/>
      <c r="GJ11" s="255"/>
      <c r="GK11" s="255"/>
      <c r="GL11" s="255"/>
      <c r="GM11" s="255"/>
      <c r="GN11" s="255"/>
      <c r="GO11" s="255"/>
      <c r="GP11" s="255"/>
      <c r="GQ11" s="255"/>
      <c r="GR11" s="255"/>
      <c r="GS11" s="255"/>
      <c r="GT11" s="255"/>
      <c r="GU11" s="255"/>
      <c r="GV11" s="255"/>
      <c r="GW11" s="255"/>
      <c r="GX11" s="255"/>
      <c r="GY11" s="255"/>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18">
        <v>43456000</v>
      </c>
      <c r="IK11" s="227" t="e">
        <f>+IJ11-#REF!</f>
        <v>#REF!</v>
      </c>
    </row>
    <row r="12" spans="1:245" ht="21.75" customHeight="1" x14ac:dyDescent="0.25">
      <c r="A12" s="222" t="s">
        <v>198</v>
      </c>
      <c r="B12" s="231" t="s">
        <v>240</v>
      </c>
      <c r="C12" s="224" t="s">
        <v>210</v>
      </c>
      <c r="D12" s="243">
        <f>+D13+D14+D15</f>
        <v>0</v>
      </c>
      <c r="E12" s="243">
        <f t="shared" ref="E12:AU12" si="0">+E13+E14+E15</f>
        <v>0</v>
      </c>
      <c r="F12" s="243">
        <f t="shared" si="0"/>
        <v>0</v>
      </c>
      <c r="G12" s="243">
        <f t="shared" si="0"/>
        <v>0</v>
      </c>
      <c r="H12" s="243">
        <f t="shared" si="0"/>
        <v>0</v>
      </c>
      <c r="I12" s="243">
        <f t="shared" si="0"/>
        <v>0</v>
      </c>
      <c r="J12" s="243">
        <f t="shared" si="0"/>
        <v>0</v>
      </c>
      <c r="K12" s="243">
        <f t="shared" si="0"/>
        <v>0</v>
      </c>
      <c r="L12" s="243">
        <f t="shared" si="0"/>
        <v>0</v>
      </c>
      <c r="M12" s="243">
        <f t="shared" si="0"/>
        <v>0</v>
      </c>
      <c r="N12" s="243">
        <f t="shared" si="0"/>
        <v>0</v>
      </c>
      <c r="O12" s="243">
        <f t="shared" si="0"/>
        <v>0</v>
      </c>
      <c r="P12" s="243">
        <f t="shared" si="0"/>
        <v>0</v>
      </c>
      <c r="Q12" s="243">
        <f t="shared" si="0"/>
        <v>0</v>
      </c>
      <c r="R12" s="243">
        <f t="shared" si="0"/>
        <v>0</v>
      </c>
      <c r="S12" s="243">
        <f t="shared" si="0"/>
        <v>0</v>
      </c>
      <c r="T12" s="243">
        <f t="shared" si="0"/>
        <v>0</v>
      </c>
      <c r="U12" s="243">
        <f t="shared" si="0"/>
        <v>0</v>
      </c>
      <c r="V12" s="243">
        <f t="shared" si="0"/>
        <v>0</v>
      </c>
      <c r="W12" s="243">
        <f t="shared" si="0"/>
        <v>0</v>
      </c>
      <c r="X12" s="243">
        <f t="shared" si="0"/>
        <v>0</v>
      </c>
      <c r="Y12" s="243">
        <f t="shared" si="0"/>
        <v>0</v>
      </c>
      <c r="Z12" s="243">
        <f t="shared" si="0"/>
        <v>0</v>
      </c>
      <c r="AA12" s="243">
        <f t="shared" si="0"/>
        <v>0</v>
      </c>
      <c r="AB12" s="243">
        <f t="shared" si="0"/>
        <v>0</v>
      </c>
      <c r="AC12" s="243">
        <f t="shared" si="0"/>
        <v>0</v>
      </c>
      <c r="AD12" s="243">
        <f t="shared" si="0"/>
        <v>0</v>
      </c>
      <c r="AE12" s="243">
        <f t="shared" si="0"/>
        <v>0</v>
      </c>
      <c r="AF12" s="243">
        <f t="shared" si="0"/>
        <v>0</v>
      </c>
      <c r="AG12" s="243">
        <f t="shared" si="0"/>
        <v>0</v>
      </c>
      <c r="AH12" s="243">
        <f t="shared" si="0"/>
        <v>0</v>
      </c>
      <c r="AI12" s="243">
        <f t="shared" si="0"/>
        <v>0</v>
      </c>
      <c r="AJ12" s="243">
        <f t="shared" si="0"/>
        <v>0</v>
      </c>
      <c r="AK12" s="243">
        <f t="shared" si="0"/>
        <v>0</v>
      </c>
      <c r="AL12" s="243">
        <f t="shared" si="0"/>
        <v>0</v>
      </c>
      <c r="AM12" s="243">
        <f t="shared" si="0"/>
        <v>0</v>
      </c>
      <c r="AN12" s="243">
        <f t="shared" si="0"/>
        <v>0</v>
      </c>
      <c r="AO12" s="243">
        <f>+AO13+AO14+AO15</f>
        <v>0</v>
      </c>
      <c r="AP12" s="243">
        <f t="shared" si="0"/>
        <v>0</v>
      </c>
      <c r="AQ12" s="243">
        <f t="shared" si="0"/>
        <v>0</v>
      </c>
      <c r="AR12" s="243">
        <f t="shared" si="0"/>
        <v>0</v>
      </c>
      <c r="AS12" s="243">
        <f>+AS13+AS14+AS15</f>
        <v>0</v>
      </c>
      <c r="AT12" s="243">
        <f t="shared" si="0"/>
        <v>0</v>
      </c>
      <c r="AU12" s="243">
        <f t="shared" si="0"/>
        <v>0</v>
      </c>
      <c r="AV12" s="243">
        <f t="shared" ref="AV12:EN12" si="1">+AV13+AV14+AV15</f>
        <v>0</v>
      </c>
      <c r="AW12" s="243">
        <f t="shared" si="1"/>
        <v>0</v>
      </c>
      <c r="AX12" s="243">
        <f t="shared" si="1"/>
        <v>0</v>
      </c>
      <c r="AY12" s="243">
        <f t="shared" si="1"/>
        <v>0</v>
      </c>
      <c r="AZ12" s="243">
        <f t="shared" si="1"/>
        <v>0</v>
      </c>
      <c r="BA12" s="243">
        <f t="shared" si="1"/>
        <v>0</v>
      </c>
      <c r="BB12" s="243">
        <f t="shared" si="1"/>
        <v>0</v>
      </c>
      <c r="BC12" s="243">
        <f t="shared" si="1"/>
        <v>0</v>
      </c>
      <c r="BD12" s="243">
        <f t="shared" si="1"/>
        <v>0</v>
      </c>
      <c r="BE12" s="243">
        <f t="shared" si="1"/>
        <v>0</v>
      </c>
      <c r="BF12" s="243">
        <f t="shared" si="1"/>
        <v>0</v>
      </c>
      <c r="BG12" s="243">
        <f t="shared" si="1"/>
        <v>0</v>
      </c>
      <c r="BH12" s="243">
        <f t="shared" si="1"/>
        <v>0</v>
      </c>
      <c r="BI12" s="243">
        <f t="shared" si="1"/>
        <v>0</v>
      </c>
      <c r="BJ12" s="243">
        <f t="shared" si="1"/>
        <v>0</v>
      </c>
      <c r="BK12" s="243">
        <f t="shared" si="1"/>
        <v>0</v>
      </c>
      <c r="BL12" s="243">
        <f t="shared" si="1"/>
        <v>0</v>
      </c>
      <c r="BM12" s="243">
        <f t="shared" si="1"/>
        <v>0</v>
      </c>
      <c r="BN12" s="243">
        <f t="shared" si="1"/>
        <v>0</v>
      </c>
      <c r="BO12" s="243">
        <f t="shared" si="1"/>
        <v>600000</v>
      </c>
      <c r="BP12" s="243">
        <f t="shared" si="1"/>
        <v>0</v>
      </c>
      <c r="BQ12" s="243">
        <f t="shared" si="1"/>
        <v>0</v>
      </c>
      <c r="BR12" s="243">
        <f t="shared" si="1"/>
        <v>0</v>
      </c>
      <c r="BS12" s="243">
        <f t="shared" si="1"/>
        <v>0</v>
      </c>
      <c r="BT12" s="243">
        <f t="shared" si="1"/>
        <v>0</v>
      </c>
      <c r="BU12" s="243">
        <f t="shared" si="1"/>
        <v>0</v>
      </c>
      <c r="BV12" s="243">
        <f t="shared" si="1"/>
        <v>0</v>
      </c>
      <c r="BW12" s="243">
        <f t="shared" si="1"/>
        <v>0</v>
      </c>
      <c r="BX12" s="243">
        <f t="shared" si="1"/>
        <v>0</v>
      </c>
      <c r="BY12" s="243">
        <f t="shared" si="1"/>
        <v>0</v>
      </c>
      <c r="BZ12" s="243">
        <f t="shared" si="1"/>
        <v>0</v>
      </c>
      <c r="CA12" s="243">
        <f t="shared" si="1"/>
        <v>0</v>
      </c>
      <c r="CB12" s="243">
        <f t="shared" si="1"/>
        <v>0</v>
      </c>
      <c r="CC12" s="243">
        <f t="shared" si="1"/>
        <v>0</v>
      </c>
      <c r="CD12" s="243">
        <f t="shared" si="1"/>
        <v>0</v>
      </c>
      <c r="CE12" s="243">
        <f t="shared" si="1"/>
        <v>0</v>
      </c>
      <c r="CF12" s="243">
        <f t="shared" si="1"/>
        <v>0</v>
      </c>
      <c r="CG12" s="243">
        <f t="shared" si="1"/>
        <v>0</v>
      </c>
      <c r="CH12" s="243">
        <f t="shared" si="1"/>
        <v>0</v>
      </c>
      <c r="CI12" s="243">
        <f t="shared" si="1"/>
        <v>0</v>
      </c>
      <c r="CJ12" s="243">
        <f t="shared" si="1"/>
        <v>0</v>
      </c>
      <c r="CK12" s="243">
        <f t="shared" si="1"/>
        <v>0</v>
      </c>
      <c r="CL12" s="243">
        <f t="shared" si="1"/>
        <v>0</v>
      </c>
      <c r="CM12" s="243">
        <f t="shared" si="1"/>
        <v>0</v>
      </c>
      <c r="CN12" s="243">
        <f t="shared" si="1"/>
        <v>0</v>
      </c>
      <c r="CO12" s="243">
        <f t="shared" si="1"/>
        <v>0</v>
      </c>
      <c r="CP12" s="243">
        <f t="shared" si="1"/>
        <v>0</v>
      </c>
      <c r="CQ12" s="243">
        <f t="shared" si="1"/>
        <v>0</v>
      </c>
      <c r="CR12" s="243">
        <f t="shared" si="1"/>
        <v>0</v>
      </c>
      <c r="CS12" s="243">
        <f t="shared" si="1"/>
        <v>0</v>
      </c>
      <c r="CT12" s="243">
        <f t="shared" si="1"/>
        <v>0</v>
      </c>
      <c r="CU12" s="243">
        <f t="shared" si="1"/>
        <v>0</v>
      </c>
      <c r="CV12" s="243">
        <f t="shared" si="1"/>
        <v>0</v>
      </c>
      <c r="CW12" s="243">
        <f t="shared" si="1"/>
        <v>0</v>
      </c>
      <c r="CX12" s="243">
        <f t="shared" si="1"/>
        <v>0</v>
      </c>
      <c r="CY12" s="243">
        <f t="shared" si="1"/>
        <v>0</v>
      </c>
      <c r="CZ12" s="243">
        <f t="shared" si="1"/>
        <v>0</v>
      </c>
      <c r="DA12" s="243">
        <f t="shared" si="1"/>
        <v>0</v>
      </c>
      <c r="DB12" s="243">
        <f t="shared" si="1"/>
        <v>0</v>
      </c>
      <c r="DC12" s="243">
        <f t="shared" si="1"/>
        <v>0</v>
      </c>
      <c r="DD12" s="243">
        <f t="shared" si="1"/>
        <v>0</v>
      </c>
      <c r="DE12" s="243">
        <f t="shared" si="1"/>
        <v>0</v>
      </c>
      <c r="DF12" s="243">
        <f t="shared" si="1"/>
        <v>0</v>
      </c>
      <c r="DG12" s="243">
        <f t="shared" si="1"/>
        <v>0</v>
      </c>
      <c r="DH12" s="243">
        <f t="shared" si="1"/>
        <v>0</v>
      </c>
      <c r="DI12" s="243">
        <f t="shared" si="1"/>
        <v>0</v>
      </c>
      <c r="DJ12" s="243">
        <f t="shared" si="1"/>
        <v>0</v>
      </c>
      <c r="DK12" s="243">
        <f t="shared" si="1"/>
        <v>0</v>
      </c>
      <c r="DL12" s="243">
        <f t="shared" si="1"/>
        <v>0</v>
      </c>
      <c r="DM12" s="243">
        <f t="shared" si="1"/>
        <v>0</v>
      </c>
      <c r="DN12" s="243">
        <f t="shared" si="1"/>
        <v>0</v>
      </c>
      <c r="DO12" s="243">
        <f t="shared" si="1"/>
        <v>0</v>
      </c>
      <c r="DP12" s="243">
        <f t="shared" si="1"/>
        <v>0</v>
      </c>
      <c r="DQ12" s="243">
        <f t="shared" si="1"/>
        <v>0</v>
      </c>
      <c r="DR12" s="243">
        <f t="shared" si="1"/>
        <v>0</v>
      </c>
      <c r="DS12" s="243">
        <f t="shared" si="1"/>
        <v>0</v>
      </c>
      <c r="DT12" s="243">
        <f t="shared" si="1"/>
        <v>0</v>
      </c>
      <c r="DU12" s="243">
        <f t="shared" si="1"/>
        <v>0</v>
      </c>
      <c r="DV12" s="243">
        <f t="shared" si="1"/>
        <v>0</v>
      </c>
      <c r="DW12" s="243">
        <f t="shared" si="1"/>
        <v>0</v>
      </c>
      <c r="DX12" s="243">
        <f t="shared" si="1"/>
        <v>0</v>
      </c>
      <c r="DY12" s="243">
        <f t="shared" si="1"/>
        <v>0</v>
      </c>
      <c r="DZ12" s="243">
        <f t="shared" si="1"/>
        <v>0</v>
      </c>
      <c r="EA12" s="243">
        <f t="shared" si="1"/>
        <v>0</v>
      </c>
      <c r="EB12" s="243">
        <f t="shared" si="1"/>
        <v>0</v>
      </c>
      <c r="EC12" s="243">
        <f t="shared" si="1"/>
        <v>0</v>
      </c>
      <c r="ED12" s="243">
        <f t="shared" si="1"/>
        <v>0</v>
      </c>
      <c r="EE12" s="243">
        <f t="shared" si="1"/>
        <v>0</v>
      </c>
      <c r="EF12" s="243">
        <f t="shared" si="1"/>
        <v>0</v>
      </c>
      <c r="EG12" s="243">
        <f t="shared" si="1"/>
        <v>0</v>
      </c>
      <c r="EH12" s="243">
        <f t="shared" si="1"/>
        <v>0</v>
      </c>
      <c r="EI12" s="243">
        <f t="shared" si="1"/>
        <v>0</v>
      </c>
      <c r="EJ12" s="243">
        <f t="shared" si="1"/>
        <v>0</v>
      </c>
      <c r="EK12" s="243">
        <f t="shared" si="1"/>
        <v>0</v>
      </c>
      <c r="EL12" s="243">
        <f t="shared" si="1"/>
        <v>0</v>
      </c>
      <c r="EM12" s="243">
        <f t="shared" si="1"/>
        <v>0</v>
      </c>
      <c r="EN12" s="243">
        <f t="shared" si="1"/>
        <v>0</v>
      </c>
      <c r="EO12" s="243">
        <f t="shared" ref="EO12:FD12" si="2">+EO13+EO14+EO15</f>
        <v>0</v>
      </c>
      <c r="EP12" s="243">
        <f t="shared" si="2"/>
        <v>0</v>
      </c>
      <c r="EQ12" s="243">
        <f t="shared" si="2"/>
        <v>0</v>
      </c>
      <c r="ER12" s="243">
        <f t="shared" si="2"/>
        <v>0</v>
      </c>
      <c r="ES12" s="243">
        <f t="shared" si="2"/>
        <v>0</v>
      </c>
      <c r="ET12" s="243">
        <f t="shared" si="2"/>
        <v>0</v>
      </c>
      <c r="EU12" s="243">
        <f t="shared" si="2"/>
        <v>0</v>
      </c>
      <c r="EV12" s="243">
        <f t="shared" si="2"/>
        <v>0</v>
      </c>
      <c r="EW12" s="243">
        <f t="shared" si="2"/>
        <v>0</v>
      </c>
      <c r="EX12" s="243">
        <f t="shared" si="2"/>
        <v>0</v>
      </c>
      <c r="EY12" s="243">
        <f t="shared" si="2"/>
        <v>0</v>
      </c>
      <c r="EZ12" s="243">
        <f t="shared" si="2"/>
        <v>0</v>
      </c>
      <c r="FA12" s="243">
        <f t="shared" si="2"/>
        <v>0</v>
      </c>
      <c r="FB12" s="243">
        <f t="shared" si="2"/>
        <v>0</v>
      </c>
      <c r="FC12" s="243">
        <f t="shared" si="2"/>
        <v>0</v>
      </c>
      <c r="FD12" s="243">
        <f t="shared" si="2"/>
        <v>0</v>
      </c>
      <c r="FE12" s="243">
        <f>+FE13+FE14+FE15</f>
        <v>0</v>
      </c>
      <c r="FF12" s="243">
        <f>+FF13+FF14+FF15</f>
        <v>897149962</v>
      </c>
      <c r="FG12" s="243">
        <f>+FG13+FG14+FG15</f>
        <v>1872854738</v>
      </c>
      <c r="FH12" s="243">
        <f t="shared" ref="FH12:FN12" si="3">+FH13+FH14+FH15</f>
        <v>0</v>
      </c>
      <c r="FI12" s="243">
        <f t="shared" si="3"/>
        <v>0</v>
      </c>
      <c r="FJ12" s="243">
        <f t="shared" si="3"/>
        <v>0</v>
      </c>
      <c r="FK12" s="243">
        <f t="shared" si="3"/>
        <v>0</v>
      </c>
      <c r="FL12" s="243">
        <f t="shared" si="3"/>
        <v>0</v>
      </c>
      <c r="FM12" s="243">
        <f t="shared" si="3"/>
        <v>0</v>
      </c>
      <c r="FN12" s="243">
        <f t="shared" si="3"/>
        <v>0</v>
      </c>
      <c r="FO12" s="243">
        <f t="shared" ref="FO12:GG12" si="4">+FO13+FO14+FO15</f>
        <v>0</v>
      </c>
      <c r="FP12" s="243">
        <f t="shared" si="4"/>
        <v>0</v>
      </c>
      <c r="FQ12" s="243">
        <f t="shared" si="4"/>
        <v>0</v>
      </c>
      <c r="FR12" s="243">
        <f t="shared" si="4"/>
        <v>0</v>
      </c>
      <c r="FS12" s="243">
        <f t="shared" si="4"/>
        <v>0</v>
      </c>
      <c r="FT12" s="243">
        <f t="shared" si="4"/>
        <v>0</v>
      </c>
      <c r="FU12" s="243">
        <f t="shared" si="4"/>
        <v>0</v>
      </c>
      <c r="FV12" s="243">
        <f t="shared" si="4"/>
        <v>0</v>
      </c>
      <c r="FW12" s="243">
        <f t="shared" si="4"/>
        <v>0</v>
      </c>
      <c r="FX12" s="243">
        <f t="shared" si="4"/>
        <v>0</v>
      </c>
      <c r="FY12" s="243">
        <f t="shared" si="4"/>
        <v>0</v>
      </c>
      <c r="FZ12" s="243">
        <f t="shared" si="4"/>
        <v>0</v>
      </c>
      <c r="GA12" s="243">
        <f t="shared" si="4"/>
        <v>0</v>
      </c>
      <c r="GB12" s="243">
        <f t="shared" si="4"/>
        <v>0</v>
      </c>
      <c r="GC12" s="243">
        <f t="shared" si="4"/>
        <v>0</v>
      </c>
      <c r="GD12" s="243">
        <f t="shared" si="4"/>
        <v>0</v>
      </c>
      <c r="GE12" s="243">
        <f t="shared" si="4"/>
        <v>0</v>
      </c>
      <c r="GF12" s="243">
        <f t="shared" si="4"/>
        <v>898020658</v>
      </c>
      <c r="GG12" s="243">
        <f t="shared" si="4"/>
        <v>898020658</v>
      </c>
      <c r="GH12" s="243">
        <f t="shared" ref="GH12:GN12" si="5">+GH13+GH14+GH15</f>
        <v>0</v>
      </c>
      <c r="GI12" s="243">
        <f t="shared" si="5"/>
        <v>0</v>
      </c>
      <c r="GJ12" s="243">
        <f t="shared" si="5"/>
        <v>0</v>
      </c>
      <c r="GK12" s="243">
        <f t="shared" si="5"/>
        <v>0</v>
      </c>
      <c r="GL12" s="243">
        <f t="shared" si="5"/>
        <v>0</v>
      </c>
      <c r="GM12" s="243">
        <f t="shared" si="5"/>
        <v>0</v>
      </c>
      <c r="GN12" s="243">
        <f t="shared" si="5"/>
        <v>0</v>
      </c>
      <c r="GO12" s="243">
        <f t="shared" ref="GO12:GY12" si="6">+GO13+GO14+GO15</f>
        <v>0</v>
      </c>
      <c r="GP12" s="243">
        <f t="shared" si="6"/>
        <v>0</v>
      </c>
      <c r="GQ12" s="243">
        <f t="shared" si="6"/>
        <v>0</v>
      </c>
      <c r="GR12" s="243">
        <f t="shared" si="6"/>
        <v>0</v>
      </c>
      <c r="GS12" s="243">
        <f t="shared" si="6"/>
        <v>0</v>
      </c>
      <c r="GT12" s="243">
        <f t="shared" si="6"/>
        <v>0</v>
      </c>
      <c r="GU12" s="243">
        <f t="shared" si="6"/>
        <v>0</v>
      </c>
      <c r="GV12" s="243">
        <f t="shared" si="6"/>
        <v>0</v>
      </c>
      <c r="GW12" s="243">
        <f t="shared" si="6"/>
        <v>0</v>
      </c>
      <c r="GX12" s="243">
        <f t="shared" si="6"/>
        <v>1811551</v>
      </c>
      <c r="GY12" s="243">
        <f t="shared" si="6"/>
        <v>0</v>
      </c>
      <c r="GZ12" s="243">
        <f t="shared" ref="GZ12:HX12" si="7">+GZ13+GZ14+GZ15</f>
        <v>0</v>
      </c>
      <c r="HA12" s="243">
        <f t="shared" si="7"/>
        <v>0</v>
      </c>
      <c r="HB12" s="243">
        <f t="shared" si="7"/>
        <v>0</v>
      </c>
      <c r="HC12" s="243">
        <f t="shared" si="7"/>
        <v>0</v>
      </c>
      <c r="HD12" s="243">
        <f t="shared" si="7"/>
        <v>0</v>
      </c>
      <c r="HE12" s="243">
        <f t="shared" si="7"/>
        <v>0</v>
      </c>
      <c r="HF12" s="243">
        <f t="shared" si="7"/>
        <v>0</v>
      </c>
      <c r="HG12" s="243">
        <f t="shared" si="7"/>
        <v>0</v>
      </c>
      <c r="HH12" s="243">
        <f t="shared" si="7"/>
        <v>0</v>
      </c>
      <c r="HI12" s="243">
        <f t="shared" si="7"/>
        <v>0</v>
      </c>
      <c r="HJ12" s="243">
        <f t="shared" si="7"/>
        <v>0</v>
      </c>
      <c r="HK12" s="243">
        <f t="shared" si="7"/>
        <v>0</v>
      </c>
      <c r="HL12" s="243">
        <f t="shared" si="7"/>
        <v>0</v>
      </c>
      <c r="HM12" s="243">
        <f t="shared" si="7"/>
        <v>0</v>
      </c>
      <c r="HN12" s="243">
        <f t="shared" si="7"/>
        <v>0</v>
      </c>
      <c r="HO12" s="243">
        <f t="shared" si="7"/>
        <v>0</v>
      </c>
      <c r="HP12" s="243">
        <f t="shared" si="7"/>
        <v>0</v>
      </c>
      <c r="HQ12" s="243">
        <f t="shared" si="7"/>
        <v>0</v>
      </c>
      <c r="HR12" s="243">
        <f t="shared" si="7"/>
        <v>0</v>
      </c>
      <c r="HS12" s="243">
        <f t="shared" si="7"/>
        <v>0</v>
      </c>
      <c r="HT12" s="243">
        <f t="shared" si="7"/>
        <v>0</v>
      </c>
      <c r="HU12" s="243">
        <f t="shared" si="7"/>
        <v>0</v>
      </c>
      <c r="HV12" s="243">
        <f t="shared" si="7"/>
        <v>0</v>
      </c>
      <c r="HW12" s="243">
        <f t="shared" si="7"/>
        <v>0</v>
      </c>
      <c r="HX12" s="243">
        <f t="shared" si="7"/>
        <v>0</v>
      </c>
      <c r="HY12" s="243">
        <f>+HY13+HY14+HY15</f>
        <v>0</v>
      </c>
      <c r="HZ12" s="243">
        <f>+HZ13+HZ14+HZ15</f>
        <v>0</v>
      </c>
      <c r="IA12" s="243">
        <f>+IA13+IA14+IA15</f>
        <v>0</v>
      </c>
      <c r="IB12" s="243">
        <f>+IB13+IB14+IB15</f>
        <v>0</v>
      </c>
      <c r="IC12" s="243">
        <f t="shared" ref="IC12:II12" si="8">+IC13+IC14+IC15</f>
        <v>0</v>
      </c>
      <c r="ID12" s="243">
        <f t="shared" si="8"/>
        <v>0</v>
      </c>
      <c r="IE12" s="243">
        <f t="shared" si="8"/>
        <v>0</v>
      </c>
      <c r="IF12" s="243">
        <f t="shared" si="8"/>
        <v>0</v>
      </c>
      <c r="IG12" s="243">
        <f t="shared" si="8"/>
        <v>0</v>
      </c>
      <c r="IH12" s="243">
        <f t="shared" si="8"/>
        <v>0</v>
      </c>
      <c r="II12" s="243">
        <f t="shared" si="8"/>
        <v>0</v>
      </c>
      <c r="IK12" s="227"/>
    </row>
    <row r="13" spans="1:245" ht="21.75" customHeight="1" x14ac:dyDescent="0.25">
      <c r="A13" s="222" t="s">
        <v>199</v>
      </c>
      <c r="B13" s="232" t="s">
        <v>578</v>
      </c>
      <c r="C13" s="224"/>
      <c r="D13" s="243"/>
      <c r="E13" s="243"/>
      <c r="F13" s="243"/>
      <c r="G13" s="243"/>
      <c r="H13" s="243"/>
      <c r="I13" s="243"/>
      <c r="J13" s="243"/>
      <c r="K13" s="243"/>
      <c r="L13" s="243"/>
      <c r="M13" s="243"/>
      <c r="N13" s="243"/>
      <c r="O13" s="243"/>
      <c r="P13" s="243"/>
      <c r="Q13" s="243"/>
      <c r="R13" s="243"/>
      <c r="S13" s="243"/>
      <c r="T13" s="243"/>
      <c r="U13" s="243"/>
      <c r="V13" s="255"/>
      <c r="W13" s="255"/>
      <c r="X13" s="255"/>
      <c r="Y13" s="255"/>
      <c r="Z13" s="255"/>
      <c r="AA13" s="255"/>
      <c r="AB13" s="255"/>
      <c r="AC13" s="255"/>
      <c r="AD13" s="255"/>
      <c r="AE13" s="255"/>
      <c r="AF13" s="255"/>
      <c r="AG13" s="255"/>
      <c r="AH13" s="255"/>
      <c r="AI13" s="255"/>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v>600000</v>
      </c>
      <c r="BP13" s="243"/>
      <c r="BQ13" s="243"/>
      <c r="BR13" s="243"/>
      <c r="BS13" s="243"/>
      <c r="BT13" s="243"/>
      <c r="BU13" s="243"/>
      <c r="BV13" s="243"/>
      <c r="BW13" s="243"/>
      <c r="BX13" s="243"/>
      <c r="BY13" s="243"/>
      <c r="BZ13" s="255"/>
      <c r="CA13" s="255"/>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55"/>
      <c r="DG13" s="255"/>
      <c r="DH13" s="255"/>
      <c r="DI13" s="255"/>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55"/>
      <c r="GG13" s="255"/>
      <c r="GH13" s="255"/>
      <c r="GI13" s="255"/>
      <c r="GJ13" s="255"/>
      <c r="GK13" s="255"/>
      <c r="GL13" s="255"/>
      <c r="GM13" s="255"/>
      <c r="GN13" s="255"/>
      <c r="GO13" s="255"/>
      <c r="GP13" s="255"/>
      <c r="GQ13" s="255"/>
      <c r="GR13" s="255"/>
      <c r="GS13" s="255"/>
      <c r="GT13" s="255"/>
      <c r="GU13" s="255"/>
      <c r="GV13" s="255"/>
      <c r="GW13" s="255"/>
      <c r="GX13" s="255">
        <f>+'5.sz.Műk.c.pe.átadás'!E34</f>
        <v>1811551</v>
      </c>
      <c r="GY13" s="255">
        <f>1811551-1811551</f>
        <v>0</v>
      </c>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K13" s="227"/>
    </row>
    <row r="14" spans="1:245" s="234" customFormat="1" ht="21.75" customHeight="1" x14ac:dyDescent="0.25">
      <c r="A14" s="222" t="s">
        <v>200</v>
      </c>
      <c r="B14" s="232" t="s">
        <v>579</v>
      </c>
      <c r="C14" s="233"/>
      <c r="D14" s="253"/>
      <c r="E14" s="253"/>
      <c r="F14" s="253"/>
      <c r="G14" s="253"/>
      <c r="H14" s="253"/>
      <c r="I14" s="253"/>
      <c r="J14" s="253"/>
      <c r="K14" s="253"/>
      <c r="L14" s="253"/>
      <c r="M14" s="253"/>
      <c r="N14" s="253"/>
      <c r="O14" s="253"/>
      <c r="P14" s="253"/>
      <c r="Q14" s="253"/>
      <c r="R14" s="253"/>
      <c r="S14" s="253"/>
      <c r="T14" s="253"/>
      <c r="U14" s="253"/>
      <c r="V14" s="260"/>
      <c r="W14" s="260"/>
      <c r="X14" s="260"/>
      <c r="Y14" s="260"/>
      <c r="Z14" s="260"/>
      <c r="AA14" s="260"/>
      <c r="AB14" s="260"/>
      <c r="AC14" s="260"/>
      <c r="AD14" s="260"/>
      <c r="AE14" s="260"/>
      <c r="AF14" s="260"/>
      <c r="AG14" s="260"/>
      <c r="AH14" s="260"/>
      <c r="AI14" s="260"/>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60"/>
      <c r="CA14" s="260"/>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60"/>
      <c r="DG14" s="260"/>
      <c r="DH14" s="260"/>
      <c r="DI14" s="260"/>
      <c r="DJ14" s="253"/>
      <c r="DK14" s="253"/>
      <c r="DL14" s="253"/>
      <c r="DM14" s="253"/>
      <c r="DN14" s="253"/>
      <c r="DO14" s="253"/>
      <c r="DP14" s="253"/>
      <c r="DQ14" s="253"/>
      <c r="DR14" s="253"/>
      <c r="DS14" s="253"/>
      <c r="DT14" s="253"/>
      <c r="DU14" s="253"/>
      <c r="DV14" s="253"/>
      <c r="DW14" s="253"/>
      <c r="DX14" s="253"/>
      <c r="DY14" s="253"/>
      <c r="DZ14" s="253"/>
      <c r="EA14" s="253"/>
      <c r="EB14" s="253"/>
      <c r="EC14" s="253"/>
      <c r="ED14" s="253"/>
      <c r="EE14" s="253"/>
      <c r="EF14" s="253"/>
      <c r="EG14" s="253"/>
      <c r="EH14" s="253"/>
      <c r="EI14" s="253"/>
      <c r="EJ14" s="253"/>
      <c r="EK14" s="253"/>
      <c r="EL14" s="253"/>
      <c r="EM14" s="253"/>
      <c r="EN14" s="253"/>
      <c r="EO14" s="253"/>
      <c r="EP14" s="253"/>
      <c r="EQ14" s="253"/>
      <c r="ER14" s="253"/>
      <c r="ES14" s="253"/>
      <c r="ET14" s="253"/>
      <c r="EU14" s="253"/>
      <c r="EV14" s="253"/>
      <c r="EW14" s="253"/>
      <c r="EX14" s="253"/>
      <c r="EY14" s="253"/>
      <c r="EZ14" s="253"/>
      <c r="FA14" s="253"/>
      <c r="FB14" s="253"/>
      <c r="FC14" s="253"/>
      <c r="FD14" s="253"/>
      <c r="FE14" s="253"/>
      <c r="FF14" s="253">
        <f>+'8.sz.Tartalékok'!C74</f>
        <v>897149962</v>
      </c>
      <c r="FG14" s="253">
        <f>+'8.sz.Tartalékok'!D74</f>
        <v>1872854738</v>
      </c>
      <c r="FH14" s="253"/>
      <c r="FI14" s="253"/>
      <c r="FJ14" s="253"/>
      <c r="FK14" s="253"/>
      <c r="FL14" s="253"/>
      <c r="FM14" s="253"/>
      <c r="FN14" s="253"/>
      <c r="FO14" s="253"/>
      <c r="FP14" s="253"/>
      <c r="FQ14" s="253"/>
      <c r="FR14" s="253"/>
      <c r="FS14" s="253"/>
      <c r="FT14" s="253"/>
      <c r="FU14" s="253"/>
      <c r="FV14" s="253"/>
      <c r="FW14" s="253"/>
      <c r="FX14" s="253"/>
      <c r="FY14" s="253"/>
      <c r="FZ14" s="253"/>
      <c r="GA14" s="253"/>
      <c r="GB14" s="253"/>
      <c r="GC14" s="253"/>
      <c r="GD14" s="253"/>
      <c r="GE14" s="253"/>
      <c r="GF14" s="260"/>
      <c r="GG14" s="260"/>
      <c r="GH14" s="260"/>
      <c r="GI14" s="260"/>
      <c r="GJ14" s="260"/>
      <c r="GK14" s="260"/>
      <c r="GL14" s="260"/>
      <c r="GM14" s="260"/>
      <c r="GN14" s="260"/>
      <c r="GO14" s="260"/>
      <c r="GP14" s="260"/>
      <c r="GQ14" s="260"/>
      <c r="GR14" s="260"/>
      <c r="GS14" s="260"/>
      <c r="GT14" s="260"/>
      <c r="GU14" s="260"/>
      <c r="GV14" s="260"/>
      <c r="GW14" s="260"/>
      <c r="GX14" s="260"/>
      <c r="GY14" s="260"/>
      <c r="GZ14" s="253"/>
      <c r="HA14" s="253"/>
      <c r="HB14" s="253"/>
      <c r="HC14" s="253"/>
      <c r="HD14" s="253"/>
      <c r="HE14" s="253"/>
      <c r="HF14" s="253"/>
      <c r="HG14" s="253"/>
      <c r="HH14" s="253"/>
      <c r="HI14" s="253"/>
      <c r="HJ14" s="253"/>
      <c r="HK14" s="253"/>
      <c r="HL14" s="253"/>
      <c r="HM14" s="253"/>
      <c r="HN14" s="253"/>
      <c r="HO14" s="253"/>
      <c r="HP14" s="253"/>
      <c r="HQ14" s="253"/>
      <c r="HR14" s="253"/>
      <c r="HS14" s="253"/>
      <c r="HT14" s="253"/>
      <c r="HU14" s="253"/>
      <c r="HV14" s="253"/>
      <c r="HW14" s="253"/>
      <c r="HX14" s="253"/>
      <c r="HY14" s="253"/>
      <c r="HZ14" s="253"/>
      <c r="IA14" s="253"/>
      <c r="IB14" s="253"/>
      <c r="IC14" s="253"/>
      <c r="ID14" s="253"/>
      <c r="IE14" s="253"/>
      <c r="IF14" s="253"/>
      <c r="IG14" s="253"/>
      <c r="IH14" s="253"/>
      <c r="II14" s="253"/>
      <c r="IK14" s="227"/>
    </row>
    <row r="15" spans="1:245" s="234" customFormat="1" ht="21.75" customHeight="1" x14ac:dyDescent="0.25">
      <c r="A15" s="222" t="s">
        <v>201</v>
      </c>
      <c r="B15" s="232" t="s">
        <v>580</v>
      </c>
      <c r="C15" s="233"/>
      <c r="D15" s="253"/>
      <c r="E15" s="253"/>
      <c r="F15" s="253"/>
      <c r="G15" s="253"/>
      <c r="H15" s="253"/>
      <c r="I15" s="253"/>
      <c r="J15" s="253"/>
      <c r="K15" s="253"/>
      <c r="L15" s="253"/>
      <c r="M15" s="253"/>
      <c r="N15" s="253"/>
      <c r="O15" s="253"/>
      <c r="P15" s="253"/>
      <c r="Q15" s="253"/>
      <c r="R15" s="253"/>
      <c r="S15" s="253"/>
      <c r="T15" s="253"/>
      <c r="U15" s="253"/>
      <c r="V15" s="260"/>
      <c r="W15" s="260"/>
      <c r="X15" s="260"/>
      <c r="Y15" s="260"/>
      <c r="Z15" s="260"/>
      <c r="AA15" s="260"/>
      <c r="AB15" s="260"/>
      <c r="AC15" s="260"/>
      <c r="AD15" s="260"/>
      <c r="AE15" s="260"/>
      <c r="AF15" s="260"/>
      <c r="AG15" s="260"/>
      <c r="AH15" s="260"/>
      <c r="AI15" s="260"/>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3"/>
      <c r="BS15" s="253"/>
      <c r="BT15" s="253"/>
      <c r="BU15" s="253"/>
      <c r="BV15" s="253"/>
      <c r="BW15" s="253"/>
      <c r="BX15" s="253"/>
      <c r="BY15" s="253"/>
      <c r="BZ15" s="260"/>
      <c r="CA15" s="260"/>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60"/>
      <c r="DG15" s="260"/>
      <c r="DH15" s="260"/>
      <c r="DI15" s="260"/>
      <c r="DJ15" s="253"/>
      <c r="DK15" s="253"/>
      <c r="DL15" s="253"/>
      <c r="DM15" s="253"/>
      <c r="DN15" s="253"/>
      <c r="DO15" s="253"/>
      <c r="DP15" s="253"/>
      <c r="DQ15" s="253"/>
      <c r="DR15" s="253"/>
      <c r="DS15" s="253"/>
      <c r="DT15" s="253"/>
      <c r="DU15" s="253"/>
      <c r="DV15" s="253"/>
      <c r="DW15" s="253"/>
      <c r="DX15" s="253"/>
      <c r="DY15" s="253"/>
      <c r="DZ15" s="253"/>
      <c r="EA15" s="253"/>
      <c r="EB15" s="253"/>
      <c r="EC15" s="253"/>
      <c r="ED15" s="253"/>
      <c r="EE15" s="253"/>
      <c r="EF15" s="253"/>
      <c r="EG15" s="253"/>
      <c r="EH15" s="253"/>
      <c r="EI15" s="253"/>
      <c r="EJ15" s="253"/>
      <c r="EK15" s="253"/>
      <c r="EL15" s="253"/>
      <c r="EM15" s="253"/>
      <c r="EN15" s="253"/>
      <c r="EO15" s="253"/>
      <c r="EP15" s="253"/>
      <c r="EQ15" s="253"/>
      <c r="ER15" s="253"/>
      <c r="ES15" s="253"/>
      <c r="ET15" s="253"/>
      <c r="EU15" s="253"/>
      <c r="EV15" s="253"/>
      <c r="EW15" s="253"/>
      <c r="EX15" s="253"/>
      <c r="EY15" s="253"/>
      <c r="EZ15" s="253"/>
      <c r="FA15" s="253"/>
      <c r="FB15" s="253"/>
      <c r="FC15" s="253"/>
      <c r="FD15" s="253"/>
      <c r="FE15" s="253"/>
      <c r="FF15" s="253"/>
      <c r="FG15" s="253"/>
      <c r="FH15" s="253"/>
      <c r="FI15" s="253"/>
      <c r="FJ15" s="253"/>
      <c r="FK15" s="253"/>
      <c r="FL15" s="253"/>
      <c r="FM15" s="253"/>
      <c r="FN15" s="253"/>
      <c r="FO15" s="253"/>
      <c r="FP15" s="253"/>
      <c r="FQ15" s="253"/>
      <c r="FR15" s="253"/>
      <c r="FS15" s="253"/>
      <c r="FT15" s="253"/>
      <c r="FU15" s="253"/>
      <c r="FV15" s="253"/>
      <c r="FW15" s="253"/>
      <c r="FX15" s="253"/>
      <c r="FY15" s="253"/>
      <c r="FZ15" s="253"/>
      <c r="GA15" s="253"/>
      <c r="GB15" s="253"/>
      <c r="GC15" s="253"/>
      <c r="GD15" s="253"/>
      <c r="GE15" s="253"/>
      <c r="GF15" s="254">
        <v>898020658</v>
      </c>
      <c r="GG15" s="254">
        <v>898020658</v>
      </c>
      <c r="GH15" s="254"/>
      <c r="GI15" s="254"/>
      <c r="GJ15" s="260"/>
      <c r="GK15" s="260"/>
      <c r="GL15" s="260"/>
      <c r="GM15" s="260"/>
      <c r="GN15" s="260"/>
      <c r="GO15" s="260"/>
      <c r="GP15" s="260"/>
      <c r="GQ15" s="260"/>
      <c r="GR15" s="260"/>
      <c r="GS15" s="260"/>
      <c r="GT15" s="260"/>
      <c r="GU15" s="260"/>
      <c r="GV15" s="260"/>
      <c r="GW15" s="260"/>
      <c r="GX15" s="260"/>
      <c r="GY15" s="260"/>
      <c r="GZ15" s="253"/>
      <c r="HA15" s="253"/>
      <c r="HB15" s="253"/>
      <c r="HC15" s="253"/>
      <c r="HD15" s="253"/>
      <c r="HE15" s="253"/>
      <c r="HF15" s="253"/>
      <c r="HG15" s="253"/>
      <c r="HH15" s="253"/>
      <c r="HI15" s="253"/>
      <c r="HJ15" s="253"/>
      <c r="HK15" s="253"/>
      <c r="HL15" s="253"/>
      <c r="HM15" s="253"/>
      <c r="HN15" s="253"/>
      <c r="HO15" s="253"/>
      <c r="HP15" s="253"/>
      <c r="HQ15" s="253"/>
      <c r="HR15" s="253"/>
      <c r="HS15" s="253"/>
      <c r="HT15" s="253"/>
      <c r="HU15" s="253"/>
      <c r="HV15" s="253"/>
      <c r="HW15" s="253"/>
      <c r="HX15" s="253"/>
      <c r="HY15" s="253"/>
      <c r="HZ15" s="253"/>
      <c r="IA15" s="253"/>
      <c r="IB15" s="253"/>
      <c r="IC15" s="253"/>
      <c r="ID15" s="253"/>
      <c r="IE15" s="253"/>
      <c r="IF15" s="253"/>
      <c r="IG15" s="253"/>
      <c r="IH15" s="253"/>
      <c r="II15" s="253"/>
      <c r="IK15" s="227"/>
    </row>
    <row r="16" spans="1:245" s="229" customFormat="1" ht="21.75" customHeight="1" x14ac:dyDescent="0.25">
      <c r="A16" s="222" t="s">
        <v>202</v>
      </c>
      <c r="B16" s="235" t="s">
        <v>247</v>
      </c>
      <c r="C16" s="224" t="s">
        <v>211</v>
      </c>
      <c r="D16" s="243">
        <f>+'6.sz. Beruházások'!E11+'6.sz. Beruházások'!E16+'6.sz. Beruházások'!E17+'6.sz. Beruházások'!E18+'6.sz. Beruházások'!E19+'6.sz. Beruházások'!E21+'6.sz. Beruházások'!E23+'6.sz. Beruházások'!E24+'6.sz. Beruházások'!E15+'6.sz. Beruházások'!E13+'6.sz. Beruházások'!E14+'6.sz. Beruházások'!E20</f>
        <v>270974377</v>
      </c>
      <c r="E16" s="243">
        <f>270974377-500000-7610000-2054700+4450000+1201500+7874016+2125984+3515984+949316-76531-20250000-49343+4200000+1134000-393701-106299-256693-69307-218423-58975+218423+58975+3974016+1072984+1167561+315241+5629921+1520079-119009-32132-5200000-1404000-4460000-1204200-1950000-526500+1950000+526500-874+874-1313592-489669-1380109-372630-1056715-285313+1056715+285313+1732567+467793-13365000-153680-41494+153680+41494+188000+50760-644972-174142+1480000+399600-1030708-278292-186273-50294-980000-264600-110336-29790-330530-89243-1789-719</f>
        <v>249545096</v>
      </c>
      <c r="F16" s="243">
        <f>+'6.sz. Beruházások'!E29+'6.sz. Beruházások'!E30+'6.sz. Beruházások'!E36+'6.sz. Beruházások'!E37+'6.sz. Beruházások'!E35+'6.sz. Beruházások'!E31+'6.sz. Beruházások'!E33</f>
        <v>87152400</v>
      </c>
      <c r="G16" s="243">
        <f>87152400-7400000-1998000+7400000+1998000-6377953-1520000-410400+1520000+410400+119009+32132+642868-4980000-1344600+4980000+1344600-4563165-1232054-3920000-1058400-4001300-1080351+4001300+1080351-227110-61320-739500-199665+739500+199665-6142500-1658475-5151000-1390770-935000-252450-426512-115158-795488-214782+1222000+329940+980000+264600-874</f>
        <v>56219938</v>
      </c>
      <c r="H16" s="243">
        <f>+'6.sz. Beruházások'!E76</f>
        <v>4820771</v>
      </c>
      <c r="I16" s="243">
        <v>4820771</v>
      </c>
      <c r="J16" s="243"/>
      <c r="K16" s="243">
        <f>986000+266220+865200+233604</f>
        <v>2351024</v>
      </c>
      <c r="L16" s="243">
        <f>+'6.sz. Beruházások'!E43+'6.sz. Beruházások'!E44+'6.sz. Beruházások'!E45</f>
        <v>30660400</v>
      </c>
      <c r="M16" s="243">
        <f>30660400+1950000+526500+1950000+526500-6377953+2400000+648000+8500000+2295000+935000+252450-200000-54000-23622047</f>
        <v>20389850</v>
      </c>
      <c r="N16" s="243">
        <f>+'6.sz. Beruházások'!E49</f>
        <v>254000</v>
      </c>
      <c r="O16" s="243">
        <f>254000-200000-54000</f>
        <v>0</v>
      </c>
      <c r="P16" s="243">
        <f>+'6.sz. Beruházások'!E61+'6.sz. Beruházások'!E64+'6.sz. Beruházások'!E65+'6.sz. Beruházások'!E66+'6.sz. Beruházások'!E70+'6.sz. Beruházások'!E63+'6.sz. Beruházások'!E62</f>
        <v>67707653</v>
      </c>
      <c r="Q16" s="243">
        <f>67707653+10000000+5999347+1619824+3937008+1062992+8464846+2285508+3445652+930326+4064000</f>
        <v>109517156</v>
      </c>
      <c r="R16" s="243">
        <f>+'6.sz. Beruházások'!E78+'6.sz. Beruházások'!E79</f>
        <v>13073150</v>
      </c>
      <c r="S16" s="243">
        <f>13073150-1568000-423360+7874016+2125984+5123235+1383274+11845542+3198296-541819-146291</f>
        <v>41944027</v>
      </c>
      <c r="T16" s="243"/>
      <c r="U16" s="243"/>
      <c r="V16" s="254"/>
      <c r="W16" s="254"/>
      <c r="X16" s="254"/>
      <c r="Y16" s="254"/>
      <c r="Z16" s="254"/>
      <c r="AA16" s="254"/>
      <c r="AB16" s="254"/>
      <c r="AC16" s="254"/>
      <c r="AD16" s="254"/>
      <c r="AE16" s="254"/>
      <c r="AF16" s="254"/>
      <c r="AG16" s="254">
        <f>3225269+870823+3923965+1059471</f>
        <v>9079528</v>
      </c>
      <c r="AH16" s="254"/>
      <c r="AI16" s="254"/>
      <c r="AJ16" s="243">
        <f>+'6.sz. Beruházások'!E82</f>
        <v>889000</v>
      </c>
      <c r="AK16" s="243">
        <v>889000</v>
      </c>
      <c r="AL16" s="243">
        <f>+'6.sz. Beruházások'!E83</f>
        <v>127000</v>
      </c>
      <c r="AM16" s="243">
        <v>127000</v>
      </c>
      <c r="AN16" s="243"/>
      <c r="AO16" s="243"/>
      <c r="AP16" s="243"/>
      <c r="AQ16" s="243"/>
      <c r="AR16" s="243"/>
      <c r="AS16" s="243"/>
      <c r="AT16" s="243"/>
      <c r="AU16" s="243"/>
      <c r="AV16" s="243"/>
      <c r="AW16" s="243"/>
      <c r="AX16" s="243"/>
      <c r="AY16" s="243"/>
      <c r="AZ16" s="243"/>
      <c r="BA16" s="243"/>
      <c r="BB16" s="243"/>
      <c r="BC16" s="243">
        <f>565500+152685+681000+183870+27204+7345</f>
        <v>1617604</v>
      </c>
      <c r="BD16" s="243"/>
      <c r="BE16" s="243"/>
      <c r="BF16" s="243"/>
      <c r="BG16" s="243"/>
      <c r="BH16" s="243">
        <f>+'6.sz. Beruházások'!E87</f>
        <v>3000000</v>
      </c>
      <c r="BI16" s="243">
        <f>3000000-188000-50760-426000-68248-218157-58902</f>
        <v>1989933</v>
      </c>
      <c r="BJ16" s="243"/>
      <c r="BK16" s="243"/>
      <c r="BL16" s="243"/>
      <c r="BM16" s="243"/>
      <c r="BN16" s="243">
        <f>+'6.sz. Beruházások'!E58</f>
        <v>0</v>
      </c>
      <c r="BO16" s="243">
        <f>212598+57402</f>
        <v>270000</v>
      </c>
      <c r="BP16" s="243"/>
      <c r="BQ16" s="243"/>
      <c r="BR16" s="243"/>
      <c r="BS16" s="243"/>
      <c r="BT16" s="243">
        <f>+'6.sz. Beruházások'!E89+'6.sz. Beruházások'!E92+'6.sz. Beruházások'!E93</f>
        <v>15000000</v>
      </c>
      <c r="BU16" s="243">
        <f>15000000-1306800-352836-2894000+2894000+699265+188801+263792+71224+44735+12079+12992+3508-69446-13756+18500+2820000+761400+1574803+425197-5395865+5395865-1586000-428220+368785+99573</f>
        <v>18607596</v>
      </c>
      <c r="BV16" s="243">
        <f>+'6.sz. Beruházások'!E97</f>
        <v>1409700</v>
      </c>
      <c r="BW16" s="243">
        <v>1409700</v>
      </c>
      <c r="BX16" s="243">
        <f>+'6.sz. Beruházások'!E98+'6.sz. Beruházások'!E99</f>
        <v>254000</v>
      </c>
      <c r="BY16" s="243">
        <v>254000</v>
      </c>
      <c r="BZ16" s="254"/>
      <c r="CA16" s="254"/>
      <c r="CB16" s="243"/>
      <c r="CC16" s="243"/>
      <c r="CD16" s="243">
        <f>+'6.sz. Beruházások'!E74</f>
        <v>15444500</v>
      </c>
      <c r="CE16" s="243">
        <f>15444500+1990000+550000+148500</f>
        <v>18133000</v>
      </c>
      <c r="CF16" s="243"/>
      <c r="CG16" s="243"/>
      <c r="CH16" s="243"/>
      <c r="CI16" s="243"/>
      <c r="CJ16" s="243"/>
      <c r="CK16" s="243"/>
      <c r="CL16" s="274">
        <f>+'6.sz. Beruházások'!E100</f>
        <v>6000000</v>
      </c>
      <c r="CM16" s="274">
        <f>6000000-192858-52072</f>
        <v>5755070</v>
      </c>
      <c r="CN16" s="243"/>
      <c r="CO16" s="243">
        <f>43299+11691</f>
        <v>54990</v>
      </c>
      <c r="CP16" s="243"/>
      <c r="CQ16" s="243"/>
      <c r="CR16" s="243"/>
      <c r="CS16" s="243"/>
      <c r="CT16" s="243">
        <f>+'6.sz. Beruházások'!E103</f>
        <v>635000</v>
      </c>
      <c r="CU16" s="243">
        <f>635000+200000+54000+174123+10747</f>
        <v>1073870</v>
      </c>
      <c r="CV16" s="243">
        <f>+'6.sz. Beruházások'!E105+'6.sz. Beruházások'!E106+'6.sz. Beruházások'!E107</f>
        <v>17589500</v>
      </c>
      <c r="CW16" s="243">
        <f>17589500+46142+5185000+1399950+443000+119610</f>
        <v>24783202</v>
      </c>
      <c r="CX16" s="243">
        <f>+'6.sz. Beruházások'!E110</f>
        <v>0</v>
      </c>
      <c r="CY16" s="243">
        <f>192858+52072</f>
        <v>244930</v>
      </c>
      <c r="CZ16" s="243"/>
      <c r="DA16" s="243"/>
      <c r="DB16" s="243"/>
      <c r="DC16" s="243"/>
      <c r="DD16" s="243"/>
      <c r="DE16" s="243"/>
      <c r="DF16" s="243">
        <f>+'6.sz. Beruházások'!E111+'6.sz. Beruházások'!E112+'6.sz. Beruházások'!E113</f>
        <v>4583303</v>
      </c>
      <c r="DG16" s="243">
        <f>4583303+176000+47520+38700+10449+4650000+1255500+2800000+756000+8000+2160+427700+115479+17322835+4677165+4724409+1275591</f>
        <v>42870811</v>
      </c>
      <c r="DH16" s="243"/>
      <c r="DI16" s="243"/>
      <c r="DJ16" s="243"/>
      <c r="DK16" s="243"/>
      <c r="DL16" s="243"/>
      <c r="DM16" s="243"/>
      <c r="DN16" s="243"/>
      <c r="DO16" s="243"/>
      <c r="DP16" s="243"/>
      <c r="DQ16" s="243">
        <f>1586000+428220-1586000+1586000</f>
        <v>2014220</v>
      </c>
      <c r="DR16" s="243">
        <f>+'6.sz. Beruházások'!E118</f>
        <v>1200000</v>
      </c>
      <c r="DS16" s="243">
        <v>1200000</v>
      </c>
      <c r="DT16" s="243"/>
      <c r="DU16" s="243"/>
      <c r="DV16" s="243"/>
      <c r="DW16" s="243">
        <f>5695296+19282802+23622047</f>
        <v>48600145</v>
      </c>
      <c r="DX16" s="243"/>
      <c r="DY16" s="243"/>
      <c r="DZ16" s="243"/>
      <c r="EA16" s="243">
        <v>6023622</v>
      </c>
      <c r="EB16" s="243">
        <f>+'6.sz. Beruházások'!E53</f>
        <v>508000</v>
      </c>
      <c r="EC16" s="243">
        <v>508000</v>
      </c>
      <c r="ED16" s="243"/>
      <c r="EE16" s="243"/>
      <c r="EF16" s="243"/>
      <c r="EG16" s="243">
        <v>34621550</v>
      </c>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f>+'6.sz. Beruházások'!E59</f>
        <v>0</v>
      </c>
      <c r="FM16" s="243"/>
      <c r="FN16" s="243"/>
      <c r="FO16" s="243"/>
      <c r="FP16" s="243"/>
      <c r="FQ16" s="243"/>
      <c r="FR16" s="243"/>
      <c r="FS16" s="243">
        <f>608000+164160+59300+16011+22047244+5952756</f>
        <v>28847471</v>
      </c>
      <c r="FT16" s="243"/>
      <c r="FU16" s="243"/>
      <c r="FV16" s="243"/>
      <c r="FW16" s="243">
        <f>2260000+610200+1526500+412155+1427340+385382+670000+180900</f>
        <v>7472477</v>
      </c>
      <c r="FX16" s="243">
        <f>+'6.sz. Beruházások'!E125</f>
        <v>228600</v>
      </c>
      <c r="FY16" s="243">
        <f>228600+442492+119473</f>
        <v>790565</v>
      </c>
      <c r="FZ16" s="243"/>
      <c r="GA16" s="243"/>
      <c r="GB16" s="243"/>
      <c r="GC16" s="243">
        <f>87332+23579+6336+1711+108750+29363+1102200+297594+882960+238399+198900+53703</f>
        <v>3030827</v>
      </c>
      <c r="GD16" s="243"/>
      <c r="GE16" s="243"/>
      <c r="GF16" s="254"/>
      <c r="GG16" s="254"/>
      <c r="GH16" s="254"/>
      <c r="GI16" s="254"/>
      <c r="GJ16" s="243">
        <f>+'6.sz. Beruházások'!E131</f>
        <v>665896057</v>
      </c>
      <c r="GK16" s="243">
        <f>665896057+10050000+2713500+35000+9450-120767389+4900000</f>
        <v>562836618</v>
      </c>
      <c r="GL16" s="243"/>
      <c r="GM16" s="243">
        <f>2052814+554260+40000+725575+21471+160000+43200+1519476+410259+51181+13819+300000+1800000+486000+234340+63272</f>
        <v>8475667</v>
      </c>
      <c r="GN16" s="243"/>
      <c r="GO16" s="243"/>
      <c r="GP16" s="243"/>
      <c r="GQ16" s="243"/>
      <c r="GR16" s="243"/>
      <c r="GS16" s="243"/>
      <c r="GT16" s="243">
        <f>+'6.sz. Beruházások'!E133</f>
        <v>497685262</v>
      </c>
      <c r="GU16" s="243">
        <f>497685262-3937008-1062992-128104452-104744111+128104452-19288162+19288162</f>
        <v>387941151</v>
      </c>
      <c r="GV16" s="243"/>
      <c r="GW16" s="243">
        <f>3937008+1062992+3862992+1043008+50780+13711+128104452+1050000+283500+782360+211237+256693+69307+1306800+352836-782360-211237+227110+61320+3937008+1062992+3111000+839970-128104452</f>
        <v>22529027</v>
      </c>
      <c r="GX16" s="243"/>
      <c r="GY16" s="243"/>
      <c r="GZ16" s="243"/>
      <c r="HA16" s="243"/>
      <c r="HB16" s="243"/>
      <c r="HC16" s="243"/>
      <c r="HD16" s="243"/>
      <c r="HE16" s="243"/>
      <c r="HF16" s="243">
        <f>+'6.sz. Beruházások'!E8</f>
        <v>7499350</v>
      </c>
      <c r="HG16" s="243">
        <f>7499350-5905000-1594350+5200000+1404000+39027721+10537485-579760-67832-11105000-2998350</f>
        <v>41418264</v>
      </c>
      <c r="HH16" s="243"/>
      <c r="HI16" s="243"/>
      <c r="HJ16" s="243"/>
      <c r="HK16" s="243"/>
      <c r="HL16" s="243"/>
      <c r="HM16" s="243"/>
      <c r="HN16" s="243">
        <f>+'6.sz. Beruházások'!E136</f>
        <v>9000000</v>
      </c>
      <c r="HO16" s="243">
        <f>9000000-4000000</f>
        <v>5000000</v>
      </c>
      <c r="HP16" s="243"/>
      <c r="HQ16" s="243"/>
      <c r="HR16" s="243">
        <f>+'6.sz. Beruházások'!E137</f>
        <v>43997512</v>
      </c>
      <c r="HS16" s="243">
        <f>43997512+3038365+898640+1062991</f>
        <v>48997508</v>
      </c>
      <c r="HT16" s="243">
        <f>+'6.sz. Beruházások'!E138</f>
        <v>5000000</v>
      </c>
      <c r="HU16" s="243">
        <f>5000000+500000-3937005-1062991</f>
        <v>500004</v>
      </c>
      <c r="HV16" s="243"/>
      <c r="HW16" s="243"/>
      <c r="HX16" s="243"/>
      <c r="HY16" s="243"/>
      <c r="HZ16" s="243"/>
      <c r="IA16" s="243">
        <f>4300000+1161000+450000+121500-450000-121500</f>
        <v>5461000</v>
      </c>
      <c r="IB16" s="243"/>
      <c r="IC16" s="243">
        <v>80000</v>
      </c>
      <c r="ID16" s="243"/>
      <c r="IE16" s="243">
        <f>500000-500000+4460000+1204200+92913386+25086614</f>
        <v>123664200</v>
      </c>
      <c r="IF16" s="243"/>
      <c r="IG16" s="243">
        <f>3937008+1062992+3012992+813508+800000-800000</f>
        <v>8826500</v>
      </c>
      <c r="IH16" s="243"/>
      <c r="II16" s="243"/>
      <c r="IJ16" s="229">
        <v>1335639616</v>
      </c>
      <c r="IK16" s="227" t="e">
        <f>+IJ16-#REF!</f>
        <v>#REF!</v>
      </c>
    </row>
    <row r="17" spans="1:245" s="229" customFormat="1" ht="21.75" customHeight="1" x14ac:dyDescent="0.25">
      <c r="A17" s="222" t="s">
        <v>203</v>
      </c>
      <c r="B17" s="231" t="s">
        <v>338</v>
      </c>
      <c r="C17" s="224" t="s">
        <v>212</v>
      </c>
      <c r="D17" s="243"/>
      <c r="E17" s="243">
        <f>3160000+853200+4200000+1134000-4200000-1134000+1181102+318898</f>
        <v>5513200</v>
      </c>
      <c r="F17" s="243"/>
      <c r="G17" s="243">
        <f>5151000+1390770</f>
        <v>6541770</v>
      </c>
      <c r="H17" s="243"/>
      <c r="I17" s="243"/>
      <c r="J17" s="243"/>
      <c r="K17" s="243"/>
      <c r="L17" s="243"/>
      <c r="M17" s="243"/>
      <c r="N17" s="243"/>
      <c r="O17" s="243"/>
      <c r="P17" s="243"/>
      <c r="Q17" s="243">
        <f>1224201+330534+425000+114750+98462+26585+59683+16114+141308+38153+6508+1757-1+1-1224201-330534+475000+128250+741000+200070+1520000+410400</f>
        <v>4403040</v>
      </c>
      <c r="R17" s="243"/>
      <c r="S17" s="243">
        <f>1568000+423360</f>
        <v>1991360</v>
      </c>
      <c r="T17" s="243"/>
      <c r="U17" s="243"/>
      <c r="V17" s="254"/>
      <c r="W17" s="254"/>
      <c r="X17" s="254"/>
      <c r="Y17" s="254"/>
      <c r="Z17" s="254"/>
      <c r="AA17" s="254"/>
      <c r="AB17" s="254"/>
      <c r="AC17" s="254"/>
      <c r="AD17" s="254"/>
      <c r="AE17" s="254"/>
      <c r="AF17" s="254">
        <f>+'7. sz. Felújítások'!E21</f>
        <v>6698581</v>
      </c>
      <c r="AG17" s="254">
        <v>6698581</v>
      </c>
      <c r="AH17" s="254"/>
      <c r="AI17" s="254"/>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54"/>
      <c r="CA17" s="254"/>
      <c r="CB17" s="243"/>
      <c r="CC17" s="243"/>
      <c r="CD17" s="243"/>
      <c r="CE17" s="243"/>
      <c r="CF17" s="243"/>
      <c r="CG17" s="243"/>
      <c r="CH17" s="243"/>
      <c r="CI17" s="243"/>
      <c r="CJ17" s="243"/>
      <c r="CK17" s="243"/>
      <c r="CL17" s="243"/>
      <c r="CM17" s="243"/>
      <c r="CN17" s="243"/>
      <c r="CO17" s="243"/>
      <c r="CP17" s="243"/>
      <c r="CQ17" s="243"/>
      <c r="CR17" s="243"/>
      <c r="CS17" s="243"/>
      <c r="CT17" s="243">
        <f>+'7. sz. Felújítások'!E27</f>
        <v>1000000</v>
      </c>
      <c r="CU17" s="243">
        <v>1000000</v>
      </c>
      <c r="CV17" s="243"/>
      <c r="CW17" s="243">
        <f>19291339+5208661</f>
        <v>24500000</v>
      </c>
      <c r="CX17" s="243"/>
      <c r="CY17" s="243"/>
      <c r="CZ17" s="243"/>
      <c r="DA17" s="243"/>
      <c r="DB17" s="243"/>
      <c r="DC17" s="243"/>
      <c r="DD17" s="243"/>
      <c r="DE17" s="243"/>
      <c r="DF17" s="254"/>
      <c r="DG17" s="254"/>
      <c r="DH17" s="254"/>
      <c r="DI17" s="254"/>
      <c r="DJ17" s="243"/>
      <c r="DK17" s="243"/>
      <c r="DL17" s="243"/>
      <c r="DM17" s="243"/>
      <c r="DN17" s="243"/>
      <c r="DO17" s="243"/>
      <c r="DP17" s="243"/>
      <c r="DQ17" s="243"/>
      <c r="DR17" s="243"/>
      <c r="DS17" s="243"/>
      <c r="DT17" s="243"/>
      <c r="DU17" s="243"/>
      <c r="DV17" s="243"/>
      <c r="DW17" s="243">
        <f>5695296+1537730-7233026+2400000+648000-2400000-648000</f>
        <v>0</v>
      </c>
      <c r="DX17" s="243">
        <f>+'7. sz. Felújítások'!E24</f>
        <v>65000000</v>
      </c>
      <c r="DY17" s="243">
        <f>65000000-24489158-240200-64854+19523002+5271210-6023622-1626378+6023622+1626378-51181102-13818898</f>
        <v>0</v>
      </c>
      <c r="DZ17" s="243"/>
      <c r="EA17" s="243"/>
      <c r="EB17" s="243"/>
      <c r="EC17" s="243">
        <f>2372367+640539-164300-44361+16885725+4559146</f>
        <v>24249116</v>
      </c>
      <c r="ED17" s="243">
        <f>+'7. sz. Felújítások'!E26</f>
        <v>65000000</v>
      </c>
      <c r="EE17" s="243">
        <f>65000000-34621550-9347819+9347819+34621550-51181102-13818898</f>
        <v>0</v>
      </c>
      <c r="EF17" s="243"/>
      <c r="EG17" s="243"/>
      <c r="EH17" s="243"/>
      <c r="EI17" s="243"/>
      <c r="EJ17" s="243"/>
      <c r="EK17" s="243"/>
      <c r="EL17" s="243"/>
      <c r="EM17" s="243"/>
      <c r="EN17" s="243"/>
      <c r="EO17" s="243"/>
      <c r="EP17" s="243"/>
      <c r="EQ17" s="243"/>
      <c r="ER17" s="243"/>
      <c r="ES17" s="243"/>
      <c r="ET17" s="243"/>
      <c r="EU17" s="243"/>
      <c r="EV17" s="243"/>
      <c r="EW17" s="243"/>
      <c r="EX17" s="243"/>
      <c r="EY17" s="243"/>
      <c r="EZ17" s="243"/>
      <c r="FA17" s="243"/>
      <c r="FB17" s="243"/>
      <c r="FC17" s="243"/>
      <c r="FD17" s="243"/>
      <c r="FE17" s="243"/>
      <c r="FF17" s="243"/>
      <c r="FG17" s="243"/>
      <c r="FH17" s="243"/>
      <c r="FI17" s="243"/>
      <c r="FJ17" s="243"/>
      <c r="FK17" s="243"/>
      <c r="FL17" s="243"/>
      <c r="FM17" s="243"/>
      <c r="FN17" s="243"/>
      <c r="FO17" s="243"/>
      <c r="FP17" s="243"/>
      <c r="FQ17" s="243"/>
      <c r="FR17" s="243"/>
      <c r="FS17" s="243"/>
      <c r="FT17" s="243"/>
      <c r="FU17" s="243"/>
      <c r="FV17" s="243"/>
      <c r="FW17" s="243"/>
      <c r="FX17" s="243">
        <f>+'7. sz. Felújítások'!E28+'7. sz. Felújítások'!E29</f>
        <v>16358870</v>
      </c>
      <c r="FY17" s="243">
        <f>16358870+80000+811230+219032-80000+165000+44550+231000+62370</f>
        <v>17892052</v>
      </c>
      <c r="FZ17" s="243"/>
      <c r="GA17" s="243"/>
      <c r="GB17" s="243">
        <f>+'7. sz. Felújítások'!E31</f>
        <v>18743098</v>
      </c>
      <c r="GC17" s="243">
        <f>18743098+1000000+270000+300000+81000+712500+192375+1330000+359100</f>
        <v>22988073</v>
      </c>
      <c r="GD17" s="243"/>
      <c r="GE17" s="243"/>
      <c r="GF17" s="254"/>
      <c r="GG17" s="254"/>
      <c r="GH17" s="254"/>
      <c r="GI17" s="254"/>
      <c r="GJ17" s="254"/>
      <c r="GK17" s="254"/>
      <c r="GL17" s="254"/>
      <c r="GM17" s="254"/>
      <c r="GN17" s="254"/>
      <c r="GO17" s="254"/>
      <c r="GP17" s="254"/>
      <c r="GQ17" s="254"/>
      <c r="GR17" s="254"/>
      <c r="GS17" s="254"/>
      <c r="GT17" s="254"/>
      <c r="GU17" s="254"/>
      <c r="GV17" s="254"/>
      <c r="GW17" s="254"/>
      <c r="GX17" s="254"/>
      <c r="GY17" s="254"/>
      <c r="GZ17" s="243"/>
      <c r="HA17" s="243"/>
      <c r="HB17" s="243"/>
      <c r="HC17" s="243"/>
      <c r="HD17" s="243">
        <f>+'7. sz. Felújítások'!E34</f>
        <v>759054</v>
      </c>
      <c r="HE17" s="243">
        <v>759054</v>
      </c>
      <c r="HF17" s="243"/>
      <c r="HG17" s="243"/>
      <c r="HH17" s="243"/>
      <c r="HI17" s="243"/>
      <c r="HJ17" s="243">
        <f>+'7. sz. Felújítások'!E35</f>
        <v>48986500</v>
      </c>
      <c r="HK17" s="243">
        <v>48986500</v>
      </c>
      <c r="HL17" s="243"/>
      <c r="HM17" s="243"/>
      <c r="HN17" s="243"/>
      <c r="HO17" s="243"/>
      <c r="HP17" s="243"/>
      <c r="HQ17" s="243"/>
      <c r="HR17" s="243"/>
      <c r="HS17" s="243"/>
      <c r="HT17" s="243"/>
      <c r="HU17" s="243"/>
      <c r="HV17" s="243">
        <f>+'7. sz. Felújítások'!E36</f>
        <v>4690164</v>
      </c>
      <c r="HW17" s="243">
        <f>4690164+3600790+972213-92126-24874</f>
        <v>9146167</v>
      </c>
      <c r="HX17" s="243"/>
      <c r="HY17" s="243">
        <f>376000+101520+69720+18825-376000-101520</f>
        <v>88545</v>
      </c>
      <c r="HZ17" s="243"/>
      <c r="IA17" s="243"/>
      <c r="IB17" s="243"/>
      <c r="IC17" s="243"/>
      <c r="ID17" s="243"/>
      <c r="IE17" s="243"/>
      <c r="IF17" s="243"/>
      <c r="IG17" s="243"/>
      <c r="IH17" s="243"/>
      <c r="II17" s="243"/>
      <c r="IJ17" s="229">
        <v>475600396</v>
      </c>
      <c r="IK17" s="227" t="e">
        <f>+IJ17-#REF!</f>
        <v>#REF!</v>
      </c>
    </row>
    <row r="18" spans="1:245" ht="21.75" customHeight="1" x14ac:dyDescent="0.25">
      <c r="A18" s="222" t="s">
        <v>204</v>
      </c>
      <c r="B18" s="231" t="s">
        <v>241</v>
      </c>
      <c r="C18" s="224" t="s">
        <v>213</v>
      </c>
      <c r="D18" s="243">
        <f>+D19</f>
        <v>0</v>
      </c>
      <c r="E18" s="243">
        <f t="shared" ref="E18:V18" si="9">+E19</f>
        <v>0</v>
      </c>
      <c r="F18" s="243">
        <f t="shared" si="9"/>
        <v>0</v>
      </c>
      <c r="G18" s="243">
        <f t="shared" si="9"/>
        <v>0</v>
      </c>
      <c r="H18" s="243">
        <f t="shared" si="9"/>
        <v>0</v>
      </c>
      <c r="I18" s="243">
        <f t="shared" si="9"/>
        <v>0</v>
      </c>
      <c r="J18" s="243">
        <f t="shared" si="9"/>
        <v>0</v>
      </c>
      <c r="K18" s="243">
        <f t="shared" si="9"/>
        <v>0</v>
      </c>
      <c r="L18" s="243">
        <f t="shared" si="9"/>
        <v>0</v>
      </c>
      <c r="M18" s="243">
        <f t="shared" si="9"/>
        <v>0</v>
      </c>
      <c r="N18" s="243">
        <f t="shared" si="9"/>
        <v>0</v>
      </c>
      <c r="O18" s="243">
        <f t="shared" si="9"/>
        <v>0</v>
      </c>
      <c r="P18" s="243">
        <f t="shared" si="9"/>
        <v>0</v>
      </c>
      <c r="Q18" s="243">
        <f t="shared" si="9"/>
        <v>0</v>
      </c>
      <c r="R18" s="243">
        <f t="shared" si="9"/>
        <v>0</v>
      </c>
      <c r="S18" s="243">
        <f t="shared" si="9"/>
        <v>0</v>
      </c>
      <c r="T18" s="243">
        <f t="shared" si="9"/>
        <v>0</v>
      </c>
      <c r="U18" s="243">
        <f t="shared" si="9"/>
        <v>0</v>
      </c>
      <c r="V18" s="243">
        <f t="shared" si="9"/>
        <v>0</v>
      </c>
      <c r="W18" s="243">
        <f>+W19</f>
        <v>0</v>
      </c>
      <c r="X18" s="243">
        <f>+X19</f>
        <v>2000000</v>
      </c>
      <c r="Y18" s="243">
        <f>+Y19</f>
        <v>3690750</v>
      </c>
      <c r="Z18" s="243">
        <f t="shared" ref="Z18:CK18" si="10">+Z19</f>
        <v>0</v>
      </c>
      <c r="AA18" s="243">
        <f t="shared" si="10"/>
        <v>0</v>
      </c>
      <c r="AB18" s="243">
        <f t="shared" si="10"/>
        <v>0</v>
      </c>
      <c r="AC18" s="243">
        <f t="shared" si="10"/>
        <v>0</v>
      </c>
      <c r="AD18" s="243">
        <f t="shared" si="10"/>
        <v>0</v>
      </c>
      <c r="AE18" s="243">
        <f t="shared" si="10"/>
        <v>0</v>
      </c>
      <c r="AF18" s="243">
        <f t="shared" si="10"/>
        <v>0</v>
      </c>
      <c r="AG18" s="243">
        <f t="shared" si="10"/>
        <v>0</v>
      </c>
      <c r="AH18" s="243">
        <f t="shared" si="10"/>
        <v>0</v>
      </c>
      <c r="AI18" s="243">
        <f t="shared" si="10"/>
        <v>0</v>
      </c>
      <c r="AJ18" s="243">
        <f t="shared" si="10"/>
        <v>0</v>
      </c>
      <c r="AK18" s="243">
        <f t="shared" si="10"/>
        <v>0</v>
      </c>
      <c r="AL18" s="243">
        <f t="shared" si="10"/>
        <v>0</v>
      </c>
      <c r="AM18" s="243">
        <f t="shared" si="10"/>
        <v>0</v>
      </c>
      <c r="AN18" s="243">
        <f t="shared" si="10"/>
        <v>0</v>
      </c>
      <c r="AO18" s="243">
        <f t="shared" si="10"/>
        <v>0</v>
      </c>
      <c r="AP18" s="243">
        <f t="shared" si="10"/>
        <v>0</v>
      </c>
      <c r="AQ18" s="243">
        <f t="shared" si="10"/>
        <v>0</v>
      </c>
      <c r="AR18" s="243">
        <f t="shared" si="10"/>
        <v>0</v>
      </c>
      <c r="AS18" s="243">
        <f t="shared" si="10"/>
        <v>0</v>
      </c>
      <c r="AT18" s="243">
        <f t="shared" si="10"/>
        <v>0</v>
      </c>
      <c r="AU18" s="243">
        <f t="shared" si="10"/>
        <v>0</v>
      </c>
      <c r="AV18" s="243">
        <f t="shared" si="10"/>
        <v>0</v>
      </c>
      <c r="AW18" s="243">
        <f t="shared" si="10"/>
        <v>0</v>
      </c>
      <c r="AX18" s="243">
        <f t="shared" si="10"/>
        <v>0</v>
      </c>
      <c r="AY18" s="243">
        <f t="shared" si="10"/>
        <v>0</v>
      </c>
      <c r="AZ18" s="243">
        <f t="shared" si="10"/>
        <v>0</v>
      </c>
      <c r="BA18" s="243">
        <f t="shared" si="10"/>
        <v>0</v>
      </c>
      <c r="BB18" s="243">
        <f t="shared" si="10"/>
        <v>0</v>
      </c>
      <c r="BC18" s="243">
        <f t="shared" si="10"/>
        <v>0</v>
      </c>
      <c r="BD18" s="243">
        <f t="shared" si="10"/>
        <v>0</v>
      </c>
      <c r="BE18" s="243">
        <f t="shared" si="10"/>
        <v>0</v>
      </c>
      <c r="BF18" s="243">
        <f t="shared" si="10"/>
        <v>0</v>
      </c>
      <c r="BG18" s="243">
        <f t="shared" si="10"/>
        <v>0</v>
      </c>
      <c r="BH18" s="243">
        <f t="shared" si="10"/>
        <v>0</v>
      </c>
      <c r="BI18" s="243">
        <f t="shared" si="10"/>
        <v>0</v>
      </c>
      <c r="BJ18" s="243">
        <f t="shared" si="10"/>
        <v>0</v>
      </c>
      <c r="BK18" s="243">
        <f t="shared" si="10"/>
        <v>0</v>
      </c>
      <c r="BL18" s="243">
        <f t="shared" si="10"/>
        <v>0</v>
      </c>
      <c r="BM18" s="243">
        <f t="shared" si="10"/>
        <v>0</v>
      </c>
      <c r="BN18" s="243">
        <f t="shared" si="10"/>
        <v>0</v>
      </c>
      <c r="BO18" s="243">
        <f t="shared" si="10"/>
        <v>0</v>
      </c>
      <c r="BP18" s="243">
        <f t="shared" si="10"/>
        <v>0</v>
      </c>
      <c r="BQ18" s="243">
        <f t="shared" si="10"/>
        <v>0</v>
      </c>
      <c r="BR18" s="243">
        <f t="shared" si="10"/>
        <v>0</v>
      </c>
      <c r="BS18" s="243">
        <f t="shared" si="10"/>
        <v>0</v>
      </c>
      <c r="BT18" s="243">
        <f t="shared" si="10"/>
        <v>0</v>
      </c>
      <c r="BU18" s="243">
        <f t="shared" si="10"/>
        <v>0</v>
      </c>
      <c r="BV18" s="243">
        <f t="shared" si="10"/>
        <v>0</v>
      </c>
      <c r="BW18" s="243">
        <f t="shared" si="10"/>
        <v>0</v>
      </c>
      <c r="BX18" s="243">
        <f t="shared" si="10"/>
        <v>0</v>
      </c>
      <c r="BY18" s="243">
        <f t="shared" si="10"/>
        <v>0</v>
      </c>
      <c r="BZ18" s="243">
        <f t="shared" si="10"/>
        <v>0</v>
      </c>
      <c r="CA18" s="243">
        <f t="shared" si="10"/>
        <v>0</v>
      </c>
      <c r="CB18" s="243">
        <f t="shared" si="10"/>
        <v>0</v>
      </c>
      <c r="CC18" s="243">
        <f t="shared" si="10"/>
        <v>0</v>
      </c>
      <c r="CD18" s="243">
        <f t="shared" si="10"/>
        <v>0</v>
      </c>
      <c r="CE18" s="243">
        <f t="shared" si="10"/>
        <v>0</v>
      </c>
      <c r="CF18" s="243">
        <f t="shared" si="10"/>
        <v>0</v>
      </c>
      <c r="CG18" s="243">
        <f t="shared" si="10"/>
        <v>0</v>
      </c>
      <c r="CH18" s="243">
        <f t="shared" si="10"/>
        <v>0</v>
      </c>
      <c r="CI18" s="243">
        <f t="shared" si="10"/>
        <v>0</v>
      </c>
      <c r="CJ18" s="243">
        <f t="shared" si="10"/>
        <v>0</v>
      </c>
      <c r="CK18" s="243">
        <f t="shared" si="10"/>
        <v>0</v>
      </c>
      <c r="CL18" s="243">
        <f t="shared" ref="CL18:FA18" si="11">+CL19</f>
        <v>0</v>
      </c>
      <c r="CM18" s="243">
        <f t="shared" si="11"/>
        <v>0</v>
      </c>
      <c r="CN18" s="243">
        <f t="shared" si="11"/>
        <v>0</v>
      </c>
      <c r="CO18" s="243">
        <f t="shared" si="11"/>
        <v>0</v>
      </c>
      <c r="CP18" s="243">
        <f t="shared" si="11"/>
        <v>0</v>
      </c>
      <c r="CQ18" s="243">
        <f t="shared" si="11"/>
        <v>0</v>
      </c>
      <c r="CR18" s="243">
        <f t="shared" si="11"/>
        <v>0</v>
      </c>
      <c r="CS18" s="243">
        <f t="shared" si="11"/>
        <v>0</v>
      </c>
      <c r="CT18" s="243">
        <f t="shared" si="11"/>
        <v>0</v>
      </c>
      <c r="CU18" s="243">
        <f t="shared" si="11"/>
        <v>0</v>
      </c>
      <c r="CV18" s="243">
        <f t="shared" si="11"/>
        <v>0</v>
      </c>
      <c r="CW18" s="243">
        <f t="shared" si="11"/>
        <v>0</v>
      </c>
      <c r="CX18" s="243">
        <f t="shared" si="11"/>
        <v>0</v>
      </c>
      <c r="CY18" s="243">
        <f t="shared" si="11"/>
        <v>0</v>
      </c>
      <c r="CZ18" s="243">
        <f t="shared" si="11"/>
        <v>0</v>
      </c>
      <c r="DA18" s="243">
        <f t="shared" si="11"/>
        <v>0</v>
      </c>
      <c r="DB18" s="243">
        <f t="shared" si="11"/>
        <v>0</v>
      </c>
      <c r="DC18" s="243">
        <f t="shared" si="11"/>
        <v>0</v>
      </c>
      <c r="DD18" s="243">
        <f t="shared" si="11"/>
        <v>0</v>
      </c>
      <c r="DE18" s="243">
        <f t="shared" si="11"/>
        <v>0</v>
      </c>
      <c r="DF18" s="243">
        <f t="shared" si="11"/>
        <v>0</v>
      </c>
      <c r="DG18" s="243">
        <f t="shared" si="11"/>
        <v>0</v>
      </c>
      <c r="DH18" s="243">
        <f t="shared" si="11"/>
        <v>0</v>
      </c>
      <c r="DI18" s="243">
        <f t="shared" si="11"/>
        <v>0</v>
      </c>
      <c r="DJ18" s="243">
        <f t="shared" si="11"/>
        <v>0</v>
      </c>
      <c r="DK18" s="243">
        <f t="shared" si="11"/>
        <v>0</v>
      </c>
      <c r="DL18" s="243">
        <f t="shared" si="11"/>
        <v>0</v>
      </c>
      <c r="DM18" s="243">
        <f t="shared" si="11"/>
        <v>0</v>
      </c>
      <c r="DN18" s="243">
        <f t="shared" si="11"/>
        <v>0</v>
      </c>
      <c r="DO18" s="243">
        <f t="shared" si="11"/>
        <v>0</v>
      </c>
      <c r="DP18" s="243">
        <f t="shared" si="11"/>
        <v>0</v>
      </c>
      <c r="DQ18" s="243">
        <f t="shared" si="11"/>
        <v>0</v>
      </c>
      <c r="DR18" s="243">
        <f t="shared" si="11"/>
        <v>0</v>
      </c>
      <c r="DS18" s="243">
        <f t="shared" si="11"/>
        <v>0</v>
      </c>
      <c r="DT18" s="243">
        <f t="shared" si="11"/>
        <v>0</v>
      </c>
      <c r="DU18" s="243">
        <f t="shared" si="11"/>
        <v>0</v>
      </c>
      <c r="DV18" s="243">
        <f t="shared" si="11"/>
        <v>0</v>
      </c>
      <c r="DW18" s="243">
        <f t="shared" si="11"/>
        <v>0</v>
      </c>
      <c r="DX18" s="243">
        <f t="shared" si="11"/>
        <v>0</v>
      </c>
      <c r="DY18" s="243">
        <f t="shared" si="11"/>
        <v>0</v>
      </c>
      <c r="DZ18" s="243">
        <f t="shared" si="11"/>
        <v>0</v>
      </c>
      <c r="EA18" s="243">
        <f t="shared" si="11"/>
        <v>0</v>
      </c>
      <c r="EB18" s="243">
        <f t="shared" si="11"/>
        <v>0</v>
      </c>
      <c r="EC18" s="243">
        <f t="shared" si="11"/>
        <v>0</v>
      </c>
      <c r="ED18" s="243">
        <f t="shared" si="11"/>
        <v>0</v>
      </c>
      <c r="EE18" s="243">
        <f t="shared" si="11"/>
        <v>0</v>
      </c>
      <c r="EF18" s="243">
        <f t="shared" si="11"/>
        <v>0</v>
      </c>
      <c r="EG18" s="243">
        <f t="shared" si="11"/>
        <v>0</v>
      </c>
      <c r="EH18" s="243">
        <f t="shared" si="11"/>
        <v>0</v>
      </c>
      <c r="EI18" s="243">
        <f t="shared" si="11"/>
        <v>0</v>
      </c>
      <c r="EJ18" s="243">
        <f t="shared" si="11"/>
        <v>0</v>
      </c>
      <c r="EK18" s="243">
        <f t="shared" si="11"/>
        <v>0</v>
      </c>
      <c r="EL18" s="243">
        <f t="shared" si="11"/>
        <v>0</v>
      </c>
      <c r="EM18" s="243">
        <f t="shared" si="11"/>
        <v>0</v>
      </c>
      <c r="EN18" s="243">
        <f t="shared" si="11"/>
        <v>0</v>
      </c>
      <c r="EO18" s="243">
        <f t="shared" si="11"/>
        <v>0</v>
      </c>
      <c r="EP18" s="243">
        <f t="shared" si="11"/>
        <v>0</v>
      </c>
      <c r="EQ18" s="243">
        <f t="shared" si="11"/>
        <v>0</v>
      </c>
      <c r="ER18" s="243">
        <f t="shared" si="11"/>
        <v>0</v>
      </c>
      <c r="ES18" s="243">
        <f t="shared" si="11"/>
        <v>0</v>
      </c>
      <c r="ET18" s="243">
        <f t="shared" si="11"/>
        <v>0</v>
      </c>
      <c r="EU18" s="243">
        <f t="shared" si="11"/>
        <v>0</v>
      </c>
      <c r="EV18" s="243">
        <f t="shared" si="11"/>
        <v>0</v>
      </c>
      <c r="EW18" s="243">
        <f t="shared" si="11"/>
        <v>0</v>
      </c>
      <c r="EX18" s="243">
        <f t="shared" si="11"/>
        <v>0</v>
      </c>
      <c r="EY18" s="243">
        <f t="shared" si="11"/>
        <v>0</v>
      </c>
      <c r="EZ18" s="243">
        <f t="shared" si="11"/>
        <v>0</v>
      </c>
      <c r="FA18" s="243">
        <f t="shared" si="11"/>
        <v>0</v>
      </c>
      <c r="FB18" s="243">
        <f t="shared" ref="FB18:HM18" si="12">+FB19</f>
        <v>0</v>
      </c>
      <c r="FC18" s="243">
        <f t="shared" si="12"/>
        <v>0</v>
      </c>
      <c r="FD18" s="243">
        <f t="shared" si="12"/>
        <v>0</v>
      </c>
      <c r="FE18" s="243">
        <f t="shared" si="12"/>
        <v>0</v>
      </c>
      <c r="FF18" s="243">
        <f t="shared" si="12"/>
        <v>0</v>
      </c>
      <c r="FG18" s="243">
        <f t="shared" si="12"/>
        <v>0</v>
      </c>
      <c r="FH18" s="243">
        <f t="shared" si="12"/>
        <v>0</v>
      </c>
      <c r="FI18" s="243">
        <f t="shared" si="12"/>
        <v>0</v>
      </c>
      <c r="FJ18" s="243">
        <f t="shared" si="12"/>
        <v>0</v>
      </c>
      <c r="FK18" s="243">
        <f t="shared" si="12"/>
        <v>0</v>
      </c>
      <c r="FL18" s="243">
        <f t="shared" si="12"/>
        <v>0</v>
      </c>
      <c r="FM18" s="243">
        <f t="shared" si="12"/>
        <v>0</v>
      </c>
      <c r="FN18" s="243">
        <f t="shared" si="12"/>
        <v>0</v>
      </c>
      <c r="FO18" s="243">
        <f t="shared" si="12"/>
        <v>0</v>
      </c>
      <c r="FP18" s="243">
        <f t="shared" si="12"/>
        <v>0</v>
      </c>
      <c r="FQ18" s="243">
        <f t="shared" si="12"/>
        <v>0</v>
      </c>
      <c r="FR18" s="243">
        <f t="shared" si="12"/>
        <v>0</v>
      </c>
      <c r="FS18" s="243">
        <f t="shared" si="12"/>
        <v>0</v>
      </c>
      <c r="FT18" s="243">
        <f t="shared" si="12"/>
        <v>0</v>
      </c>
      <c r="FU18" s="243">
        <f t="shared" si="12"/>
        <v>0</v>
      </c>
      <c r="FV18" s="243">
        <f t="shared" si="12"/>
        <v>0</v>
      </c>
      <c r="FW18" s="243">
        <f t="shared" si="12"/>
        <v>0</v>
      </c>
      <c r="FX18" s="243">
        <f t="shared" si="12"/>
        <v>0</v>
      </c>
      <c r="FY18" s="243">
        <f t="shared" si="12"/>
        <v>0</v>
      </c>
      <c r="FZ18" s="243">
        <f t="shared" si="12"/>
        <v>0</v>
      </c>
      <c r="GA18" s="243">
        <f t="shared" si="12"/>
        <v>0</v>
      </c>
      <c r="GB18" s="243">
        <f t="shared" si="12"/>
        <v>0</v>
      </c>
      <c r="GC18" s="243">
        <f t="shared" si="12"/>
        <v>0</v>
      </c>
      <c r="GD18" s="243">
        <f t="shared" si="12"/>
        <v>0</v>
      </c>
      <c r="GE18" s="243">
        <f t="shared" si="12"/>
        <v>0</v>
      </c>
      <c r="GF18" s="243">
        <f t="shared" si="12"/>
        <v>0</v>
      </c>
      <c r="GG18" s="243">
        <f t="shared" si="12"/>
        <v>0</v>
      </c>
      <c r="GH18" s="243">
        <f t="shared" si="12"/>
        <v>0</v>
      </c>
      <c r="GI18" s="243">
        <f t="shared" si="12"/>
        <v>0</v>
      </c>
      <c r="GJ18" s="243">
        <f t="shared" si="12"/>
        <v>0</v>
      </c>
      <c r="GK18" s="243">
        <f t="shared" si="12"/>
        <v>0</v>
      </c>
      <c r="GL18" s="243">
        <f t="shared" si="12"/>
        <v>0</v>
      </c>
      <c r="GM18" s="243">
        <f t="shared" si="12"/>
        <v>0</v>
      </c>
      <c r="GN18" s="243">
        <f t="shared" si="12"/>
        <v>0</v>
      </c>
      <c r="GO18" s="243">
        <f t="shared" si="12"/>
        <v>0</v>
      </c>
      <c r="GP18" s="243">
        <f t="shared" si="12"/>
        <v>0</v>
      </c>
      <c r="GQ18" s="243">
        <f t="shared" si="12"/>
        <v>0</v>
      </c>
      <c r="GR18" s="243">
        <f t="shared" si="12"/>
        <v>0</v>
      </c>
      <c r="GS18" s="243">
        <f t="shared" si="12"/>
        <v>0</v>
      </c>
      <c r="GT18" s="243">
        <f t="shared" si="12"/>
        <v>0</v>
      </c>
      <c r="GU18" s="243">
        <f t="shared" si="12"/>
        <v>0</v>
      </c>
      <c r="GV18" s="243">
        <f t="shared" si="12"/>
        <v>0</v>
      </c>
      <c r="GW18" s="243">
        <f t="shared" si="12"/>
        <v>0</v>
      </c>
      <c r="GX18" s="243">
        <f t="shared" si="12"/>
        <v>0</v>
      </c>
      <c r="GY18" s="243">
        <f t="shared" si="12"/>
        <v>1811551</v>
      </c>
      <c r="GZ18" s="243">
        <f t="shared" si="12"/>
        <v>0</v>
      </c>
      <c r="HA18" s="243">
        <f t="shared" si="12"/>
        <v>0</v>
      </c>
      <c r="HB18" s="243">
        <f t="shared" si="12"/>
        <v>0</v>
      </c>
      <c r="HC18" s="243">
        <f t="shared" si="12"/>
        <v>0</v>
      </c>
      <c r="HD18" s="243">
        <f t="shared" si="12"/>
        <v>0</v>
      </c>
      <c r="HE18" s="243">
        <f t="shared" si="12"/>
        <v>0</v>
      </c>
      <c r="HF18" s="243">
        <f t="shared" si="12"/>
        <v>0</v>
      </c>
      <c r="HG18" s="243">
        <f t="shared" si="12"/>
        <v>0</v>
      </c>
      <c r="HH18" s="243">
        <f t="shared" si="12"/>
        <v>0</v>
      </c>
      <c r="HI18" s="243">
        <f t="shared" si="12"/>
        <v>0</v>
      </c>
      <c r="HJ18" s="243">
        <f t="shared" si="12"/>
        <v>0</v>
      </c>
      <c r="HK18" s="243">
        <f t="shared" si="12"/>
        <v>0</v>
      </c>
      <c r="HL18" s="243">
        <f t="shared" si="12"/>
        <v>0</v>
      </c>
      <c r="HM18" s="243">
        <f t="shared" si="12"/>
        <v>0</v>
      </c>
      <c r="HN18" s="243">
        <f t="shared" ref="HN18:HX18" si="13">+HN19</f>
        <v>0</v>
      </c>
      <c r="HO18" s="243">
        <f t="shared" si="13"/>
        <v>0</v>
      </c>
      <c r="HP18" s="243">
        <f t="shared" si="13"/>
        <v>0</v>
      </c>
      <c r="HQ18" s="243">
        <f t="shared" si="13"/>
        <v>0</v>
      </c>
      <c r="HR18" s="243">
        <f t="shared" si="13"/>
        <v>0</v>
      </c>
      <c r="HS18" s="243">
        <f t="shared" si="13"/>
        <v>0</v>
      </c>
      <c r="HT18" s="243">
        <f t="shared" si="13"/>
        <v>0</v>
      </c>
      <c r="HU18" s="243">
        <f t="shared" si="13"/>
        <v>0</v>
      </c>
      <c r="HV18" s="243">
        <f t="shared" si="13"/>
        <v>0</v>
      </c>
      <c r="HW18" s="243">
        <f t="shared" si="13"/>
        <v>0</v>
      </c>
      <c r="HX18" s="243">
        <f t="shared" si="13"/>
        <v>0</v>
      </c>
      <c r="HY18" s="243">
        <f>+HY19</f>
        <v>0</v>
      </c>
      <c r="HZ18" s="243">
        <f>+HZ19</f>
        <v>0</v>
      </c>
      <c r="IA18" s="243">
        <f>+IA19</f>
        <v>0</v>
      </c>
      <c r="IB18" s="243">
        <f>+IB19</f>
        <v>0</v>
      </c>
      <c r="IC18" s="243">
        <f t="shared" ref="IC18:II18" si="14">+IC19</f>
        <v>0</v>
      </c>
      <c r="ID18" s="243">
        <f t="shared" si="14"/>
        <v>0</v>
      </c>
      <c r="IE18" s="243">
        <f t="shared" si="14"/>
        <v>0</v>
      </c>
      <c r="IF18" s="243">
        <f t="shared" si="14"/>
        <v>0</v>
      </c>
      <c r="IG18" s="243">
        <f t="shared" si="14"/>
        <v>0</v>
      </c>
      <c r="IH18" s="243">
        <f t="shared" si="14"/>
        <v>0</v>
      </c>
      <c r="II18" s="243">
        <f t="shared" si="14"/>
        <v>0</v>
      </c>
      <c r="IK18" s="227" t="e">
        <f>SUM(IK10:MS17)</f>
        <v>#REF!</v>
      </c>
    </row>
    <row r="19" spans="1:245" ht="21.75" customHeight="1" x14ac:dyDescent="0.25">
      <c r="A19" s="222" t="s">
        <v>231</v>
      </c>
      <c r="B19" s="232" t="s">
        <v>591</v>
      </c>
      <c r="C19" s="224"/>
      <c r="D19" s="243"/>
      <c r="E19" s="243"/>
      <c r="F19" s="243"/>
      <c r="G19" s="243"/>
      <c r="H19" s="243"/>
      <c r="I19" s="243"/>
      <c r="J19" s="243"/>
      <c r="K19" s="243"/>
      <c r="L19" s="243"/>
      <c r="M19" s="243"/>
      <c r="N19" s="243"/>
      <c r="O19" s="243"/>
      <c r="P19" s="243"/>
      <c r="Q19" s="243"/>
      <c r="R19" s="243"/>
      <c r="S19" s="243"/>
      <c r="T19" s="243"/>
      <c r="U19" s="243"/>
      <c r="V19" s="255"/>
      <c r="W19" s="255"/>
      <c r="X19" s="255">
        <f>+'4.sz.Felhalm.c.pe.átadás'!E10</f>
        <v>2000000</v>
      </c>
      <c r="Y19" s="255">
        <f>2000000+599400+235100+700000+156250</f>
        <v>3690750</v>
      </c>
      <c r="Z19" s="255"/>
      <c r="AA19" s="255"/>
      <c r="AB19" s="255"/>
      <c r="AC19" s="255"/>
      <c r="AD19" s="255"/>
      <c r="AE19" s="255"/>
      <c r="AF19" s="255"/>
      <c r="AG19" s="255"/>
      <c r="AH19" s="255"/>
      <c r="AI19" s="255"/>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55"/>
      <c r="CA19" s="255"/>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55"/>
      <c r="DG19" s="255"/>
      <c r="DH19" s="255"/>
      <c r="DI19" s="255"/>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55"/>
      <c r="GG19" s="255"/>
      <c r="GH19" s="255"/>
      <c r="GI19" s="255"/>
      <c r="GJ19" s="255"/>
      <c r="GK19" s="255"/>
      <c r="GL19" s="255"/>
      <c r="GM19" s="255"/>
      <c r="GN19" s="255"/>
      <c r="GO19" s="255"/>
      <c r="GP19" s="255"/>
      <c r="GQ19" s="255"/>
      <c r="GR19" s="255"/>
      <c r="GS19" s="255"/>
      <c r="GT19" s="255"/>
      <c r="GU19" s="255"/>
      <c r="GV19" s="255"/>
      <c r="GW19" s="255"/>
      <c r="GX19" s="255"/>
      <c r="GY19" s="255">
        <v>1811551</v>
      </c>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K19" s="218">
        <f>160237220+12180711</f>
        <v>172417931</v>
      </c>
    </row>
    <row r="20" spans="1:245" s="229" customFormat="1" ht="21.75" customHeight="1" x14ac:dyDescent="0.25">
      <c r="A20" s="222" t="s">
        <v>232</v>
      </c>
      <c r="B20" s="235" t="s">
        <v>242</v>
      </c>
      <c r="C20" s="224" t="s">
        <v>214</v>
      </c>
      <c r="D20" s="254">
        <f>+D18+D17+D16+D12+D11+D10+D9+D8</f>
        <v>270974377</v>
      </c>
      <c r="E20" s="254">
        <f t="shared" ref="E20:BP20" si="15">+E18+E17+E16+E12+E11+E10+E9+E8</f>
        <v>255058296</v>
      </c>
      <c r="F20" s="254">
        <f>+F18+F17+F16+F12+F11+F10+F9+F8</f>
        <v>87152400</v>
      </c>
      <c r="G20" s="254">
        <f t="shared" si="15"/>
        <v>62761708</v>
      </c>
      <c r="H20" s="254">
        <f t="shared" si="15"/>
        <v>4820771</v>
      </c>
      <c r="I20" s="254">
        <f t="shared" si="15"/>
        <v>4820771</v>
      </c>
      <c r="J20" s="254">
        <f t="shared" si="15"/>
        <v>0</v>
      </c>
      <c r="K20" s="254">
        <f t="shared" si="15"/>
        <v>2351024</v>
      </c>
      <c r="L20" s="254">
        <f t="shared" si="15"/>
        <v>30660400</v>
      </c>
      <c r="M20" s="254">
        <f t="shared" si="15"/>
        <v>20389850</v>
      </c>
      <c r="N20" s="254">
        <f t="shared" si="15"/>
        <v>254000</v>
      </c>
      <c r="O20" s="254">
        <f t="shared" si="15"/>
        <v>0</v>
      </c>
      <c r="P20" s="254">
        <f t="shared" si="15"/>
        <v>67707653</v>
      </c>
      <c r="Q20" s="254">
        <f t="shared" si="15"/>
        <v>113920196</v>
      </c>
      <c r="R20" s="254">
        <f t="shared" si="15"/>
        <v>13073150</v>
      </c>
      <c r="S20" s="254">
        <f t="shared" si="15"/>
        <v>43935387</v>
      </c>
      <c r="T20" s="254">
        <f t="shared" si="15"/>
        <v>1000000</v>
      </c>
      <c r="U20" s="254">
        <f t="shared" si="15"/>
        <v>1000000</v>
      </c>
      <c r="V20" s="254">
        <f t="shared" si="15"/>
        <v>10027494</v>
      </c>
      <c r="W20" s="254">
        <f t="shared" si="15"/>
        <v>30728244</v>
      </c>
      <c r="X20" s="254">
        <f t="shared" si="15"/>
        <v>2000000</v>
      </c>
      <c r="Y20" s="254">
        <f t="shared" si="15"/>
        <v>3690750</v>
      </c>
      <c r="Z20" s="254">
        <f t="shared" si="15"/>
        <v>0</v>
      </c>
      <c r="AA20" s="254">
        <f t="shared" si="15"/>
        <v>160000</v>
      </c>
      <c r="AB20" s="254">
        <f t="shared" si="15"/>
        <v>0</v>
      </c>
      <c r="AC20" s="254">
        <f t="shared" si="15"/>
        <v>0</v>
      </c>
      <c r="AD20" s="254">
        <f t="shared" si="15"/>
        <v>0</v>
      </c>
      <c r="AE20" s="254">
        <f t="shared" si="15"/>
        <v>0</v>
      </c>
      <c r="AF20" s="254">
        <f t="shared" si="15"/>
        <v>6698581</v>
      </c>
      <c r="AG20" s="254">
        <f t="shared" si="15"/>
        <v>15778109</v>
      </c>
      <c r="AH20" s="254">
        <f t="shared" si="15"/>
        <v>0</v>
      </c>
      <c r="AI20" s="254">
        <f t="shared" si="15"/>
        <v>0</v>
      </c>
      <c r="AJ20" s="254">
        <f t="shared" si="15"/>
        <v>91678600</v>
      </c>
      <c r="AK20" s="254">
        <f t="shared" si="15"/>
        <v>105226678</v>
      </c>
      <c r="AL20" s="254">
        <f t="shared" si="15"/>
        <v>93624680</v>
      </c>
      <c r="AM20" s="254">
        <f t="shared" si="15"/>
        <v>133228385</v>
      </c>
      <c r="AN20" s="254">
        <f t="shared" si="15"/>
        <v>0</v>
      </c>
      <c r="AO20" s="254">
        <f t="shared" si="15"/>
        <v>0</v>
      </c>
      <c r="AP20" s="254">
        <f t="shared" si="15"/>
        <v>8981569</v>
      </c>
      <c r="AQ20" s="254">
        <f t="shared" si="15"/>
        <v>10484010</v>
      </c>
      <c r="AR20" s="254">
        <f t="shared" si="15"/>
        <v>0</v>
      </c>
      <c r="AS20" s="254">
        <f t="shared" si="15"/>
        <v>0</v>
      </c>
      <c r="AT20" s="254">
        <f t="shared" si="15"/>
        <v>0</v>
      </c>
      <c r="AU20" s="254">
        <f t="shared" si="15"/>
        <v>0</v>
      </c>
      <c r="AV20" s="254">
        <f t="shared" si="15"/>
        <v>26400000</v>
      </c>
      <c r="AW20" s="254">
        <f t="shared" si="15"/>
        <v>25563553</v>
      </c>
      <c r="AX20" s="254">
        <f t="shared" si="15"/>
        <v>10000000</v>
      </c>
      <c r="AY20" s="254">
        <f t="shared" si="15"/>
        <v>5000000</v>
      </c>
      <c r="AZ20" s="254">
        <f t="shared" si="15"/>
        <v>25000000</v>
      </c>
      <c r="BA20" s="254">
        <f t="shared" si="15"/>
        <v>22024600</v>
      </c>
      <c r="BB20" s="254">
        <f t="shared" si="15"/>
        <v>298950943</v>
      </c>
      <c r="BC20" s="254">
        <f t="shared" si="15"/>
        <v>294588859</v>
      </c>
      <c r="BD20" s="254">
        <f t="shared" si="15"/>
        <v>43128038</v>
      </c>
      <c r="BE20" s="254">
        <f t="shared" si="15"/>
        <v>46905466</v>
      </c>
      <c r="BF20" s="254">
        <f t="shared" si="15"/>
        <v>51500000</v>
      </c>
      <c r="BG20" s="254">
        <f t="shared" si="15"/>
        <v>29146500</v>
      </c>
      <c r="BH20" s="254">
        <f t="shared" si="15"/>
        <v>8300000</v>
      </c>
      <c r="BI20" s="254">
        <f t="shared" si="15"/>
        <v>15414485</v>
      </c>
      <c r="BJ20" s="254">
        <f t="shared" si="15"/>
        <v>194079193</v>
      </c>
      <c r="BK20" s="254">
        <f t="shared" si="15"/>
        <v>200780446</v>
      </c>
      <c r="BL20" s="254">
        <f t="shared" si="15"/>
        <v>101000000</v>
      </c>
      <c r="BM20" s="254">
        <f t="shared" si="15"/>
        <v>120507757</v>
      </c>
      <c r="BN20" s="254">
        <f t="shared" si="15"/>
        <v>36276653</v>
      </c>
      <c r="BO20" s="254">
        <f t="shared" si="15"/>
        <v>42328926</v>
      </c>
      <c r="BP20" s="254">
        <f t="shared" si="15"/>
        <v>6630000</v>
      </c>
      <c r="BQ20" s="254">
        <f t="shared" ref="BQ20:ED20" si="16">+BQ18+BQ17+BQ16+BQ12+BQ11+BQ10+BQ9+BQ8</f>
        <v>9110000</v>
      </c>
      <c r="BR20" s="254">
        <f t="shared" si="16"/>
        <v>20722250</v>
      </c>
      <c r="BS20" s="254">
        <f t="shared" si="16"/>
        <v>20722250</v>
      </c>
      <c r="BT20" s="254">
        <f t="shared" si="16"/>
        <v>24152000</v>
      </c>
      <c r="BU20" s="254">
        <f t="shared" si="16"/>
        <v>26070347</v>
      </c>
      <c r="BV20" s="254">
        <f t="shared" si="16"/>
        <v>21019300</v>
      </c>
      <c r="BW20" s="254">
        <f t="shared" si="16"/>
        <v>21844800</v>
      </c>
      <c r="BX20" s="254">
        <f t="shared" si="16"/>
        <v>37801077</v>
      </c>
      <c r="BY20" s="254">
        <f t="shared" si="16"/>
        <v>55926327</v>
      </c>
      <c r="BZ20" s="254">
        <f t="shared" si="16"/>
        <v>0</v>
      </c>
      <c r="CA20" s="254">
        <f t="shared" si="16"/>
        <v>0</v>
      </c>
      <c r="CB20" s="254">
        <f t="shared" si="16"/>
        <v>2000000</v>
      </c>
      <c r="CC20" s="254">
        <f t="shared" si="16"/>
        <v>2000000</v>
      </c>
      <c r="CD20" s="254">
        <f t="shared" si="16"/>
        <v>15444500</v>
      </c>
      <c r="CE20" s="254">
        <f t="shared" si="16"/>
        <v>18373000</v>
      </c>
      <c r="CF20" s="254">
        <f t="shared" si="16"/>
        <v>500000</v>
      </c>
      <c r="CG20" s="254">
        <f t="shared" si="16"/>
        <v>500000</v>
      </c>
      <c r="CH20" s="254">
        <f t="shared" si="16"/>
        <v>3465000</v>
      </c>
      <c r="CI20" s="254">
        <f t="shared" si="16"/>
        <v>3665000</v>
      </c>
      <c r="CJ20" s="254">
        <f t="shared" si="16"/>
        <v>16434280</v>
      </c>
      <c r="CK20" s="254">
        <f t="shared" si="16"/>
        <v>16434280</v>
      </c>
      <c r="CL20" s="254">
        <f t="shared" si="16"/>
        <v>40386460</v>
      </c>
      <c r="CM20" s="254">
        <f t="shared" si="16"/>
        <v>46830530</v>
      </c>
      <c r="CN20" s="254">
        <f t="shared" si="16"/>
        <v>1500000</v>
      </c>
      <c r="CO20" s="254">
        <f t="shared" si="16"/>
        <v>1500000</v>
      </c>
      <c r="CP20" s="254">
        <f t="shared" si="16"/>
        <v>2000000</v>
      </c>
      <c r="CQ20" s="254">
        <f t="shared" si="16"/>
        <v>23285331</v>
      </c>
      <c r="CR20" s="254">
        <f t="shared" si="16"/>
        <v>1011638</v>
      </c>
      <c r="CS20" s="254">
        <f t="shared" si="16"/>
        <v>1026838</v>
      </c>
      <c r="CT20" s="254">
        <f t="shared" si="16"/>
        <v>28739662</v>
      </c>
      <c r="CU20" s="254">
        <f t="shared" si="16"/>
        <v>29854678</v>
      </c>
      <c r="CV20" s="254">
        <f t="shared" si="16"/>
        <v>86623342</v>
      </c>
      <c r="CW20" s="254">
        <f t="shared" si="16"/>
        <v>124278882</v>
      </c>
      <c r="CX20" s="254">
        <f t="shared" si="16"/>
        <v>84578100</v>
      </c>
      <c r="CY20" s="254">
        <f t="shared" si="16"/>
        <v>177551943</v>
      </c>
      <c r="CZ20" s="254">
        <f t="shared" si="16"/>
        <v>36686300</v>
      </c>
      <c r="DA20" s="254">
        <f t="shared" si="16"/>
        <v>36946310</v>
      </c>
      <c r="DB20" s="254">
        <f t="shared" si="16"/>
        <v>52794000</v>
      </c>
      <c r="DC20" s="254">
        <f t="shared" si="16"/>
        <v>60826982</v>
      </c>
      <c r="DD20" s="254">
        <f t="shared" si="16"/>
        <v>2000000</v>
      </c>
      <c r="DE20" s="254">
        <f t="shared" si="16"/>
        <v>2018945</v>
      </c>
      <c r="DF20" s="254">
        <f t="shared" si="16"/>
        <v>84939691</v>
      </c>
      <c r="DG20" s="254">
        <f t="shared" si="16"/>
        <v>141037787</v>
      </c>
      <c r="DH20" s="254">
        <f t="shared" si="16"/>
        <v>13000000</v>
      </c>
      <c r="DI20" s="254">
        <f t="shared" si="16"/>
        <v>17768251</v>
      </c>
      <c r="DJ20" s="254">
        <f t="shared" si="16"/>
        <v>24000000</v>
      </c>
      <c r="DK20" s="254">
        <f t="shared" si="16"/>
        <v>24000000</v>
      </c>
      <c r="DL20" s="254">
        <f t="shared" si="16"/>
        <v>2650000</v>
      </c>
      <c r="DM20" s="254">
        <f t="shared" si="16"/>
        <v>2850000</v>
      </c>
      <c r="DN20" s="254">
        <f t="shared" si="16"/>
        <v>500000</v>
      </c>
      <c r="DO20" s="254">
        <f t="shared" si="16"/>
        <v>572000</v>
      </c>
      <c r="DP20" s="254">
        <f t="shared" si="16"/>
        <v>3840000</v>
      </c>
      <c r="DQ20" s="254">
        <f t="shared" si="16"/>
        <v>6174220</v>
      </c>
      <c r="DR20" s="254">
        <f t="shared" si="16"/>
        <v>1200000</v>
      </c>
      <c r="DS20" s="254">
        <f t="shared" si="16"/>
        <v>1200000</v>
      </c>
      <c r="DT20" s="254">
        <f t="shared" si="16"/>
        <v>0</v>
      </c>
      <c r="DU20" s="254">
        <f t="shared" si="16"/>
        <v>0</v>
      </c>
      <c r="DV20" s="254">
        <f t="shared" si="16"/>
        <v>0</v>
      </c>
      <c r="DW20" s="254">
        <f t="shared" si="16"/>
        <v>55649285</v>
      </c>
      <c r="DX20" s="254">
        <f t="shared" si="16"/>
        <v>65000000</v>
      </c>
      <c r="DY20" s="254">
        <f t="shared" si="16"/>
        <v>0</v>
      </c>
      <c r="DZ20" s="254">
        <f>+DZ18+DZ17+DZ16+DZ12+DZ11+DZ10+DZ9+DZ8</f>
        <v>0</v>
      </c>
      <c r="EA20" s="254">
        <f>+EA18+EA17+EA16+EA12+EA11+EA10+EA9+EA8</f>
        <v>7650000</v>
      </c>
      <c r="EB20" s="254">
        <f t="shared" si="16"/>
        <v>508000</v>
      </c>
      <c r="EC20" s="254">
        <f t="shared" si="16"/>
        <v>24965777</v>
      </c>
      <c r="ED20" s="254">
        <f t="shared" si="16"/>
        <v>65000000</v>
      </c>
      <c r="EE20" s="254">
        <f t="shared" ref="EE20:GR20" si="17">+EE18+EE17+EE16+EE12+EE11+EE10+EE9+EE8</f>
        <v>0</v>
      </c>
      <c r="EF20" s="254">
        <f>+EF18+EF17+EF16+EF12+EF11+EF10+EF9+EF8</f>
        <v>0</v>
      </c>
      <c r="EG20" s="254">
        <f>+EG18+EG17+EG16+EG12+EG11+EG10+EG9+EG8</f>
        <v>43969369</v>
      </c>
      <c r="EH20" s="254">
        <f t="shared" si="17"/>
        <v>3700000</v>
      </c>
      <c r="EI20" s="254">
        <f t="shared" si="17"/>
        <v>4080570</v>
      </c>
      <c r="EJ20" s="254">
        <f t="shared" si="17"/>
        <v>2740000</v>
      </c>
      <c r="EK20" s="254">
        <f t="shared" si="17"/>
        <v>2740000</v>
      </c>
      <c r="EL20" s="254">
        <f t="shared" si="17"/>
        <v>7270500</v>
      </c>
      <c r="EM20" s="254">
        <f t="shared" si="17"/>
        <v>7358049</v>
      </c>
      <c r="EN20" s="254">
        <f t="shared" si="17"/>
        <v>2000000</v>
      </c>
      <c r="EO20" s="254">
        <f t="shared" si="17"/>
        <v>2000000</v>
      </c>
      <c r="EP20" s="254">
        <f t="shared" si="17"/>
        <v>8255800</v>
      </c>
      <c r="EQ20" s="254">
        <f t="shared" si="17"/>
        <v>8255800</v>
      </c>
      <c r="ER20" s="254">
        <f t="shared" si="17"/>
        <v>2017360</v>
      </c>
      <c r="ES20" s="254">
        <f t="shared" si="17"/>
        <v>2017360</v>
      </c>
      <c r="ET20" s="254">
        <f t="shared" si="17"/>
        <v>5000000</v>
      </c>
      <c r="EU20" s="254">
        <f t="shared" si="17"/>
        <v>5000000</v>
      </c>
      <c r="EV20" s="254">
        <f t="shared" si="17"/>
        <v>0</v>
      </c>
      <c r="EW20" s="254">
        <f t="shared" si="17"/>
        <v>0</v>
      </c>
      <c r="EX20" s="254">
        <f t="shared" si="17"/>
        <v>0</v>
      </c>
      <c r="EY20" s="254">
        <f t="shared" si="17"/>
        <v>0</v>
      </c>
      <c r="EZ20" s="254">
        <f t="shared" si="17"/>
        <v>0</v>
      </c>
      <c r="FA20" s="254">
        <f t="shared" si="17"/>
        <v>0</v>
      </c>
      <c r="FB20" s="254">
        <f t="shared" si="17"/>
        <v>0</v>
      </c>
      <c r="FC20" s="254">
        <f t="shared" si="17"/>
        <v>0</v>
      </c>
      <c r="FD20" s="254">
        <f t="shared" si="17"/>
        <v>0</v>
      </c>
      <c r="FE20" s="254">
        <f t="shared" si="17"/>
        <v>0</v>
      </c>
      <c r="FF20" s="254">
        <f t="shared" si="17"/>
        <v>897149962</v>
      </c>
      <c r="FG20" s="254">
        <f t="shared" si="17"/>
        <v>1872854738</v>
      </c>
      <c r="FH20" s="254">
        <f t="shared" si="17"/>
        <v>0</v>
      </c>
      <c r="FI20" s="254">
        <f t="shared" si="17"/>
        <v>0</v>
      </c>
      <c r="FJ20" s="254">
        <f t="shared" si="17"/>
        <v>0</v>
      </c>
      <c r="FK20" s="254">
        <f t="shared" si="17"/>
        <v>0</v>
      </c>
      <c r="FL20" s="254">
        <f t="shared" si="17"/>
        <v>3000000</v>
      </c>
      <c r="FM20" s="254">
        <f t="shared" si="17"/>
        <v>12283876</v>
      </c>
      <c r="FN20" s="254">
        <f t="shared" si="17"/>
        <v>0</v>
      </c>
      <c r="FO20" s="254">
        <f t="shared" si="17"/>
        <v>0</v>
      </c>
      <c r="FP20" s="254">
        <f t="shared" si="17"/>
        <v>842991977</v>
      </c>
      <c r="FQ20" s="254">
        <f t="shared" si="17"/>
        <v>914397335</v>
      </c>
      <c r="FR20" s="254">
        <f t="shared" si="17"/>
        <v>0</v>
      </c>
      <c r="FS20" s="254">
        <f t="shared" si="17"/>
        <v>28847471</v>
      </c>
      <c r="FT20" s="254">
        <f t="shared" si="17"/>
        <v>0</v>
      </c>
      <c r="FU20" s="254">
        <f t="shared" si="17"/>
        <v>0</v>
      </c>
      <c r="FV20" s="254">
        <f t="shared" si="17"/>
        <v>0</v>
      </c>
      <c r="FW20" s="254">
        <f t="shared" si="17"/>
        <v>7472477</v>
      </c>
      <c r="FX20" s="254">
        <f t="shared" si="17"/>
        <v>16587470</v>
      </c>
      <c r="FY20" s="254">
        <f t="shared" si="17"/>
        <v>18762617</v>
      </c>
      <c r="FZ20" s="254">
        <f t="shared" si="17"/>
        <v>0</v>
      </c>
      <c r="GA20" s="254">
        <f t="shared" si="17"/>
        <v>0</v>
      </c>
      <c r="GB20" s="254">
        <f t="shared" si="17"/>
        <v>18743098</v>
      </c>
      <c r="GC20" s="254">
        <f t="shared" si="17"/>
        <v>26033900</v>
      </c>
      <c r="GD20" s="254">
        <f t="shared" si="17"/>
        <v>7000000</v>
      </c>
      <c r="GE20" s="254">
        <f t="shared" si="17"/>
        <v>7000000</v>
      </c>
      <c r="GF20" s="254">
        <f t="shared" si="17"/>
        <v>898020658</v>
      </c>
      <c r="GG20" s="254">
        <f t="shared" si="17"/>
        <v>898020658</v>
      </c>
      <c r="GH20" s="254">
        <f t="shared" si="17"/>
        <v>5000000</v>
      </c>
      <c r="GI20" s="254">
        <f t="shared" si="17"/>
        <v>5000000</v>
      </c>
      <c r="GJ20" s="254">
        <f t="shared" si="17"/>
        <v>680238497</v>
      </c>
      <c r="GK20" s="254">
        <f t="shared" si="17"/>
        <v>697946447</v>
      </c>
      <c r="GL20" s="254">
        <f t="shared" si="17"/>
        <v>0</v>
      </c>
      <c r="GM20" s="254">
        <f t="shared" si="17"/>
        <v>10004976</v>
      </c>
      <c r="GN20" s="254">
        <f t="shared" si="17"/>
        <v>0</v>
      </c>
      <c r="GO20" s="254">
        <f t="shared" si="17"/>
        <v>0</v>
      </c>
      <c r="GP20" s="254">
        <f t="shared" si="17"/>
        <v>0</v>
      </c>
      <c r="GQ20" s="254">
        <f t="shared" si="17"/>
        <v>0</v>
      </c>
      <c r="GR20" s="254">
        <f t="shared" si="17"/>
        <v>0</v>
      </c>
      <c r="GS20" s="254">
        <f t="shared" ref="GS20:HY20" si="18">+GS18+GS17+GS16+GS12+GS11+GS10+GS9+GS8</f>
        <v>0</v>
      </c>
      <c r="GT20" s="254">
        <f t="shared" si="18"/>
        <v>497685262</v>
      </c>
      <c r="GU20" s="254">
        <f t="shared" si="18"/>
        <v>492685262</v>
      </c>
      <c r="GV20" s="254">
        <f t="shared" si="18"/>
        <v>0</v>
      </c>
      <c r="GW20" s="254">
        <f t="shared" si="18"/>
        <v>25474644</v>
      </c>
      <c r="GX20" s="254">
        <f t="shared" si="18"/>
        <v>1811551</v>
      </c>
      <c r="GY20" s="254">
        <f t="shared" si="18"/>
        <v>1811551</v>
      </c>
      <c r="GZ20" s="254">
        <f t="shared" si="18"/>
        <v>0</v>
      </c>
      <c r="HA20" s="254">
        <f t="shared" si="18"/>
        <v>0</v>
      </c>
      <c r="HB20" s="254">
        <f t="shared" si="18"/>
        <v>330331</v>
      </c>
      <c r="HC20" s="254">
        <f t="shared" si="18"/>
        <v>330331</v>
      </c>
      <c r="HD20" s="254">
        <f t="shared" si="18"/>
        <v>759054</v>
      </c>
      <c r="HE20" s="254">
        <f t="shared" si="18"/>
        <v>759054</v>
      </c>
      <c r="HF20" s="254">
        <f t="shared" si="18"/>
        <v>7499350</v>
      </c>
      <c r="HG20" s="254">
        <f t="shared" si="18"/>
        <v>49565206</v>
      </c>
      <c r="HH20" s="254">
        <f t="shared" si="18"/>
        <v>0</v>
      </c>
      <c r="HI20" s="254">
        <f t="shared" si="18"/>
        <v>0</v>
      </c>
      <c r="HJ20" s="254">
        <f t="shared" si="18"/>
        <v>48986500</v>
      </c>
      <c r="HK20" s="254">
        <f t="shared" si="18"/>
        <v>48986500</v>
      </c>
      <c r="HL20" s="254">
        <f t="shared" si="18"/>
        <v>0</v>
      </c>
      <c r="HM20" s="254">
        <f t="shared" si="18"/>
        <v>0</v>
      </c>
      <c r="HN20" s="254">
        <f t="shared" si="18"/>
        <v>9000000</v>
      </c>
      <c r="HO20" s="254">
        <f t="shared" si="18"/>
        <v>9000000</v>
      </c>
      <c r="HP20" s="254">
        <f t="shared" si="18"/>
        <v>0</v>
      </c>
      <c r="HQ20" s="254">
        <f t="shared" si="18"/>
        <v>0</v>
      </c>
      <c r="HR20" s="254">
        <f t="shared" si="18"/>
        <v>43997512</v>
      </c>
      <c r="HS20" s="254">
        <f t="shared" si="18"/>
        <v>48997508</v>
      </c>
      <c r="HT20" s="254">
        <f t="shared" si="18"/>
        <v>5000000</v>
      </c>
      <c r="HU20" s="254">
        <f t="shared" si="18"/>
        <v>855604</v>
      </c>
      <c r="HV20" s="254">
        <f t="shared" si="18"/>
        <v>4690164</v>
      </c>
      <c r="HW20" s="254">
        <f t="shared" si="18"/>
        <v>9380167</v>
      </c>
      <c r="HX20" s="254">
        <f t="shared" si="18"/>
        <v>0</v>
      </c>
      <c r="HY20" s="254">
        <f t="shared" si="18"/>
        <v>88545</v>
      </c>
      <c r="HZ20" s="254">
        <f t="shared" ref="HZ20:II20" si="19">+HZ18+HZ17+HZ16+HZ12+HZ11+HZ10+HZ9+HZ8</f>
        <v>0</v>
      </c>
      <c r="IA20" s="254">
        <f t="shared" si="19"/>
        <v>6032500</v>
      </c>
      <c r="IB20" s="254">
        <f t="shared" si="19"/>
        <v>0</v>
      </c>
      <c r="IC20" s="254">
        <f t="shared" si="19"/>
        <v>80000</v>
      </c>
      <c r="ID20" s="254">
        <f t="shared" si="19"/>
        <v>0</v>
      </c>
      <c r="IE20" s="254">
        <f t="shared" si="19"/>
        <v>124164200</v>
      </c>
      <c r="IF20" s="254">
        <f t="shared" si="19"/>
        <v>0</v>
      </c>
      <c r="IG20" s="254">
        <f t="shared" si="19"/>
        <v>10007500</v>
      </c>
      <c r="IH20" s="254">
        <f t="shared" si="19"/>
        <v>0</v>
      </c>
      <c r="II20" s="254">
        <f t="shared" si="19"/>
        <v>0</v>
      </c>
      <c r="IJ20" s="229">
        <v>4468838372</v>
      </c>
      <c r="IK20" s="230" t="e">
        <f>+IK19+IK18</f>
        <v>#REF!</v>
      </c>
    </row>
    <row r="21" spans="1:245" s="229" customFormat="1" ht="21.75" customHeight="1" x14ac:dyDescent="0.25">
      <c r="A21" s="222" t="s">
        <v>233</v>
      </c>
      <c r="B21" s="235" t="s">
        <v>227</v>
      </c>
      <c r="C21" s="224" t="s">
        <v>223</v>
      </c>
      <c r="D21" s="243">
        <f>+D22+D23+D24+D25+D26</f>
        <v>0</v>
      </c>
      <c r="E21" s="243">
        <f t="shared" ref="E21:BP21" si="20">+E22+E23+E24+E25+E26</f>
        <v>0</v>
      </c>
      <c r="F21" s="243">
        <f>+F22+F23+F24+F25+F26</f>
        <v>0</v>
      </c>
      <c r="G21" s="243">
        <f t="shared" si="20"/>
        <v>0</v>
      </c>
      <c r="H21" s="243">
        <f t="shared" si="20"/>
        <v>0</v>
      </c>
      <c r="I21" s="243">
        <f t="shared" si="20"/>
        <v>0</v>
      </c>
      <c r="J21" s="243">
        <f t="shared" si="20"/>
        <v>0</v>
      </c>
      <c r="K21" s="243">
        <f t="shared" si="20"/>
        <v>0</v>
      </c>
      <c r="L21" s="243">
        <f t="shared" si="20"/>
        <v>0</v>
      </c>
      <c r="M21" s="243">
        <f t="shared" si="20"/>
        <v>0</v>
      </c>
      <c r="N21" s="243">
        <f t="shared" si="20"/>
        <v>0</v>
      </c>
      <c r="O21" s="243">
        <f t="shared" si="20"/>
        <v>0</v>
      </c>
      <c r="P21" s="243">
        <f t="shared" si="20"/>
        <v>0</v>
      </c>
      <c r="Q21" s="243">
        <f t="shared" si="20"/>
        <v>0</v>
      </c>
      <c r="R21" s="243">
        <f t="shared" si="20"/>
        <v>0</v>
      </c>
      <c r="S21" s="243">
        <f t="shared" si="20"/>
        <v>0</v>
      </c>
      <c r="T21" s="243">
        <f t="shared" si="20"/>
        <v>0</v>
      </c>
      <c r="U21" s="243">
        <f t="shared" si="20"/>
        <v>0</v>
      </c>
      <c r="V21" s="243">
        <f t="shared" si="20"/>
        <v>0</v>
      </c>
      <c r="W21" s="243">
        <f t="shared" si="20"/>
        <v>0</v>
      </c>
      <c r="X21" s="243">
        <f t="shared" si="20"/>
        <v>0</v>
      </c>
      <c r="Y21" s="243">
        <f t="shared" si="20"/>
        <v>0</v>
      </c>
      <c r="Z21" s="243">
        <f t="shared" si="20"/>
        <v>0</v>
      </c>
      <c r="AA21" s="243">
        <f t="shared" si="20"/>
        <v>0</v>
      </c>
      <c r="AB21" s="243">
        <f t="shared" si="20"/>
        <v>0</v>
      </c>
      <c r="AC21" s="243">
        <f t="shared" si="20"/>
        <v>0</v>
      </c>
      <c r="AD21" s="243">
        <f t="shared" si="20"/>
        <v>0</v>
      </c>
      <c r="AE21" s="243">
        <f t="shared" si="20"/>
        <v>0</v>
      </c>
      <c r="AF21" s="243">
        <f t="shared" si="20"/>
        <v>0</v>
      </c>
      <c r="AG21" s="243">
        <f t="shared" si="20"/>
        <v>0</v>
      </c>
      <c r="AH21" s="243">
        <f t="shared" si="20"/>
        <v>0</v>
      </c>
      <c r="AI21" s="243">
        <f t="shared" si="20"/>
        <v>0</v>
      </c>
      <c r="AJ21" s="243">
        <f t="shared" si="20"/>
        <v>0</v>
      </c>
      <c r="AK21" s="243">
        <f t="shared" si="20"/>
        <v>0</v>
      </c>
      <c r="AL21" s="243">
        <f t="shared" si="20"/>
        <v>0</v>
      </c>
      <c r="AM21" s="243">
        <f t="shared" si="20"/>
        <v>0</v>
      </c>
      <c r="AN21" s="243">
        <f t="shared" si="20"/>
        <v>0</v>
      </c>
      <c r="AO21" s="243">
        <f t="shared" si="20"/>
        <v>0</v>
      </c>
      <c r="AP21" s="243">
        <f t="shared" si="20"/>
        <v>0</v>
      </c>
      <c r="AQ21" s="243">
        <f t="shared" si="20"/>
        <v>0</v>
      </c>
      <c r="AR21" s="243">
        <f t="shared" si="20"/>
        <v>0</v>
      </c>
      <c r="AS21" s="243">
        <f t="shared" si="20"/>
        <v>0</v>
      </c>
      <c r="AT21" s="243">
        <f t="shared" si="20"/>
        <v>0</v>
      </c>
      <c r="AU21" s="243">
        <f t="shared" si="20"/>
        <v>0</v>
      </c>
      <c r="AV21" s="243">
        <f t="shared" si="20"/>
        <v>0</v>
      </c>
      <c r="AW21" s="243">
        <f t="shared" si="20"/>
        <v>0</v>
      </c>
      <c r="AX21" s="243">
        <f t="shared" si="20"/>
        <v>0</v>
      </c>
      <c r="AY21" s="243">
        <f t="shared" si="20"/>
        <v>0</v>
      </c>
      <c r="AZ21" s="243">
        <f t="shared" si="20"/>
        <v>0</v>
      </c>
      <c r="BA21" s="243">
        <f t="shared" si="20"/>
        <v>0</v>
      </c>
      <c r="BB21" s="243">
        <f t="shared" si="20"/>
        <v>0</v>
      </c>
      <c r="BC21" s="243">
        <f t="shared" si="20"/>
        <v>0</v>
      </c>
      <c r="BD21" s="243">
        <f t="shared" si="20"/>
        <v>0</v>
      </c>
      <c r="BE21" s="243">
        <f t="shared" si="20"/>
        <v>0</v>
      </c>
      <c r="BF21" s="243">
        <f t="shared" si="20"/>
        <v>0</v>
      </c>
      <c r="BG21" s="243">
        <f t="shared" si="20"/>
        <v>0</v>
      </c>
      <c r="BH21" s="243">
        <f t="shared" si="20"/>
        <v>0</v>
      </c>
      <c r="BI21" s="243">
        <f t="shared" si="20"/>
        <v>0</v>
      </c>
      <c r="BJ21" s="243">
        <f t="shared" si="20"/>
        <v>0</v>
      </c>
      <c r="BK21" s="243">
        <f t="shared" si="20"/>
        <v>0</v>
      </c>
      <c r="BL21" s="243">
        <f t="shared" si="20"/>
        <v>0</v>
      </c>
      <c r="BM21" s="243">
        <f t="shared" si="20"/>
        <v>0</v>
      </c>
      <c r="BN21" s="243">
        <f t="shared" si="20"/>
        <v>0</v>
      </c>
      <c r="BO21" s="243">
        <f t="shared" si="20"/>
        <v>0</v>
      </c>
      <c r="BP21" s="243">
        <f t="shared" si="20"/>
        <v>0</v>
      </c>
      <c r="BQ21" s="243">
        <f t="shared" ref="BQ21:ED21" si="21">+BQ22+BQ23+BQ24+BQ25+BQ26</f>
        <v>0</v>
      </c>
      <c r="BR21" s="243">
        <f t="shared" si="21"/>
        <v>0</v>
      </c>
      <c r="BS21" s="243">
        <f t="shared" si="21"/>
        <v>0</v>
      </c>
      <c r="BT21" s="243">
        <f t="shared" si="21"/>
        <v>0</v>
      </c>
      <c r="BU21" s="243">
        <f t="shared" si="21"/>
        <v>0</v>
      </c>
      <c r="BV21" s="243">
        <f t="shared" si="21"/>
        <v>0</v>
      </c>
      <c r="BW21" s="243">
        <f t="shared" si="21"/>
        <v>0</v>
      </c>
      <c r="BX21" s="243">
        <f t="shared" si="21"/>
        <v>0</v>
      </c>
      <c r="BY21" s="243">
        <f t="shared" si="21"/>
        <v>0</v>
      </c>
      <c r="BZ21" s="243">
        <f t="shared" si="21"/>
        <v>0</v>
      </c>
      <c r="CA21" s="243">
        <f t="shared" si="21"/>
        <v>0</v>
      </c>
      <c r="CB21" s="243">
        <f t="shared" si="21"/>
        <v>0</v>
      </c>
      <c r="CC21" s="243">
        <f t="shared" si="21"/>
        <v>0</v>
      </c>
      <c r="CD21" s="243">
        <f t="shared" si="21"/>
        <v>0</v>
      </c>
      <c r="CE21" s="243">
        <f t="shared" si="21"/>
        <v>0</v>
      </c>
      <c r="CF21" s="243">
        <f t="shared" si="21"/>
        <v>0</v>
      </c>
      <c r="CG21" s="243">
        <f t="shared" si="21"/>
        <v>0</v>
      </c>
      <c r="CH21" s="243">
        <f t="shared" si="21"/>
        <v>0</v>
      </c>
      <c r="CI21" s="243">
        <f t="shared" si="21"/>
        <v>0</v>
      </c>
      <c r="CJ21" s="243">
        <f t="shared" si="21"/>
        <v>0</v>
      </c>
      <c r="CK21" s="243">
        <f t="shared" si="21"/>
        <v>0</v>
      </c>
      <c r="CL21" s="243">
        <f t="shared" si="21"/>
        <v>0</v>
      </c>
      <c r="CM21" s="243">
        <f t="shared" si="21"/>
        <v>0</v>
      </c>
      <c r="CN21" s="243">
        <f t="shared" si="21"/>
        <v>0</v>
      </c>
      <c r="CO21" s="243">
        <f t="shared" si="21"/>
        <v>0</v>
      </c>
      <c r="CP21" s="243">
        <f t="shared" si="21"/>
        <v>0</v>
      </c>
      <c r="CQ21" s="243">
        <f t="shared" si="21"/>
        <v>0</v>
      </c>
      <c r="CR21" s="243">
        <f t="shared" si="21"/>
        <v>0</v>
      </c>
      <c r="CS21" s="243">
        <f t="shared" si="21"/>
        <v>0</v>
      </c>
      <c r="CT21" s="243">
        <f t="shared" si="21"/>
        <v>0</v>
      </c>
      <c r="CU21" s="243">
        <f t="shared" si="21"/>
        <v>0</v>
      </c>
      <c r="CV21" s="243">
        <f t="shared" si="21"/>
        <v>0</v>
      </c>
      <c r="CW21" s="243">
        <f t="shared" si="21"/>
        <v>0</v>
      </c>
      <c r="CX21" s="243">
        <f t="shared" si="21"/>
        <v>0</v>
      </c>
      <c r="CY21" s="243">
        <f t="shared" si="21"/>
        <v>0</v>
      </c>
      <c r="CZ21" s="243">
        <f t="shared" si="21"/>
        <v>0</v>
      </c>
      <c r="DA21" s="243">
        <f t="shared" si="21"/>
        <v>0</v>
      </c>
      <c r="DB21" s="243">
        <f t="shared" si="21"/>
        <v>0</v>
      </c>
      <c r="DC21" s="243">
        <f t="shared" si="21"/>
        <v>0</v>
      </c>
      <c r="DD21" s="243">
        <f t="shared" si="21"/>
        <v>0</v>
      </c>
      <c r="DE21" s="243">
        <f t="shared" si="21"/>
        <v>0</v>
      </c>
      <c r="DF21" s="243">
        <f t="shared" si="21"/>
        <v>0</v>
      </c>
      <c r="DG21" s="243">
        <f t="shared" si="21"/>
        <v>0</v>
      </c>
      <c r="DH21" s="243">
        <f t="shared" si="21"/>
        <v>0</v>
      </c>
      <c r="DI21" s="243">
        <f t="shared" si="21"/>
        <v>0</v>
      </c>
      <c r="DJ21" s="243">
        <f t="shared" si="21"/>
        <v>0</v>
      </c>
      <c r="DK21" s="243">
        <f t="shared" si="21"/>
        <v>0</v>
      </c>
      <c r="DL21" s="243">
        <f t="shared" si="21"/>
        <v>0</v>
      </c>
      <c r="DM21" s="243">
        <f t="shared" si="21"/>
        <v>0</v>
      </c>
      <c r="DN21" s="243">
        <f t="shared" si="21"/>
        <v>0</v>
      </c>
      <c r="DO21" s="243">
        <f t="shared" si="21"/>
        <v>0</v>
      </c>
      <c r="DP21" s="243">
        <f t="shared" si="21"/>
        <v>0</v>
      </c>
      <c r="DQ21" s="243">
        <f t="shared" si="21"/>
        <v>0</v>
      </c>
      <c r="DR21" s="243">
        <f t="shared" si="21"/>
        <v>0</v>
      </c>
      <c r="DS21" s="243">
        <f t="shared" si="21"/>
        <v>0</v>
      </c>
      <c r="DT21" s="243">
        <f t="shared" si="21"/>
        <v>0</v>
      </c>
      <c r="DU21" s="243">
        <f t="shared" si="21"/>
        <v>0</v>
      </c>
      <c r="DV21" s="243">
        <f t="shared" si="21"/>
        <v>0</v>
      </c>
      <c r="DW21" s="243">
        <f t="shared" si="21"/>
        <v>0</v>
      </c>
      <c r="DX21" s="243">
        <f t="shared" si="21"/>
        <v>0</v>
      </c>
      <c r="DY21" s="243">
        <f t="shared" si="21"/>
        <v>0</v>
      </c>
      <c r="DZ21" s="243">
        <f>+DZ22+DZ23+DZ24+DZ25+DZ26</f>
        <v>0</v>
      </c>
      <c r="EA21" s="243">
        <f>+EA22+EA23+EA24+EA25+EA26</f>
        <v>0</v>
      </c>
      <c r="EB21" s="243">
        <f t="shared" si="21"/>
        <v>0</v>
      </c>
      <c r="EC21" s="243">
        <f t="shared" si="21"/>
        <v>0</v>
      </c>
      <c r="ED21" s="243">
        <f t="shared" si="21"/>
        <v>0</v>
      </c>
      <c r="EE21" s="243">
        <f t="shared" ref="EE21:GR21" si="22">+EE22+EE23+EE24+EE25+EE26</f>
        <v>0</v>
      </c>
      <c r="EF21" s="243">
        <f>+EF22+EF23+EF24+EF25+EF26</f>
        <v>0</v>
      </c>
      <c r="EG21" s="243">
        <f>+EG22+EG23+EG24+EG25+EG26</f>
        <v>0</v>
      </c>
      <c r="EH21" s="243">
        <f t="shared" si="22"/>
        <v>0</v>
      </c>
      <c r="EI21" s="243">
        <f t="shared" si="22"/>
        <v>0</v>
      </c>
      <c r="EJ21" s="243">
        <f t="shared" si="22"/>
        <v>0</v>
      </c>
      <c r="EK21" s="243">
        <f t="shared" si="22"/>
        <v>0</v>
      </c>
      <c r="EL21" s="243">
        <f t="shared" si="22"/>
        <v>0</v>
      </c>
      <c r="EM21" s="243">
        <f t="shared" si="22"/>
        <v>0</v>
      </c>
      <c r="EN21" s="243">
        <f t="shared" si="22"/>
        <v>0</v>
      </c>
      <c r="EO21" s="243">
        <f t="shared" si="22"/>
        <v>0</v>
      </c>
      <c r="EP21" s="243">
        <f t="shared" si="22"/>
        <v>0</v>
      </c>
      <c r="EQ21" s="243">
        <f t="shared" si="22"/>
        <v>0</v>
      </c>
      <c r="ER21" s="243">
        <f t="shared" si="22"/>
        <v>0</v>
      </c>
      <c r="ES21" s="243">
        <f t="shared" si="22"/>
        <v>0</v>
      </c>
      <c r="ET21" s="243">
        <f t="shared" si="22"/>
        <v>0</v>
      </c>
      <c r="EU21" s="243">
        <f t="shared" si="22"/>
        <v>0</v>
      </c>
      <c r="EV21" s="243">
        <f t="shared" si="22"/>
        <v>0</v>
      </c>
      <c r="EW21" s="243">
        <f t="shared" si="22"/>
        <v>0</v>
      </c>
      <c r="EX21" s="243">
        <f t="shared" si="22"/>
        <v>0</v>
      </c>
      <c r="EY21" s="243">
        <f t="shared" si="22"/>
        <v>0</v>
      </c>
      <c r="EZ21" s="243">
        <f t="shared" si="22"/>
        <v>0</v>
      </c>
      <c r="FA21" s="243">
        <f t="shared" si="22"/>
        <v>0</v>
      </c>
      <c r="FB21" s="243">
        <f t="shared" si="22"/>
        <v>0</v>
      </c>
      <c r="FC21" s="243">
        <f t="shared" si="22"/>
        <v>0</v>
      </c>
      <c r="FD21" s="243">
        <f t="shared" si="22"/>
        <v>0</v>
      </c>
      <c r="FE21" s="243">
        <f t="shared" si="22"/>
        <v>0</v>
      </c>
      <c r="FF21" s="243">
        <f t="shared" si="22"/>
        <v>0</v>
      </c>
      <c r="FG21" s="243">
        <f t="shared" si="22"/>
        <v>0</v>
      </c>
      <c r="FH21" s="243">
        <f t="shared" si="22"/>
        <v>3575792043</v>
      </c>
      <c r="FI21" s="243">
        <f>+FI22+FI23+FI24+FI25+FI26</f>
        <v>3784748279</v>
      </c>
      <c r="FJ21" s="243">
        <f t="shared" si="22"/>
        <v>0</v>
      </c>
      <c r="FK21" s="243">
        <f t="shared" si="22"/>
        <v>0</v>
      </c>
      <c r="FL21" s="243">
        <f t="shared" si="22"/>
        <v>0</v>
      </c>
      <c r="FM21" s="243">
        <f t="shared" si="22"/>
        <v>0</v>
      </c>
      <c r="FN21" s="243">
        <f t="shared" si="22"/>
        <v>0</v>
      </c>
      <c r="FO21" s="243">
        <f t="shared" si="22"/>
        <v>0</v>
      </c>
      <c r="FP21" s="243">
        <f t="shared" si="22"/>
        <v>0</v>
      </c>
      <c r="FQ21" s="243">
        <f t="shared" si="22"/>
        <v>0</v>
      </c>
      <c r="FR21" s="243">
        <f t="shared" si="22"/>
        <v>0</v>
      </c>
      <c r="FS21" s="243">
        <f t="shared" si="22"/>
        <v>0</v>
      </c>
      <c r="FT21" s="243">
        <f t="shared" si="22"/>
        <v>0</v>
      </c>
      <c r="FU21" s="243">
        <f t="shared" si="22"/>
        <v>0</v>
      </c>
      <c r="FV21" s="243">
        <f t="shared" si="22"/>
        <v>0</v>
      </c>
      <c r="FW21" s="243">
        <f t="shared" si="22"/>
        <v>0</v>
      </c>
      <c r="FX21" s="243">
        <f t="shared" si="22"/>
        <v>0</v>
      </c>
      <c r="FY21" s="243">
        <f t="shared" si="22"/>
        <v>0</v>
      </c>
      <c r="FZ21" s="243">
        <f t="shared" si="22"/>
        <v>0</v>
      </c>
      <c r="GA21" s="243">
        <f t="shared" si="22"/>
        <v>0</v>
      </c>
      <c r="GB21" s="243">
        <f t="shared" si="22"/>
        <v>0</v>
      </c>
      <c r="GC21" s="243">
        <f t="shared" si="22"/>
        <v>0</v>
      </c>
      <c r="GD21" s="243">
        <f t="shared" si="22"/>
        <v>0</v>
      </c>
      <c r="GE21" s="243">
        <f t="shared" si="22"/>
        <v>0</v>
      </c>
      <c r="GF21" s="243">
        <f t="shared" si="22"/>
        <v>0</v>
      </c>
      <c r="GG21" s="243">
        <f t="shared" si="22"/>
        <v>0</v>
      </c>
      <c r="GH21" s="243">
        <f t="shared" si="22"/>
        <v>0</v>
      </c>
      <c r="GI21" s="243">
        <f t="shared" si="22"/>
        <v>0</v>
      </c>
      <c r="GJ21" s="243">
        <f t="shared" si="22"/>
        <v>0</v>
      </c>
      <c r="GK21" s="243">
        <f t="shared" si="22"/>
        <v>0</v>
      </c>
      <c r="GL21" s="243">
        <f t="shared" si="22"/>
        <v>0</v>
      </c>
      <c r="GM21" s="243">
        <f t="shared" si="22"/>
        <v>0</v>
      </c>
      <c r="GN21" s="243">
        <f t="shared" si="22"/>
        <v>0</v>
      </c>
      <c r="GO21" s="243">
        <f t="shared" si="22"/>
        <v>0</v>
      </c>
      <c r="GP21" s="243">
        <f t="shared" si="22"/>
        <v>0</v>
      </c>
      <c r="GQ21" s="243">
        <f t="shared" si="22"/>
        <v>0</v>
      </c>
      <c r="GR21" s="243">
        <f t="shared" si="22"/>
        <v>0</v>
      </c>
      <c r="GS21" s="243">
        <f t="shared" ref="GS21:HY21" si="23">+GS22+GS23+GS24+GS25+GS26</f>
        <v>0</v>
      </c>
      <c r="GT21" s="243">
        <f t="shared" si="23"/>
        <v>0</v>
      </c>
      <c r="GU21" s="243">
        <f t="shared" si="23"/>
        <v>0</v>
      </c>
      <c r="GV21" s="243">
        <f t="shared" si="23"/>
        <v>0</v>
      </c>
      <c r="GW21" s="243">
        <f t="shared" si="23"/>
        <v>0</v>
      </c>
      <c r="GX21" s="243">
        <f t="shared" si="23"/>
        <v>0</v>
      </c>
      <c r="GY21" s="243">
        <f t="shared" si="23"/>
        <v>0</v>
      </c>
      <c r="GZ21" s="243">
        <f t="shared" si="23"/>
        <v>0</v>
      </c>
      <c r="HA21" s="243">
        <f t="shared" si="23"/>
        <v>0</v>
      </c>
      <c r="HB21" s="243">
        <f t="shared" si="23"/>
        <v>0</v>
      </c>
      <c r="HC21" s="243">
        <f t="shared" si="23"/>
        <v>0</v>
      </c>
      <c r="HD21" s="243">
        <f t="shared" si="23"/>
        <v>0</v>
      </c>
      <c r="HE21" s="243">
        <f t="shared" si="23"/>
        <v>0</v>
      </c>
      <c r="HF21" s="243">
        <f t="shared" si="23"/>
        <v>0</v>
      </c>
      <c r="HG21" s="243">
        <f t="shared" si="23"/>
        <v>0</v>
      </c>
      <c r="HH21" s="243">
        <f t="shared" si="23"/>
        <v>0</v>
      </c>
      <c r="HI21" s="243">
        <f t="shared" si="23"/>
        <v>0</v>
      </c>
      <c r="HJ21" s="243">
        <f t="shared" si="23"/>
        <v>0</v>
      </c>
      <c r="HK21" s="243">
        <f t="shared" si="23"/>
        <v>0</v>
      </c>
      <c r="HL21" s="243">
        <f t="shared" si="23"/>
        <v>0</v>
      </c>
      <c r="HM21" s="243">
        <f t="shared" si="23"/>
        <v>0</v>
      </c>
      <c r="HN21" s="243">
        <f t="shared" si="23"/>
        <v>0</v>
      </c>
      <c r="HO21" s="243">
        <f t="shared" si="23"/>
        <v>0</v>
      </c>
      <c r="HP21" s="243">
        <f t="shared" si="23"/>
        <v>0</v>
      </c>
      <c r="HQ21" s="243">
        <f t="shared" si="23"/>
        <v>0</v>
      </c>
      <c r="HR21" s="243">
        <f t="shared" si="23"/>
        <v>0</v>
      </c>
      <c r="HS21" s="243">
        <f t="shared" si="23"/>
        <v>0</v>
      </c>
      <c r="HT21" s="243">
        <f t="shared" si="23"/>
        <v>0</v>
      </c>
      <c r="HU21" s="243">
        <f t="shared" si="23"/>
        <v>0</v>
      </c>
      <c r="HV21" s="243">
        <f t="shared" si="23"/>
        <v>0</v>
      </c>
      <c r="HW21" s="243">
        <f t="shared" si="23"/>
        <v>0</v>
      </c>
      <c r="HX21" s="243">
        <f t="shared" si="23"/>
        <v>0</v>
      </c>
      <c r="HY21" s="243">
        <f t="shared" si="23"/>
        <v>0</v>
      </c>
      <c r="HZ21" s="243">
        <f t="shared" ref="HZ21:II21" si="24">+HZ22+HZ23+HZ24+HZ25+HZ26</f>
        <v>0</v>
      </c>
      <c r="IA21" s="243">
        <f t="shared" si="24"/>
        <v>0</v>
      </c>
      <c r="IB21" s="243">
        <f t="shared" si="24"/>
        <v>0</v>
      </c>
      <c r="IC21" s="243">
        <f t="shared" si="24"/>
        <v>0</v>
      </c>
      <c r="ID21" s="243">
        <f t="shared" si="24"/>
        <v>0</v>
      </c>
      <c r="IE21" s="243">
        <f t="shared" si="24"/>
        <v>0</v>
      </c>
      <c r="IF21" s="243">
        <f t="shared" si="24"/>
        <v>0</v>
      </c>
      <c r="IG21" s="243">
        <f t="shared" si="24"/>
        <v>0</v>
      </c>
      <c r="IH21" s="243">
        <f t="shared" si="24"/>
        <v>0</v>
      </c>
      <c r="II21" s="243">
        <f t="shared" si="24"/>
        <v>0</v>
      </c>
      <c r="IJ21" s="230" t="e">
        <f>+IJ20-#REF!</f>
        <v>#REF!</v>
      </c>
    </row>
    <row r="22" spans="1:245" s="237" customFormat="1" ht="21.75" customHeight="1" x14ac:dyDescent="0.25">
      <c r="A22" s="222" t="s">
        <v>234</v>
      </c>
      <c r="B22" s="236" t="s">
        <v>182</v>
      </c>
      <c r="C22" s="233"/>
      <c r="D22" s="253"/>
      <c r="E22" s="253"/>
      <c r="F22" s="253"/>
      <c r="G22" s="253"/>
      <c r="H22" s="253"/>
      <c r="I22" s="253"/>
      <c r="J22" s="253"/>
      <c r="K22" s="253"/>
      <c r="L22" s="253"/>
      <c r="M22" s="253"/>
      <c r="N22" s="253"/>
      <c r="O22" s="253"/>
      <c r="P22" s="253"/>
      <c r="Q22" s="253"/>
      <c r="R22" s="253"/>
      <c r="S22" s="253"/>
      <c r="T22" s="253"/>
      <c r="U22" s="253"/>
      <c r="V22" s="264"/>
      <c r="W22" s="264"/>
      <c r="X22" s="264"/>
      <c r="Y22" s="264"/>
      <c r="Z22" s="264"/>
      <c r="AA22" s="264"/>
      <c r="AB22" s="264"/>
      <c r="AC22" s="264"/>
      <c r="AD22" s="264"/>
      <c r="AE22" s="264"/>
      <c r="AF22" s="264"/>
      <c r="AG22" s="264"/>
      <c r="AH22" s="264"/>
      <c r="AI22" s="264"/>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64"/>
      <c r="CA22" s="264"/>
      <c r="CB22" s="253"/>
      <c r="CC22" s="253"/>
      <c r="CD22" s="253"/>
      <c r="CE22" s="253"/>
      <c r="CF22" s="253"/>
      <c r="CG22" s="253"/>
      <c r="CH22" s="253"/>
      <c r="CI22" s="253"/>
      <c r="CJ22" s="260"/>
      <c r="CK22" s="260"/>
      <c r="CL22" s="253"/>
      <c r="CM22" s="253"/>
      <c r="CN22" s="253"/>
      <c r="CO22" s="253"/>
      <c r="CP22" s="253"/>
      <c r="CQ22" s="253"/>
      <c r="CR22" s="253"/>
      <c r="CS22" s="253"/>
      <c r="CT22" s="253"/>
      <c r="CU22" s="253"/>
      <c r="CV22" s="253"/>
      <c r="CW22" s="253"/>
      <c r="CX22" s="253"/>
      <c r="CY22" s="253"/>
      <c r="CZ22" s="253"/>
      <c r="DA22" s="253"/>
      <c r="DB22" s="253"/>
      <c r="DC22" s="253"/>
      <c r="DD22" s="253"/>
      <c r="DE22" s="253"/>
      <c r="DF22" s="264"/>
      <c r="DG22" s="264"/>
      <c r="DH22" s="264"/>
      <c r="DI22" s="264"/>
      <c r="DJ22" s="253"/>
      <c r="DK22" s="253"/>
      <c r="DL22" s="253"/>
      <c r="DM22" s="253"/>
      <c r="DN22" s="253"/>
      <c r="DO22" s="253"/>
      <c r="DP22" s="253"/>
      <c r="DQ22" s="253"/>
      <c r="DR22" s="253"/>
      <c r="DS22" s="253"/>
      <c r="DT22" s="253"/>
      <c r="DU22" s="253"/>
      <c r="DV22" s="253"/>
      <c r="DW22" s="253"/>
      <c r="DX22" s="253"/>
      <c r="DY22" s="253"/>
      <c r="DZ22" s="253"/>
      <c r="EA22" s="253"/>
      <c r="EB22" s="253"/>
      <c r="EC22" s="253"/>
      <c r="ED22" s="253"/>
      <c r="EE22" s="253"/>
      <c r="EF22" s="253"/>
      <c r="EG22" s="253"/>
      <c r="EH22" s="253"/>
      <c r="EI22" s="253"/>
      <c r="EJ22" s="253"/>
      <c r="EK22" s="253"/>
      <c r="EL22" s="253"/>
      <c r="EM22" s="253"/>
      <c r="EN22" s="253"/>
      <c r="EO22" s="253"/>
      <c r="EP22" s="253"/>
      <c r="EQ22" s="253"/>
      <c r="ER22" s="253"/>
      <c r="ES22" s="253"/>
      <c r="ET22" s="253"/>
      <c r="EU22" s="253"/>
      <c r="EV22" s="253"/>
      <c r="EW22" s="253"/>
      <c r="EX22" s="253"/>
      <c r="EY22" s="253"/>
      <c r="EZ22" s="253"/>
      <c r="FA22" s="253"/>
      <c r="FB22" s="253"/>
      <c r="FC22" s="253"/>
      <c r="FD22" s="253"/>
      <c r="FE22" s="253"/>
      <c r="FF22" s="253"/>
      <c r="FG22" s="253"/>
      <c r="FH22" s="260"/>
      <c r="FI22" s="260"/>
      <c r="FJ22" s="260"/>
      <c r="FK22" s="260"/>
      <c r="FL22" s="253"/>
      <c r="FM22" s="253"/>
      <c r="FN22" s="253"/>
      <c r="FO22" s="253"/>
      <c r="FP22" s="260"/>
      <c r="FQ22" s="260"/>
      <c r="FR22" s="253"/>
      <c r="FS22" s="253"/>
      <c r="FT22" s="253"/>
      <c r="FU22" s="253"/>
      <c r="FV22" s="253"/>
      <c r="FW22" s="253"/>
      <c r="FX22" s="253"/>
      <c r="FY22" s="253"/>
      <c r="FZ22" s="253"/>
      <c r="GA22" s="253"/>
      <c r="GB22" s="253"/>
      <c r="GC22" s="253"/>
      <c r="GD22" s="253"/>
      <c r="GE22" s="253"/>
      <c r="GF22" s="264"/>
      <c r="GG22" s="264"/>
      <c r="GH22" s="264"/>
      <c r="GI22" s="264"/>
      <c r="GJ22" s="264"/>
      <c r="GK22" s="264"/>
      <c r="GL22" s="264"/>
      <c r="GM22" s="264"/>
      <c r="GN22" s="264"/>
      <c r="GO22" s="264"/>
      <c r="GP22" s="264"/>
      <c r="GQ22" s="264"/>
      <c r="GR22" s="264"/>
      <c r="GS22" s="264"/>
      <c r="GT22" s="264"/>
      <c r="GU22" s="264"/>
      <c r="GV22" s="264"/>
      <c r="GW22" s="264"/>
      <c r="GX22" s="264"/>
      <c r="GY22" s="264"/>
      <c r="GZ22" s="253"/>
      <c r="HA22" s="253"/>
      <c r="HB22" s="253"/>
      <c r="HC22" s="253"/>
      <c r="HD22" s="253"/>
      <c r="HE22" s="253"/>
      <c r="HF22" s="253"/>
      <c r="HG22" s="253"/>
      <c r="HH22" s="253"/>
      <c r="HI22" s="253"/>
      <c r="HJ22" s="253"/>
      <c r="HK22" s="253"/>
      <c r="HL22" s="253"/>
      <c r="HM22" s="253"/>
      <c r="HN22" s="253"/>
      <c r="HO22" s="253"/>
      <c r="HP22" s="253"/>
      <c r="HQ22" s="253"/>
      <c r="HR22" s="253"/>
      <c r="HS22" s="253"/>
      <c r="HT22" s="253"/>
      <c r="HU22" s="253"/>
      <c r="HV22" s="253"/>
      <c r="HW22" s="253"/>
      <c r="HX22" s="253"/>
      <c r="HY22" s="253"/>
      <c r="HZ22" s="253"/>
      <c r="IA22" s="253"/>
      <c r="IB22" s="253"/>
      <c r="IC22" s="253"/>
      <c r="ID22" s="253"/>
      <c r="IE22" s="253"/>
      <c r="IF22" s="253"/>
      <c r="IG22" s="253"/>
      <c r="IH22" s="253"/>
      <c r="II22" s="253"/>
    </row>
    <row r="23" spans="1:245" s="237" customFormat="1" ht="21.75" customHeight="1" x14ac:dyDescent="0.25">
      <c r="A23" s="222" t="s">
        <v>235</v>
      </c>
      <c r="B23" s="236" t="s">
        <v>569</v>
      </c>
      <c r="C23" s="233"/>
      <c r="D23" s="253"/>
      <c r="E23" s="253"/>
      <c r="F23" s="253"/>
      <c r="G23" s="253"/>
      <c r="H23" s="253"/>
      <c r="I23" s="253"/>
      <c r="J23" s="253"/>
      <c r="K23" s="253"/>
      <c r="L23" s="253"/>
      <c r="M23" s="253"/>
      <c r="N23" s="253"/>
      <c r="O23" s="253"/>
      <c r="P23" s="253"/>
      <c r="Q23" s="253"/>
      <c r="R23" s="253"/>
      <c r="S23" s="253"/>
      <c r="T23" s="253"/>
      <c r="U23" s="253"/>
      <c r="V23" s="264"/>
      <c r="W23" s="264"/>
      <c r="X23" s="264"/>
      <c r="Y23" s="264"/>
      <c r="Z23" s="264"/>
      <c r="AA23" s="264"/>
      <c r="AB23" s="264"/>
      <c r="AC23" s="264"/>
      <c r="AD23" s="264"/>
      <c r="AE23" s="264"/>
      <c r="AF23" s="264"/>
      <c r="AG23" s="264"/>
      <c r="AH23" s="264"/>
      <c r="AI23" s="264"/>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64"/>
      <c r="CA23" s="264"/>
      <c r="CB23" s="253"/>
      <c r="CC23" s="253"/>
      <c r="CD23" s="253"/>
      <c r="CE23" s="253"/>
      <c r="CF23" s="253"/>
      <c r="CG23" s="253"/>
      <c r="CH23" s="253"/>
      <c r="CI23" s="253"/>
      <c r="CJ23" s="260"/>
      <c r="CK23" s="260"/>
      <c r="CL23" s="253"/>
      <c r="CM23" s="253"/>
      <c r="CN23" s="253"/>
      <c r="CO23" s="253"/>
      <c r="CP23" s="253"/>
      <c r="CQ23" s="253"/>
      <c r="CR23" s="253"/>
      <c r="CS23" s="253"/>
      <c r="CT23" s="253"/>
      <c r="CU23" s="253"/>
      <c r="CV23" s="253"/>
      <c r="CW23" s="253"/>
      <c r="CX23" s="253"/>
      <c r="CY23" s="253"/>
      <c r="CZ23" s="253"/>
      <c r="DA23" s="253"/>
      <c r="DB23" s="253"/>
      <c r="DC23" s="253"/>
      <c r="DD23" s="253"/>
      <c r="DE23" s="253"/>
      <c r="DF23" s="264"/>
      <c r="DG23" s="264"/>
      <c r="DH23" s="264"/>
      <c r="DI23" s="264"/>
      <c r="DJ23" s="253"/>
      <c r="DK23" s="253"/>
      <c r="DL23" s="253"/>
      <c r="DM23" s="253"/>
      <c r="DN23" s="253"/>
      <c r="DO23" s="253"/>
      <c r="DP23" s="253"/>
      <c r="DQ23" s="253"/>
      <c r="DR23" s="253"/>
      <c r="DS23" s="253"/>
      <c r="DT23" s="253"/>
      <c r="DU23" s="253"/>
      <c r="DV23" s="253"/>
      <c r="DW23" s="253"/>
      <c r="DX23" s="253"/>
      <c r="DY23" s="253"/>
      <c r="DZ23" s="253"/>
      <c r="EA23" s="253"/>
      <c r="EB23" s="253"/>
      <c r="EC23" s="253"/>
      <c r="ED23" s="253"/>
      <c r="EE23" s="253"/>
      <c r="EF23" s="253"/>
      <c r="EG23" s="253"/>
      <c r="EH23" s="253"/>
      <c r="EI23" s="253"/>
      <c r="EJ23" s="253"/>
      <c r="EK23" s="253"/>
      <c r="EL23" s="253"/>
      <c r="EM23" s="253"/>
      <c r="EN23" s="253"/>
      <c r="EO23" s="253"/>
      <c r="EP23" s="253"/>
      <c r="EQ23" s="253"/>
      <c r="ER23" s="253"/>
      <c r="ES23" s="253"/>
      <c r="ET23" s="253"/>
      <c r="EU23" s="253"/>
      <c r="EV23" s="253"/>
      <c r="EW23" s="253"/>
      <c r="EX23" s="253"/>
      <c r="EY23" s="253"/>
      <c r="EZ23" s="253"/>
      <c r="FA23" s="253"/>
      <c r="FB23" s="253"/>
      <c r="FC23" s="253"/>
      <c r="FD23" s="253"/>
      <c r="FE23" s="253"/>
      <c r="FF23" s="253"/>
      <c r="FG23" s="253"/>
      <c r="FH23" s="260">
        <f>+'10.sz.Intézményfinanszírozás'!D16</f>
        <v>3513510223</v>
      </c>
      <c r="FI23" s="260">
        <f>3513510223+16564354+5000-360000+3186600+750000+803780+217020+3294400+3000000+6705600+469900+767080+3000000+7320280+477520+400000+3390000+3955000+27402500+50800+406400+169661+262000-350218+1066419+281108-199995-92342+75000-50000+29159659+477520-296910+402336+3556000+708660+239848+243382+660400+519500+2534552+60000+16200+635000+1365+107950+635000-3740200-310000+171450+191001+11724+31950+3335000+328499+960000+381000+909320+1408500+1085850+634111+1841170+4-151030+3946144+196977+15000-157800+1002500+164999+174225+682101+445135+380000+762000+13560000+1079851+647700+250000+250000+250000+200000-254000+7762000-122127-250239-7290-340788+889000-647700+348099+138400+427500+2535300-1156503+2468032+627399+200000+2508213-254000+1920000-97088+1270000-63000+1270000</f>
        <v>3686246941</v>
      </c>
      <c r="FJ23" s="260"/>
      <c r="FK23" s="260"/>
      <c r="FL23" s="253"/>
      <c r="FM23" s="253"/>
      <c r="FN23" s="253"/>
      <c r="FO23" s="253"/>
      <c r="FP23" s="260"/>
      <c r="FQ23" s="260"/>
      <c r="FR23" s="253"/>
      <c r="FS23" s="253"/>
      <c r="FT23" s="253"/>
      <c r="FU23" s="253"/>
      <c r="FV23" s="253"/>
      <c r="FW23" s="253"/>
      <c r="FX23" s="253"/>
      <c r="FY23" s="253"/>
      <c r="FZ23" s="253"/>
      <c r="GA23" s="253"/>
      <c r="GB23" s="253"/>
      <c r="GC23" s="253"/>
      <c r="GD23" s="253"/>
      <c r="GE23" s="253"/>
      <c r="GF23" s="264"/>
      <c r="GG23" s="264"/>
      <c r="GH23" s="264"/>
      <c r="GI23" s="264"/>
      <c r="GJ23" s="264"/>
      <c r="GK23" s="264"/>
      <c r="GL23" s="264"/>
      <c r="GM23" s="264"/>
      <c r="GN23" s="264"/>
      <c r="GO23" s="264"/>
      <c r="GP23" s="264"/>
      <c r="GQ23" s="264"/>
      <c r="GR23" s="264"/>
      <c r="GS23" s="264"/>
      <c r="GT23" s="264"/>
      <c r="GU23" s="264"/>
      <c r="GV23" s="264"/>
      <c r="GW23" s="264"/>
      <c r="GX23" s="264"/>
      <c r="GY23" s="264"/>
      <c r="GZ23" s="253"/>
      <c r="HA23" s="253"/>
      <c r="HB23" s="253"/>
      <c r="HC23" s="253"/>
      <c r="HD23" s="253"/>
      <c r="HE23" s="253"/>
      <c r="HF23" s="253"/>
      <c r="HG23" s="253"/>
      <c r="HH23" s="253"/>
      <c r="HI23" s="253"/>
      <c r="HJ23" s="253"/>
      <c r="HK23" s="253"/>
      <c r="HL23" s="253"/>
      <c r="HM23" s="253"/>
      <c r="HN23" s="253"/>
      <c r="HO23" s="253"/>
      <c r="HP23" s="253"/>
      <c r="HQ23" s="253"/>
      <c r="HR23" s="253"/>
      <c r="HS23" s="253"/>
      <c r="HT23" s="253"/>
      <c r="HU23" s="253"/>
      <c r="HV23" s="253"/>
      <c r="HW23" s="253"/>
      <c r="HX23" s="253"/>
      <c r="HY23" s="253"/>
      <c r="HZ23" s="253"/>
      <c r="IA23" s="253"/>
      <c r="IB23" s="253"/>
      <c r="IC23" s="253"/>
      <c r="ID23" s="253"/>
      <c r="IE23" s="253"/>
      <c r="IF23" s="253"/>
      <c r="IG23" s="253"/>
      <c r="IH23" s="253"/>
      <c r="II23" s="253"/>
    </row>
    <row r="24" spans="1:245" s="237" customFormat="1" ht="21.75" customHeight="1" x14ac:dyDescent="0.25">
      <c r="A24" s="222" t="s">
        <v>236</v>
      </c>
      <c r="B24" s="236" t="s">
        <v>570</v>
      </c>
      <c r="C24" s="233"/>
      <c r="D24" s="253"/>
      <c r="E24" s="253"/>
      <c r="F24" s="253"/>
      <c r="G24" s="253"/>
      <c r="H24" s="253"/>
      <c r="I24" s="253"/>
      <c r="J24" s="253"/>
      <c r="K24" s="253"/>
      <c r="L24" s="253"/>
      <c r="M24" s="253"/>
      <c r="N24" s="253"/>
      <c r="O24" s="253"/>
      <c r="P24" s="253"/>
      <c r="Q24" s="253"/>
      <c r="R24" s="253"/>
      <c r="S24" s="253"/>
      <c r="T24" s="253"/>
      <c r="U24" s="253"/>
      <c r="V24" s="264"/>
      <c r="W24" s="264"/>
      <c r="X24" s="264"/>
      <c r="Y24" s="264"/>
      <c r="Z24" s="264"/>
      <c r="AA24" s="264"/>
      <c r="AB24" s="264"/>
      <c r="AC24" s="264"/>
      <c r="AD24" s="264"/>
      <c r="AE24" s="264"/>
      <c r="AF24" s="264"/>
      <c r="AG24" s="264"/>
      <c r="AH24" s="264"/>
      <c r="AI24" s="264"/>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64"/>
      <c r="CA24" s="264"/>
      <c r="CB24" s="253"/>
      <c r="CC24" s="253"/>
      <c r="CD24" s="253"/>
      <c r="CE24" s="253"/>
      <c r="CF24" s="253"/>
      <c r="CG24" s="253"/>
      <c r="CH24" s="253"/>
      <c r="CI24" s="253"/>
      <c r="CJ24" s="260"/>
      <c r="CK24" s="260"/>
      <c r="CL24" s="253"/>
      <c r="CM24" s="253"/>
      <c r="CN24" s="253"/>
      <c r="CO24" s="253"/>
      <c r="CP24" s="253"/>
      <c r="CQ24" s="253"/>
      <c r="CR24" s="253"/>
      <c r="CS24" s="253"/>
      <c r="CT24" s="253"/>
      <c r="CU24" s="253"/>
      <c r="CV24" s="253"/>
      <c r="CW24" s="253"/>
      <c r="CX24" s="253"/>
      <c r="CY24" s="253"/>
      <c r="CZ24" s="253"/>
      <c r="DA24" s="253"/>
      <c r="DB24" s="253"/>
      <c r="DC24" s="253"/>
      <c r="DD24" s="253"/>
      <c r="DE24" s="253"/>
      <c r="DF24" s="264"/>
      <c r="DG24" s="264"/>
      <c r="DH24" s="264"/>
      <c r="DI24" s="264"/>
      <c r="DJ24" s="253"/>
      <c r="DK24" s="253"/>
      <c r="DL24" s="253"/>
      <c r="DM24" s="253"/>
      <c r="DN24" s="253"/>
      <c r="DO24" s="253"/>
      <c r="DP24" s="253"/>
      <c r="DQ24" s="253"/>
      <c r="DR24" s="253"/>
      <c r="DS24" s="253"/>
      <c r="DT24" s="253"/>
      <c r="DU24" s="253"/>
      <c r="DV24" s="253"/>
      <c r="DW24" s="253"/>
      <c r="DX24" s="253"/>
      <c r="DY24" s="253"/>
      <c r="DZ24" s="253"/>
      <c r="EA24" s="253"/>
      <c r="EB24" s="253"/>
      <c r="EC24" s="253"/>
      <c r="ED24" s="253"/>
      <c r="EE24" s="253"/>
      <c r="EF24" s="253"/>
      <c r="EG24" s="253"/>
      <c r="EH24" s="253"/>
      <c r="EI24" s="253"/>
      <c r="EJ24" s="253"/>
      <c r="EK24" s="253"/>
      <c r="EL24" s="253"/>
      <c r="EM24" s="253"/>
      <c r="EN24" s="253"/>
      <c r="EO24" s="253"/>
      <c r="EP24" s="253"/>
      <c r="EQ24" s="253"/>
      <c r="ER24" s="253"/>
      <c r="ES24" s="253"/>
      <c r="ET24" s="253"/>
      <c r="EU24" s="253"/>
      <c r="EV24" s="253"/>
      <c r="EW24" s="253"/>
      <c r="EX24" s="253"/>
      <c r="EY24" s="253"/>
      <c r="EZ24" s="253"/>
      <c r="FA24" s="253"/>
      <c r="FB24" s="253"/>
      <c r="FC24" s="253"/>
      <c r="FD24" s="253"/>
      <c r="FE24" s="253"/>
      <c r="FF24" s="253"/>
      <c r="FG24" s="253"/>
      <c r="FH24" s="260">
        <f>+'10.sz.Intézményfinanszírozás'!F16</f>
        <v>62281820</v>
      </c>
      <c r="FI24" s="260">
        <f>62281820-5000+360000+2297748+350218+199995+92342-75000+50000+296910+2080500+1330200+2843700+1270000+360000+97200-1365+166366-635000+3740200+310000+3577301+208280-4+151030+110730+157800+14962632+254000+122127+250239+7290+340788+647700+1156503+254000+97088+63000-1270000</f>
        <v>98501338</v>
      </c>
      <c r="FJ24" s="260"/>
      <c r="FK24" s="260"/>
      <c r="FL24" s="253"/>
      <c r="FM24" s="253"/>
      <c r="FN24" s="253"/>
      <c r="FO24" s="253"/>
      <c r="FP24" s="260"/>
      <c r="FQ24" s="260"/>
      <c r="FR24" s="253"/>
      <c r="FS24" s="253"/>
      <c r="FT24" s="253"/>
      <c r="FU24" s="253"/>
      <c r="FV24" s="253"/>
      <c r="FW24" s="253"/>
      <c r="FX24" s="253"/>
      <c r="FY24" s="253"/>
      <c r="FZ24" s="253"/>
      <c r="GA24" s="253"/>
      <c r="GB24" s="253"/>
      <c r="GC24" s="253"/>
      <c r="GD24" s="253"/>
      <c r="GE24" s="253"/>
      <c r="GF24" s="264"/>
      <c r="GG24" s="264"/>
      <c r="GH24" s="264"/>
      <c r="GI24" s="264"/>
      <c r="GJ24" s="264"/>
      <c r="GK24" s="264"/>
      <c r="GL24" s="264"/>
      <c r="GM24" s="264"/>
      <c r="GN24" s="264"/>
      <c r="GO24" s="264"/>
      <c r="GP24" s="264"/>
      <c r="GQ24" s="264"/>
      <c r="GR24" s="264"/>
      <c r="GS24" s="264"/>
      <c r="GT24" s="264"/>
      <c r="GU24" s="264"/>
      <c r="GV24" s="264"/>
      <c r="GW24" s="264"/>
      <c r="GX24" s="264"/>
      <c r="GY24" s="264"/>
      <c r="GZ24" s="253"/>
      <c r="HA24" s="253"/>
      <c r="HB24" s="253"/>
      <c r="HC24" s="253"/>
      <c r="HD24" s="253"/>
      <c r="HE24" s="253"/>
      <c r="HF24" s="253"/>
      <c r="HG24" s="253"/>
      <c r="HH24" s="253"/>
      <c r="HI24" s="253"/>
      <c r="HJ24" s="253"/>
      <c r="HK24" s="253"/>
      <c r="HL24" s="253"/>
      <c r="HM24" s="253"/>
      <c r="HN24" s="253"/>
      <c r="HO24" s="253"/>
      <c r="HP24" s="253"/>
      <c r="HQ24" s="253"/>
      <c r="HR24" s="253"/>
      <c r="HS24" s="253"/>
      <c r="HT24" s="253"/>
      <c r="HU24" s="253"/>
      <c r="HV24" s="253"/>
      <c r="HW24" s="253"/>
      <c r="HX24" s="253"/>
      <c r="HY24" s="253"/>
      <c r="HZ24" s="253"/>
      <c r="IA24" s="253"/>
      <c r="IB24" s="253"/>
      <c r="IC24" s="253"/>
      <c r="ID24" s="253"/>
      <c r="IE24" s="253"/>
      <c r="IF24" s="253"/>
      <c r="IG24" s="253"/>
      <c r="IH24" s="253"/>
      <c r="II24" s="253"/>
    </row>
    <row r="25" spans="1:245" s="237" customFormat="1" ht="21.75" customHeight="1" x14ac:dyDescent="0.25">
      <c r="A25" s="222" t="s">
        <v>237</v>
      </c>
      <c r="B25" s="236" t="s">
        <v>126</v>
      </c>
      <c r="C25" s="233"/>
      <c r="D25" s="253"/>
      <c r="E25" s="253"/>
      <c r="F25" s="253"/>
      <c r="G25" s="253"/>
      <c r="H25" s="253"/>
      <c r="I25" s="253"/>
      <c r="J25" s="253"/>
      <c r="K25" s="253"/>
      <c r="L25" s="253"/>
      <c r="M25" s="253"/>
      <c r="N25" s="253"/>
      <c r="O25" s="253"/>
      <c r="P25" s="253"/>
      <c r="Q25" s="253"/>
      <c r="R25" s="253"/>
      <c r="S25" s="253"/>
      <c r="T25" s="253"/>
      <c r="U25" s="253"/>
      <c r="V25" s="264"/>
      <c r="W25" s="264"/>
      <c r="X25" s="264"/>
      <c r="Y25" s="264"/>
      <c r="Z25" s="264"/>
      <c r="AA25" s="264"/>
      <c r="AB25" s="264"/>
      <c r="AC25" s="264"/>
      <c r="AD25" s="264"/>
      <c r="AE25" s="264"/>
      <c r="AF25" s="264"/>
      <c r="AG25" s="264"/>
      <c r="AH25" s="264"/>
      <c r="AI25" s="264"/>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64"/>
      <c r="CA25" s="264"/>
      <c r="CB25" s="253"/>
      <c r="CC25" s="253"/>
      <c r="CD25" s="253"/>
      <c r="CE25" s="253"/>
      <c r="CF25" s="253"/>
      <c r="CG25" s="253"/>
      <c r="CH25" s="253"/>
      <c r="CI25" s="253"/>
      <c r="CJ25" s="260"/>
      <c r="CK25" s="260"/>
      <c r="CL25" s="253"/>
      <c r="CM25" s="253"/>
      <c r="CN25" s="253"/>
      <c r="CO25" s="253"/>
      <c r="CP25" s="253"/>
      <c r="CQ25" s="253"/>
      <c r="CR25" s="253"/>
      <c r="CS25" s="253"/>
      <c r="CT25" s="253"/>
      <c r="CU25" s="253"/>
      <c r="CV25" s="253"/>
      <c r="CW25" s="253"/>
      <c r="CX25" s="253"/>
      <c r="CY25" s="253"/>
      <c r="CZ25" s="253"/>
      <c r="DA25" s="253"/>
      <c r="DB25" s="253"/>
      <c r="DC25" s="253"/>
      <c r="DD25" s="253"/>
      <c r="DE25" s="253"/>
      <c r="DF25" s="264"/>
      <c r="DG25" s="264"/>
      <c r="DH25" s="264"/>
      <c r="DI25" s="264"/>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60"/>
      <c r="FI25" s="260"/>
      <c r="FJ25" s="260"/>
      <c r="FK25" s="260"/>
      <c r="FL25" s="253"/>
      <c r="FM25" s="253"/>
      <c r="FN25" s="253"/>
      <c r="FO25" s="253"/>
      <c r="FP25" s="260"/>
      <c r="FQ25" s="260"/>
      <c r="FR25" s="253"/>
      <c r="FS25" s="253"/>
      <c r="FT25" s="253"/>
      <c r="FU25" s="253"/>
      <c r="FV25" s="253"/>
      <c r="FW25" s="253"/>
      <c r="FX25" s="253"/>
      <c r="FY25" s="253"/>
      <c r="FZ25" s="253"/>
      <c r="GA25" s="253"/>
      <c r="GB25" s="253"/>
      <c r="GC25" s="253"/>
      <c r="GD25" s="253"/>
      <c r="GE25" s="253"/>
      <c r="GF25" s="264"/>
      <c r="GG25" s="264"/>
      <c r="GH25" s="264"/>
      <c r="GI25" s="264"/>
      <c r="GJ25" s="264"/>
      <c r="GK25" s="264"/>
      <c r="GL25" s="264"/>
      <c r="GM25" s="264"/>
      <c r="GN25" s="264"/>
      <c r="GO25" s="264"/>
      <c r="GP25" s="264"/>
      <c r="GQ25" s="264"/>
      <c r="GR25" s="264"/>
      <c r="GS25" s="264"/>
      <c r="GT25" s="264"/>
      <c r="GU25" s="264"/>
      <c r="GV25" s="264"/>
      <c r="GW25" s="264"/>
      <c r="GX25" s="264"/>
      <c r="GY25" s="264"/>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row>
    <row r="26" spans="1:245" s="237" customFormat="1" ht="21.75" customHeight="1" x14ac:dyDescent="0.25">
      <c r="A26" s="222" t="s">
        <v>238</v>
      </c>
      <c r="B26" s="236" t="s">
        <v>847</v>
      </c>
      <c r="C26" s="233"/>
      <c r="D26" s="253"/>
      <c r="E26" s="253"/>
      <c r="F26" s="253"/>
      <c r="G26" s="253"/>
      <c r="H26" s="253"/>
      <c r="I26" s="253"/>
      <c r="J26" s="253"/>
      <c r="K26" s="253"/>
      <c r="L26" s="253"/>
      <c r="M26" s="253"/>
      <c r="N26" s="253"/>
      <c r="O26" s="253"/>
      <c r="P26" s="253"/>
      <c r="Q26" s="253"/>
      <c r="R26" s="253"/>
      <c r="S26" s="253"/>
      <c r="T26" s="253"/>
      <c r="U26" s="253"/>
      <c r="V26" s="264"/>
      <c r="W26" s="264"/>
      <c r="X26" s="264"/>
      <c r="Y26" s="264"/>
      <c r="Z26" s="264"/>
      <c r="AA26" s="264"/>
      <c r="AB26" s="264"/>
      <c r="AC26" s="264"/>
      <c r="AD26" s="264"/>
      <c r="AE26" s="264"/>
      <c r="AF26" s="264"/>
      <c r="AG26" s="264"/>
      <c r="AH26" s="264"/>
      <c r="AI26" s="264"/>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64"/>
      <c r="CA26" s="264"/>
      <c r="CB26" s="253"/>
      <c r="CC26" s="253"/>
      <c r="CD26" s="253"/>
      <c r="CE26" s="253"/>
      <c r="CF26" s="253"/>
      <c r="CG26" s="253"/>
      <c r="CH26" s="253"/>
      <c r="CI26" s="253"/>
      <c r="CJ26" s="260"/>
      <c r="CK26" s="260"/>
      <c r="CL26" s="253"/>
      <c r="CM26" s="253"/>
      <c r="CN26" s="253"/>
      <c r="CO26" s="253"/>
      <c r="CP26" s="253"/>
      <c r="CQ26" s="253"/>
      <c r="CR26" s="253"/>
      <c r="CS26" s="253"/>
      <c r="CT26" s="253"/>
      <c r="CU26" s="253"/>
      <c r="CV26" s="253"/>
      <c r="CW26" s="253"/>
      <c r="CX26" s="253"/>
      <c r="CY26" s="253"/>
      <c r="CZ26" s="253"/>
      <c r="DA26" s="253"/>
      <c r="DB26" s="253"/>
      <c r="DC26" s="253"/>
      <c r="DD26" s="253"/>
      <c r="DE26" s="253"/>
      <c r="DF26" s="264"/>
      <c r="DG26" s="264"/>
      <c r="DH26" s="264"/>
      <c r="DI26" s="264"/>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60"/>
      <c r="FI26" s="260"/>
      <c r="FJ26" s="260"/>
      <c r="FK26" s="260"/>
      <c r="FL26" s="253"/>
      <c r="FM26" s="253"/>
      <c r="FN26" s="253"/>
      <c r="FO26" s="253"/>
      <c r="FP26" s="260"/>
      <c r="FQ26" s="260"/>
      <c r="FR26" s="253"/>
      <c r="FS26" s="253"/>
      <c r="FT26" s="253"/>
      <c r="FU26" s="253"/>
      <c r="FV26" s="253"/>
      <c r="FW26" s="253"/>
      <c r="FX26" s="253"/>
      <c r="FY26" s="253"/>
      <c r="FZ26" s="253"/>
      <c r="GA26" s="253"/>
      <c r="GB26" s="253"/>
      <c r="GC26" s="253"/>
      <c r="GD26" s="253"/>
      <c r="GE26" s="253"/>
      <c r="GF26" s="264"/>
      <c r="GG26" s="264"/>
      <c r="GH26" s="264"/>
      <c r="GI26" s="264"/>
      <c r="GJ26" s="264"/>
      <c r="GK26" s="264"/>
      <c r="GL26" s="264"/>
      <c r="GM26" s="264"/>
      <c r="GN26" s="264"/>
      <c r="GO26" s="264"/>
      <c r="GP26" s="264"/>
      <c r="GQ26" s="264"/>
      <c r="GR26" s="264"/>
      <c r="GS26" s="264"/>
      <c r="GT26" s="264"/>
      <c r="GU26" s="264"/>
      <c r="GV26" s="264"/>
      <c r="GW26" s="264"/>
      <c r="GX26" s="264"/>
      <c r="GY26" s="264"/>
      <c r="GZ26" s="253"/>
      <c r="HA26" s="253"/>
      <c r="HB26" s="253"/>
      <c r="HC26" s="253"/>
      <c r="HD26" s="253"/>
      <c r="HE26" s="253"/>
      <c r="HF26" s="253"/>
      <c r="HG26" s="253"/>
      <c r="HH26" s="253"/>
      <c r="HI26" s="253"/>
      <c r="HJ26" s="253"/>
      <c r="HK26" s="253"/>
      <c r="HL26" s="253"/>
      <c r="HM26" s="253"/>
      <c r="HN26" s="253"/>
      <c r="HO26" s="253"/>
      <c r="HP26" s="253"/>
      <c r="HQ26" s="253"/>
      <c r="HR26" s="253"/>
      <c r="HS26" s="253"/>
      <c r="HT26" s="253"/>
      <c r="HU26" s="253"/>
      <c r="HV26" s="253"/>
      <c r="HW26" s="253"/>
      <c r="HX26" s="253"/>
      <c r="HY26" s="253"/>
      <c r="HZ26" s="253"/>
      <c r="IA26" s="253"/>
      <c r="IB26" s="253"/>
      <c r="IC26" s="253"/>
      <c r="ID26" s="253"/>
      <c r="IE26" s="253"/>
      <c r="IF26" s="253"/>
      <c r="IG26" s="253"/>
      <c r="IH26" s="253"/>
      <c r="II26" s="253"/>
    </row>
    <row r="27" spans="1:245" s="229" customFormat="1" ht="21.75" customHeight="1" x14ac:dyDescent="0.25">
      <c r="A27" s="222" t="s">
        <v>239</v>
      </c>
      <c r="B27" s="238" t="s">
        <v>32</v>
      </c>
      <c r="C27" s="224"/>
      <c r="D27" s="243">
        <f>+D8+D9+D10+D11+D13+D14+D22+D23+D15+D26</f>
        <v>0</v>
      </c>
      <c r="E27" s="243">
        <f t="shared" ref="E27:BP27" si="25">+E8+E9+E10+E11+E13+E14+E22+E23+E15+E26</f>
        <v>0</v>
      </c>
      <c r="F27" s="243">
        <f t="shared" si="25"/>
        <v>0</v>
      </c>
      <c r="G27" s="243">
        <f t="shared" si="25"/>
        <v>0</v>
      </c>
      <c r="H27" s="243">
        <f t="shared" si="25"/>
        <v>0</v>
      </c>
      <c r="I27" s="243">
        <f t="shared" si="25"/>
        <v>0</v>
      </c>
      <c r="J27" s="243">
        <f t="shared" si="25"/>
        <v>0</v>
      </c>
      <c r="K27" s="243">
        <f t="shared" si="25"/>
        <v>0</v>
      </c>
      <c r="L27" s="243">
        <f t="shared" si="25"/>
        <v>0</v>
      </c>
      <c r="M27" s="243">
        <f t="shared" si="25"/>
        <v>0</v>
      </c>
      <c r="N27" s="243">
        <f t="shared" si="25"/>
        <v>0</v>
      </c>
      <c r="O27" s="243">
        <f t="shared" si="25"/>
        <v>0</v>
      </c>
      <c r="P27" s="243">
        <f t="shared" si="25"/>
        <v>0</v>
      </c>
      <c r="Q27" s="243">
        <f t="shared" si="25"/>
        <v>0</v>
      </c>
      <c r="R27" s="243">
        <f t="shared" si="25"/>
        <v>0</v>
      </c>
      <c r="S27" s="243">
        <f t="shared" si="25"/>
        <v>0</v>
      </c>
      <c r="T27" s="243">
        <f t="shared" si="25"/>
        <v>1000000</v>
      </c>
      <c r="U27" s="243">
        <f t="shared" si="25"/>
        <v>1000000</v>
      </c>
      <c r="V27" s="243">
        <f t="shared" si="25"/>
        <v>10027494</v>
      </c>
      <c r="W27" s="243">
        <f t="shared" si="25"/>
        <v>30728244</v>
      </c>
      <c r="X27" s="243">
        <f t="shared" si="25"/>
        <v>0</v>
      </c>
      <c r="Y27" s="243">
        <f t="shared" si="25"/>
        <v>0</v>
      </c>
      <c r="Z27" s="243">
        <f t="shared" si="25"/>
        <v>0</v>
      </c>
      <c r="AA27" s="243">
        <f t="shared" si="25"/>
        <v>160000</v>
      </c>
      <c r="AB27" s="243">
        <f t="shared" si="25"/>
        <v>0</v>
      </c>
      <c r="AC27" s="243">
        <f t="shared" si="25"/>
        <v>0</v>
      </c>
      <c r="AD27" s="243">
        <f t="shared" si="25"/>
        <v>0</v>
      </c>
      <c r="AE27" s="243">
        <f t="shared" si="25"/>
        <v>0</v>
      </c>
      <c r="AF27" s="243">
        <f t="shared" si="25"/>
        <v>0</v>
      </c>
      <c r="AG27" s="243">
        <f t="shared" si="25"/>
        <v>0</v>
      </c>
      <c r="AH27" s="243">
        <f t="shared" si="25"/>
        <v>0</v>
      </c>
      <c r="AI27" s="243">
        <f t="shared" si="25"/>
        <v>0</v>
      </c>
      <c r="AJ27" s="243">
        <f t="shared" si="25"/>
        <v>90789600</v>
      </c>
      <c r="AK27" s="243">
        <f t="shared" si="25"/>
        <v>104337678</v>
      </c>
      <c r="AL27" s="243">
        <f t="shared" si="25"/>
        <v>93497680</v>
      </c>
      <c r="AM27" s="243">
        <f t="shared" si="25"/>
        <v>133101385</v>
      </c>
      <c r="AN27" s="243">
        <f t="shared" si="25"/>
        <v>0</v>
      </c>
      <c r="AO27" s="243">
        <f t="shared" si="25"/>
        <v>0</v>
      </c>
      <c r="AP27" s="243">
        <f t="shared" si="25"/>
        <v>8981569</v>
      </c>
      <c r="AQ27" s="243">
        <f t="shared" si="25"/>
        <v>10484010</v>
      </c>
      <c r="AR27" s="243">
        <f t="shared" si="25"/>
        <v>0</v>
      </c>
      <c r="AS27" s="243">
        <f t="shared" si="25"/>
        <v>0</v>
      </c>
      <c r="AT27" s="243">
        <f t="shared" si="25"/>
        <v>0</v>
      </c>
      <c r="AU27" s="243">
        <f t="shared" si="25"/>
        <v>0</v>
      </c>
      <c r="AV27" s="243">
        <f t="shared" si="25"/>
        <v>26400000</v>
      </c>
      <c r="AW27" s="243">
        <f t="shared" si="25"/>
        <v>25563553</v>
      </c>
      <c r="AX27" s="243">
        <f t="shared" si="25"/>
        <v>10000000</v>
      </c>
      <c r="AY27" s="243">
        <f t="shared" si="25"/>
        <v>5000000</v>
      </c>
      <c r="AZ27" s="243">
        <f t="shared" si="25"/>
        <v>25000000</v>
      </c>
      <c r="BA27" s="243">
        <f t="shared" si="25"/>
        <v>22024600</v>
      </c>
      <c r="BB27" s="243">
        <f t="shared" si="25"/>
        <v>298950943</v>
      </c>
      <c r="BC27" s="243">
        <f t="shared" si="25"/>
        <v>292971255</v>
      </c>
      <c r="BD27" s="243">
        <f t="shared" si="25"/>
        <v>43128038</v>
      </c>
      <c r="BE27" s="243">
        <f t="shared" si="25"/>
        <v>46905466</v>
      </c>
      <c r="BF27" s="243">
        <f t="shared" si="25"/>
        <v>51500000</v>
      </c>
      <c r="BG27" s="243">
        <f t="shared" si="25"/>
        <v>29146500</v>
      </c>
      <c r="BH27" s="243">
        <f t="shared" si="25"/>
        <v>5300000</v>
      </c>
      <c r="BI27" s="243">
        <f t="shared" si="25"/>
        <v>13424552</v>
      </c>
      <c r="BJ27" s="243">
        <f t="shared" si="25"/>
        <v>194079193</v>
      </c>
      <c r="BK27" s="243">
        <f t="shared" si="25"/>
        <v>200780446</v>
      </c>
      <c r="BL27" s="243">
        <f t="shared" si="25"/>
        <v>101000000</v>
      </c>
      <c r="BM27" s="243">
        <f t="shared" si="25"/>
        <v>120507757</v>
      </c>
      <c r="BN27" s="243">
        <f t="shared" si="25"/>
        <v>36276653</v>
      </c>
      <c r="BO27" s="243">
        <f t="shared" si="25"/>
        <v>42058926</v>
      </c>
      <c r="BP27" s="243">
        <f t="shared" si="25"/>
        <v>6630000</v>
      </c>
      <c r="BQ27" s="243">
        <f t="shared" ref="BQ27:ED27" si="26">+BQ8+BQ9+BQ10+BQ11+BQ13+BQ14+BQ22+BQ23+BQ15+BQ26</f>
        <v>9110000</v>
      </c>
      <c r="BR27" s="243">
        <f t="shared" si="26"/>
        <v>20722250</v>
      </c>
      <c r="BS27" s="243">
        <f t="shared" si="26"/>
        <v>20722250</v>
      </c>
      <c r="BT27" s="243">
        <f t="shared" si="26"/>
        <v>9152000</v>
      </c>
      <c r="BU27" s="243">
        <f t="shared" si="26"/>
        <v>7462751</v>
      </c>
      <c r="BV27" s="243">
        <f t="shared" si="26"/>
        <v>19609600</v>
      </c>
      <c r="BW27" s="243">
        <f t="shared" si="26"/>
        <v>20435100</v>
      </c>
      <c r="BX27" s="243">
        <f t="shared" si="26"/>
        <v>37547077</v>
      </c>
      <c r="BY27" s="243">
        <f t="shared" si="26"/>
        <v>55672327</v>
      </c>
      <c r="BZ27" s="243">
        <f t="shared" si="26"/>
        <v>0</v>
      </c>
      <c r="CA27" s="243">
        <f t="shared" si="26"/>
        <v>0</v>
      </c>
      <c r="CB27" s="243">
        <f t="shared" si="26"/>
        <v>2000000</v>
      </c>
      <c r="CC27" s="243">
        <f t="shared" si="26"/>
        <v>2000000</v>
      </c>
      <c r="CD27" s="243">
        <f t="shared" si="26"/>
        <v>0</v>
      </c>
      <c r="CE27" s="243">
        <f t="shared" si="26"/>
        <v>240000</v>
      </c>
      <c r="CF27" s="243">
        <f t="shared" si="26"/>
        <v>500000</v>
      </c>
      <c r="CG27" s="243">
        <f t="shared" si="26"/>
        <v>500000</v>
      </c>
      <c r="CH27" s="243">
        <f t="shared" si="26"/>
        <v>3465000</v>
      </c>
      <c r="CI27" s="243">
        <f t="shared" si="26"/>
        <v>3665000</v>
      </c>
      <c r="CJ27" s="243">
        <f t="shared" si="26"/>
        <v>16434280</v>
      </c>
      <c r="CK27" s="243">
        <f t="shared" si="26"/>
        <v>16434280</v>
      </c>
      <c r="CL27" s="243">
        <f t="shared" si="26"/>
        <v>34386460</v>
      </c>
      <c r="CM27" s="243">
        <f t="shared" si="26"/>
        <v>41075460</v>
      </c>
      <c r="CN27" s="243">
        <f t="shared" si="26"/>
        <v>1500000</v>
      </c>
      <c r="CO27" s="243">
        <f t="shared" si="26"/>
        <v>1445010</v>
      </c>
      <c r="CP27" s="243">
        <f t="shared" si="26"/>
        <v>2000000</v>
      </c>
      <c r="CQ27" s="243">
        <f t="shared" si="26"/>
        <v>23285331</v>
      </c>
      <c r="CR27" s="243">
        <f t="shared" si="26"/>
        <v>1011638</v>
      </c>
      <c r="CS27" s="243">
        <f t="shared" si="26"/>
        <v>1026838</v>
      </c>
      <c r="CT27" s="243">
        <f t="shared" si="26"/>
        <v>27104662</v>
      </c>
      <c r="CU27" s="243">
        <f t="shared" si="26"/>
        <v>27780808</v>
      </c>
      <c r="CV27" s="243">
        <f t="shared" si="26"/>
        <v>69033842</v>
      </c>
      <c r="CW27" s="243">
        <f t="shared" si="26"/>
        <v>74995680</v>
      </c>
      <c r="CX27" s="243">
        <f t="shared" si="26"/>
        <v>84578100</v>
      </c>
      <c r="CY27" s="243">
        <f t="shared" si="26"/>
        <v>177307013</v>
      </c>
      <c r="CZ27" s="243">
        <f t="shared" si="26"/>
        <v>36686300</v>
      </c>
      <c r="DA27" s="243">
        <f t="shared" si="26"/>
        <v>36946310</v>
      </c>
      <c r="DB27" s="243">
        <f t="shared" si="26"/>
        <v>52794000</v>
      </c>
      <c r="DC27" s="243">
        <f t="shared" si="26"/>
        <v>60826982</v>
      </c>
      <c r="DD27" s="243">
        <f t="shared" si="26"/>
        <v>2000000</v>
      </c>
      <c r="DE27" s="243">
        <f t="shared" si="26"/>
        <v>2018945</v>
      </c>
      <c r="DF27" s="243">
        <f t="shared" si="26"/>
        <v>80356388</v>
      </c>
      <c r="DG27" s="243">
        <f t="shared" si="26"/>
        <v>98166976</v>
      </c>
      <c r="DH27" s="243">
        <f t="shared" si="26"/>
        <v>13000000</v>
      </c>
      <c r="DI27" s="243">
        <f t="shared" si="26"/>
        <v>17768251</v>
      </c>
      <c r="DJ27" s="243">
        <f t="shared" si="26"/>
        <v>24000000</v>
      </c>
      <c r="DK27" s="243">
        <f t="shared" si="26"/>
        <v>24000000</v>
      </c>
      <c r="DL27" s="243">
        <f t="shared" si="26"/>
        <v>2650000</v>
      </c>
      <c r="DM27" s="243">
        <f t="shared" si="26"/>
        <v>2850000</v>
      </c>
      <c r="DN27" s="243">
        <f t="shared" si="26"/>
        <v>500000</v>
      </c>
      <c r="DO27" s="243">
        <f t="shared" si="26"/>
        <v>572000</v>
      </c>
      <c r="DP27" s="243">
        <f t="shared" si="26"/>
        <v>3840000</v>
      </c>
      <c r="DQ27" s="243">
        <f t="shared" si="26"/>
        <v>4160000</v>
      </c>
      <c r="DR27" s="243">
        <f t="shared" si="26"/>
        <v>0</v>
      </c>
      <c r="DS27" s="243">
        <f t="shared" si="26"/>
        <v>0</v>
      </c>
      <c r="DT27" s="243">
        <f t="shared" si="26"/>
        <v>0</v>
      </c>
      <c r="DU27" s="243">
        <f t="shared" si="26"/>
        <v>0</v>
      </c>
      <c r="DV27" s="243">
        <f t="shared" si="26"/>
        <v>0</v>
      </c>
      <c r="DW27" s="243">
        <f t="shared" si="26"/>
        <v>7049140</v>
      </c>
      <c r="DX27" s="243">
        <f t="shared" si="26"/>
        <v>0</v>
      </c>
      <c r="DY27" s="243">
        <f t="shared" si="26"/>
        <v>0</v>
      </c>
      <c r="DZ27" s="243">
        <f>+DZ8+DZ9+DZ10+DZ11+DZ13+DZ14+DZ22+DZ23+DZ15+DZ26</f>
        <v>0</v>
      </c>
      <c r="EA27" s="243">
        <f>+EA8+EA9+EA10+EA11+EA13+EA14+EA22+EA23+EA15+EA26</f>
        <v>1626378</v>
      </c>
      <c r="EB27" s="243">
        <f t="shared" si="26"/>
        <v>0</v>
      </c>
      <c r="EC27" s="243">
        <f t="shared" si="26"/>
        <v>208661</v>
      </c>
      <c r="ED27" s="243">
        <f t="shared" si="26"/>
        <v>0</v>
      </c>
      <c r="EE27" s="243">
        <f t="shared" ref="EE27:GR27" si="27">+EE8+EE9+EE10+EE11+EE13+EE14+EE22+EE23+EE15+EE26</f>
        <v>0</v>
      </c>
      <c r="EF27" s="243">
        <f>+EF8+EF9+EF10+EF11+EF13+EF14+EF22+EF23+EF15+EF26</f>
        <v>0</v>
      </c>
      <c r="EG27" s="243">
        <f>+EG8+EG9+EG10+EG11+EG13+EG14+EG22+EG23+EG15+EG26</f>
        <v>9347819</v>
      </c>
      <c r="EH27" s="243">
        <f t="shared" si="27"/>
        <v>3700000</v>
      </c>
      <c r="EI27" s="243">
        <f t="shared" si="27"/>
        <v>4080570</v>
      </c>
      <c r="EJ27" s="243">
        <f t="shared" si="27"/>
        <v>2740000</v>
      </c>
      <c r="EK27" s="243">
        <f t="shared" si="27"/>
        <v>2740000</v>
      </c>
      <c r="EL27" s="243">
        <f t="shared" si="27"/>
        <v>7270500</v>
      </c>
      <c r="EM27" s="243">
        <f t="shared" si="27"/>
        <v>7358049</v>
      </c>
      <c r="EN27" s="243">
        <f t="shared" si="27"/>
        <v>2000000</v>
      </c>
      <c r="EO27" s="243">
        <f t="shared" si="27"/>
        <v>2000000</v>
      </c>
      <c r="EP27" s="243">
        <f t="shared" si="27"/>
        <v>8255800</v>
      </c>
      <c r="EQ27" s="243">
        <f t="shared" si="27"/>
        <v>8255800</v>
      </c>
      <c r="ER27" s="243">
        <f t="shared" si="27"/>
        <v>2017360</v>
      </c>
      <c r="ES27" s="243">
        <f t="shared" si="27"/>
        <v>2017360</v>
      </c>
      <c r="ET27" s="243">
        <f t="shared" si="27"/>
        <v>5000000</v>
      </c>
      <c r="EU27" s="243">
        <f t="shared" si="27"/>
        <v>5000000</v>
      </c>
      <c r="EV27" s="243">
        <f t="shared" si="27"/>
        <v>0</v>
      </c>
      <c r="EW27" s="243">
        <f t="shared" si="27"/>
        <v>0</v>
      </c>
      <c r="EX27" s="243">
        <f t="shared" si="27"/>
        <v>0</v>
      </c>
      <c r="EY27" s="243">
        <f t="shared" si="27"/>
        <v>0</v>
      </c>
      <c r="EZ27" s="243">
        <f t="shared" si="27"/>
        <v>0</v>
      </c>
      <c r="FA27" s="243">
        <f t="shared" si="27"/>
        <v>0</v>
      </c>
      <c r="FB27" s="243">
        <f t="shared" si="27"/>
        <v>0</v>
      </c>
      <c r="FC27" s="243">
        <f t="shared" si="27"/>
        <v>0</v>
      </c>
      <c r="FD27" s="243">
        <f t="shared" si="27"/>
        <v>0</v>
      </c>
      <c r="FE27" s="243">
        <f t="shared" si="27"/>
        <v>0</v>
      </c>
      <c r="FF27" s="243">
        <f t="shared" si="27"/>
        <v>897149962</v>
      </c>
      <c r="FG27" s="243">
        <f t="shared" si="27"/>
        <v>1872854738</v>
      </c>
      <c r="FH27" s="243">
        <f t="shared" si="27"/>
        <v>3513510223</v>
      </c>
      <c r="FI27" s="243">
        <f t="shared" si="27"/>
        <v>3686246941</v>
      </c>
      <c r="FJ27" s="243">
        <f t="shared" si="27"/>
        <v>0</v>
      </c>
      <c r="FK27" s="243">
        <f t="shared" si="27"/>
        <v>0</v>
      </c>
      <c r="FL27" s="243">
        <f t="shared" si="27"/>
        <v>3000000</v>
      </c>
      <c r="FM27" s="243">
        <f t="shared" si="27"/>
        <v>12283876</v>
      </c>
      <c r="FN27" s="243">
        <f t="shared" si="27"/>
        <v>0</v>
      </c>
      <c r="FO27" s="243">
        <f t="shared" si="27"/>
        <v>0</v>
      </c>
      <c r="FP27" s="243">
        <f t="shared" si="27"/>
        <v>842991977</v>
      </c>
      <c r="FQ27" s="243">
        <f t="shared" si="27"/>
        <v>914397335</v>
      </c>
      <c r="FR27" s="243">
        <f t="shared" si="27"/>
        <v>0</v>
      </c>
      <c r="FS27" s="243">
        <f t="shared" si="27"/>
        <v>0</v>
      </c>
      <c r="FT27" s="243">
        <f t="shared" si="27"/>
        <v>0</v>
      </c>
      <c r="FU27" s="243">
        <f t="shared" si="27"/>
        <v>0</v>
      </c>
      <c r="FV27" s="243">
        <f t="shared" si="27"/>
        <v>0</v>
      </c>
      <c r="FW27" s="243">
        <f t="shared" si="27"/>
        <v>0</v>
      </c>
      <c r="FX27" s="243">
        <f t="shared" si="27"/>
        <v>0</v>
      </c>
      <c r="FY27" s="243">
        <f t="shared" si="27"/>
        <v>80000</v>
      </c>
      <c r="FZ27" s="243">
        <f t="shared" si="27"/>
        <v>0</v>
      </c>
      <c r="GA27" s="243">
        <f t="shared" si="27"/>
        <v>0</v>
      </c>
      <c r="GB27" s="243">
        <f t="shared" si="27"/>
        <v>0</v>
      </c>
      <c r="GC27" s="243">
        <f t="shared" si="27"/>
        <v>15000</v>
      </c>
      <c r="GD27" s="243">
        <f t="shared" si="27"/>
        <v>7000000</v>
      </c>
      <c r="GE27" s="243">
        <f t="shared" si="27"/>
        <v>7000000</v>
      </c>
      <c r="GF27" s="243">
        <f t="shared" si="27"/>
        <v>898020658</v>
      </c>
      <c r="GG27" s="243">
        <f t="shared" si="27"/>
        <v>898020658</v>
      </c>
      <c r="GH27" s="243">
        <f t="shared" si="27"/>
        <v>5000000</v>
      </c>
      <c r="GI27" s="243">
        <f t="shared" si="27"/>
        <v>5000000</v>
      </c>
      <c r="GJ27" s="243">
        <f t="shared" si="27"/>
        <v>14342440</v>
      </c>
      <c r="GK27" s="243">
        <f t="shared" si="27"/>
        <v>135109829</v>
      </c>
      <c r="GL27" s="243">
        <f t="shared" si="27"/>
        <v>0</v>
      </c>
      <c r="GM27" s="243">
        <f t="shared" si="27"/>
        <v>1529309</v>
      </c>
      <c r="GN27" s="243">
        <f t="shared" si="27"/>
        <v>0</v>
      </c>
      <c r="GO27" s="243">
        <f t="shared" si="27"/>
        <v>0</v>
      </c>
      <c r="GP27" s="243">
        <f t="shared" si="27"/>
        <v>0</v>
      </c>
      <c r="GQ27" s="243">
        <f t="shared" si="27"/>
        <v>0</v>
      </c>
      <c r="GR27" s="243">
        <f t="shared" si="27"/>
        <v>0</v>
      </c>
      <c r="GS27" s="243">
        <f t="shared" ref="GS27:HY27" si="28">+GS8+GS9+GS10+GS11+GS13+GS14+GS22+GS23+GS15+GS26</f>
        <v>0</v>
      </c>
      <c r="GT27" s="243">
        <f t="shared" si="28"/>
        <v>0</v>
      </c>
      <c r="GU27" s="243">
        <f t="shared" si="28"/>
        <v>104744111</v>
      </c>
      <c r="GV27" s="243">
        <f t="shared" si="28"/>
        <v>0</v>
      </c>
      <c r="GW27" s="243">
        <f t="shared" si="28"/>
        <v>2945617</v>
      </c>
      <c r="GX27" s="243">
        <f t="shared" si="28"/>
        <v>1811551</v>
      </c>
      <c r="GY27" s="243">
        <f t="shared" si="28"/>
        <v>0</v>
      </c>
      <c r="GZ27" s="243">
        <f t="shared" si="28"/>
        <v>0</v>
      </c>
      <c r="HA27" s="243">
        <f t="shared" si="28"/>
        <v>0</v>
      </c>
      <c r="HB27" s="243">
        <f t="shared" si="28"/>
        <v>330331</v>
      </c>
      <c r="HC27" s="243">
        <f t="shared" si="28"/>
        <v>330331</v>
      </c>
      <c r="HD27" s="243">
        <f t="shared" si="28"/>
        <v>0</v>
      </c>
      <c r="HE27" s="243">
        <f t="shared" si="28"/>
        <v>0</v>
      </c>
      <c r="HF27" s="243">
        <f t="shared" si="28"/>
        <v>0</v>
      </c>
      <c r="HG27" s="243">
        <f t="shared" si="28"/>
        <v>8146942</v>
      </c>
      <c r="HH27" s="243">
        <f t="shared" si="28"/>
        <v>0</v>
      </c>
      <c r="HI27" s="243">
        <f t="shared" si="28"/>
        <v>0</v>
      </c>
      <c r="HJ27" s="243">
        <f t="shared" si="28"/>
        <v>0</v>
      </c>
      <c r="HK27" s="243">
        <f t="shared" si="28"/>
        <v>0</v>
      </c>
      <c r="HL27" s="243">
        <f t="shared" si="28"/>
        <v>0</v>
      </c>
      <c r="HM27" s="243">
        <f t="shared" si="28"/>
        <v>0</v>
      </c>
      <c r="HN27" s="243">
        <f t="shared" si="28"/>
        <v>0</v>
      </c>
      <c r="HO27" s="243">
        <f t="shared" si="28"/>
        <v>4000000</v>
      </c>
      <c r="HP27" s="243">
        <f t="shared" si="28"/>
        <v>0</v>
      </c>
      <c r="HQ27" s="243">
        <f t="shared" si="28"/>
        <v>0</v>
      </c>
      <c r="HR27" s="243">
        <f t="shared" si="28"/>
        <v>0</v>
      </c>
      <c r="HS27" s="243">
        <f t="shared" si="28"/>
        <v>0</v>
      </c>
      <c r="HT27" s="243">
        <f t="shared" si="28"/>
        <v>0</v>
      </c>
      <c r="HU27" s="243">
        <f t="shared" si="28"/>
        <v>355600</v>
      </c>
      <c r="HV27" s="243">
        <f t="shared" si="28"/>
        <v>0</v>
      </c>
      <c r="HW27" s="243">
        <f t="shared" si="28"/>
        <v>234000</v>
      </c>
      <c r="HX27" s="243">
        <f t="shared" si="28"/>
        <v>0</v>
      </c>
      <c r="HY27" s="243">
        <f t="shared" si="28"/>
        <v>0</v>
      </c>
      <c r="HZ27" s="243">
        <f t="shared" ref="HZ27:II27" si="29">+HZ8+HZ9+HZ10+HZ11+HZ13+HZ14+HZ22+HZ23+HZ15+HZ26</f>
        <v>0</v>
      </c>
      <c r="IA27" s="243">
        <f t="shared" si="29"/>
        <v>571500</v>
      </c>
      <c r="IB27" s="243">
        <f t="shared" si="29"/>
        <v>0</v>
      </c>
      <c r="IC27" s="243">
        <f t="shared" si="29"/>
        <v>0</v>
      </c>
      <c r="ID27" s="243">
        <f t="shared" si="29"/>
        <v>0</v>
      </c>
      <c r="IE27" s="243">
        <f t="shared" si="29"/>
        <v>500000</v>
      </c>
      <c r="IF27" s="243">
        <f t="shared" si="29"/>
        <v>0</v>
      </c>
      <c r="IG27" s="243">
        <f t="shared" si="29"/>
        <v>1181000</v>
      </c>
      <c r="IH27" s="243">
        <f t="shared" si="29"/>
        <v>0</v>
      </c>
      <c r="II27" s="243">
        <f t="shared" si="29"/>
        <v>0</v>
      </c>
    </row>
    <row r="28" spans="1:245" s="229" customFormat="1" ht="21.75" customHeight="1" x14ac:dyDescent="0.25">
      <c r="A28" s="222" t="s">
        <v>266</v>
      </c>
      <c r="B28" s="238" t="s">
        <v>33</v>
      </c>
      <c r="C28" s="224"/>
      <c r="D28" s="243">
        <f>+D16+D17+D18+D24+D25</f>
        <v>270974377</v>
      </c>
      <c r="E28" s="243">
        <f t="shared" ref="E28:BP28" si="30">+E16+E17+E18+E24+E25</f>
        <v>255058296</v>
      </c>
      <c r="F28" s="243">
        <f t="shared" si="30"/>
        <v>87152400</v>
      </c>
      <c r="G28" s="243">
        <f t="shared" si="30"/>
        <v>62761708</v>
      </c>
      <c r="H28" s="243">
        <f t="shared" si="30"/>
        <v>4820771</v>
      </c>
      <c r="I28" s="243">
        <f t="shared" si="30"/>
        <v>4820771</v>
      </c>
      <c r="J28" s="243">
        <f t="shared" si="30"/>
        <v>0</v>
      </c>
      <c r="K28" s="243">
        <f t="shared" si="30"/>
        <v>2351024</v>
      </c>
      <c r="L28" s="243">
        <f t="shared" si="30"/>
        <v>30660400</v>
      </c>
      <c r="M28" s="243">
        <f t="shared" si="30"/>
        <v>20389850</v>
      </c>
      <c r="N28" s="243">
        <f t="shared" si="30"/>
        <v>254000</v>
      </c>
      <c r="O28" s="243">
        <f t="shared" si="30"/>
        <v>0</v>
      </c>
      <c r="P28" s="243">
        <f t="shared" si="30"/>
        <v>67707653</v>
      </c>
      <c r="Q28" s="243">
        <f t="shared" si="30"/>
        <v>113920196</v>
      </c>
      <c r="R28" s="243">
        <f t="shared" si="30"/>
        <v>13073150</v>
      </c>
      <c r="S28" s="243">
        <f t="shared" si="30"/>
        <v>43935387</v>
      </c>
      <c r="T28" s="243">
        <f t="shared" si="30"/>
        <v>0</v>
      </c>
      <c r="U28" s="243">
        <f t="shared" si="30"/>
        <v>0</v>
      </c>
      <c r="V28" s="243">
        <f t="shared" si="30"/>
        <v>0</v>
      </c>
      <c r="W28" s="243">
        <f t="shared" si="30"/>
        <v>0</v>
      </c>
      <c r="X28" s="243">
        <f t="shared" si="30"/>
        <v>2000000</v>
      </c>
      <c r="Y28" s="243">
        <f t="shared" si="30"/>
        <v>3690750</v>
      </c>
      <c r="Z28" s="243">
        <f t="shared" si="30"/>
        <v>0</v>
      </c>
      <c r="AA28" s="243">
        <f t="shared" si="30"/>
        <v>0</v>
      </c>
      <c r="AB28" s="243">
        <f t="shared" si="30"/>
        <v>0</v>
      </c>
      <c r="AC28" s="243">
        <f t="shared" si="30"/>
        <v>0</v>
      </c>
      <c r="AD28" s="243">
        <f t="shared" si="30"/>
        <v>0</v>
      </c>
      <c r="AE28" s="243">
        <f t="shared" si="30"/>
        <v>0</v>
      </c>
      <c r="AF28" s="243">
        <f t="shared" si="30"/>
        <v>6698581</v>
      </c>
      <c r="AG28" s="243">
        <f t="shared" si="30"/>
        <v>15778109</v>
      </c>
      <c r="AH28" s="243">
        <f t="shared" si="30"/>
        <v>0</v>
      </c>
      <c r="AI28" s="243">
        <f t="shared" si="30"/>
        <v>0</v>
      </c>
      <c r="AJ28" s="243">
        <f t="shared" si="30"/>
        <v>889000</v>
      </c>
      <c r="AK28" s="243">
        <f t="shared" si="30"/>
        <v>889000</v>
      </c>
      <c r="AL28" s="243">
        <f t="shared" si="30"/>
        <v>127000</v>
      </c>
      <c r="AM28" s="243">
        <f t="shared" si="30"/>
        <v>127000</v>
      </c>
      <c r="AN28" s="243">
        <f t="shared" si="30"/>
        <v>0</v>
      </c>
      <c r="AO28" s="243">
        <f t="shared" si="30"/>
        <v>0</v>
      </c>
      <c r="AP28" s="243">
        <f t="shared" si="30"/>
        <v>0</v>
      </c>
      <c r="AQ28" s="243">
        <f t="shared" si="30"/>
        <v>0</v>
      </c>
      <c r="AR28" s="243">
        <f t="shared" si="30"/>
        <v>0</v>
      </c>
      <c r="AS28" s="243">
        <f t="shared" si="30"/>
        <v>0</v>
      </c>
      <c r="AT28" s="243">
        <f t="shared" si="30"/>
        <v>0</v>
      </c>
      <c r="AU28" s="243">
        <f t="shared" si="30"/>
        <v>0</v>
      </c>
      <c r="AV28" s="243">
        <f t="shared" si="30"/>
        <v>0</v>
      </c>
      <c r="AW28" s="243">
        <f t="shared" si="30"/>
        <v>0</v>
      </c>
      <c r="AX28" s="243">
        <f t="shared" si="30"/>
        <v>0</v>
      </c>
      <c r="AY28" s="243">
        <f t="shared" si="30"/>
        <v>0</v>
      </c>
      <c r="AZ28" s="243">
        <f t="shared" si="30"/>
        <v>0</v>
      </c>
      <c r="BA28" s="243">
        <f t="shared" si="30"/>
        <v>0</v>
      </c>
      <c r="BB28" s="243">
        <f t="shared" si="30"/>
        <v>0</v>
      </c>
      <c r="BC28" s="243">
        <f t="shared" si="30"/>
        <v>1617604</v>
      </c>
      <c r="BD28" s="243">
        <f t="shared" si="30"/>
        <v>0</v>
      </c>
      <c r="BE28" s="243">
        <f t="shared" si="30"/>
        <v>0</v>
      </c>
      <c r="BF28" s="243">
        <f t="shared" si="30"/>
        <v>0</v>
      </c>
      <c r="BG28" s="243">
        <f t="shared" si="30"/>
        <v>0</v>
      </c>
      <c r="BH28" s="243">
        <f t="shared" si="30"/>
        <v>3000000</v>
      </c>
      <c r="BI28" s="243">
        <f t="shared" si="30"/>
        <v>1989933</v>
      </c>
      <c r="BJ28" s="243">
        <f t="shared" si="30"/>
        <v>0</v>
      </c>
      <c r="BK28" s="243">
        <f t="shared" si="30"/>
        <v>0</v>
      </c>
      <c r="BL28" s="243">
        <f t="shared" si="30"/>
        <v>0</v>
      </c>
      <c r="BM28" s="243">
        <f t="shared" si="30"/>
        <v>0</v>
      </c>
      <c r="BN28" s="243">
        <f t="shared" si="30"/>
        <v>0</v>
      </c>
      <c r="BO28" s="243">
        <f t="shared" si="30"/>
        <v>270000</v>
      </c>
      <c r="BP28" s="243">
        <f t="shared" si="30"/>
        <v>0</v>
      </c>
      <c r="BQ28" s="243">
        <f t="shared" ref="BQ28:ED28" si="31">+BQ16+BQ17+BQ18+BQ24+BQ25</f>
        <v>0</v>
      </c>
      <c r="BR28" s="243">
        <f t="shared" si="31"/>
        <v>0</v>
      </c>
      <c r="BS28" s="243">
        <f t="shared" si="31"/>
        <v>0</v>
      </c>
      <c r="BT28" s="243">
        <f t="shared" si="31"/>
        <v>15000000</v>
      </c>
      <c r="BU28" s="243">
        <f t="shared" si="31"/>
        <v>18607596</v>
      </c>
      <c r="BV28" s="243">
        <f t="shared" si="31"/>
        <v>1409700</v>
      </c>
      <c r="BW28" s="243">
        <f t="shared" si="31"/>
        <v>1409700</v>
      </c>
      <c r="BX28" s="243">
        <f t="shared" si="31"/>
        <v>254000</v>
      </c>
      <c r="BY28" s="243">
        <f t="shared" si="31"/>
        <v>254000</v>
      </c>
      <c r="BZ28" s="243">
        <f t="shared" si="31"/>
        <v>0</v>
      </c>
      <c r="CA28" s="243">
        <f t="shared" si="31"/>
        <v>0</v>
      </c>
      <c r="CB28" s="243">
        <f t="shared" si="31"/>
        <v>0</v>
      </c>
      <c r="CC28" s="243">
        <f t="shared" si="31"/>
        <v>0</v>
      </c>
      <c r="CD28" s="243">
        <f t="shared" si="31"/>
        <v>15444500</v>
      </c>
      <c r="CE28" s="243">
        <f t="shared" si="31"/>
        <v>18133000</v>
      </c>
      <c r="CF28" s="243">
        <f t="shared" si="31"/>
        <v>0</v>
      </c>
      <c r="CG28" s="243">
        <f t="shared" si="31"/>
        <v>0</v>
      </c>
      <c r="CH28" s="243">
        <f t="shared" si="31"/>
        <v>0</v>
      </c>
      <c r="CI28" s="243">
        <f t="shared" si="31"/>
        <v>0</v>
      </c>
      <c r="CJ28" s="243">
        <f t="shared" si="31"/>
        <v>0</v>
      </c>
      <c r="CK28" s="243">
        <f t="shared" si="31"/>
        <v>0</v>
      </c>
      <c r="CL28" s="243">
        <f t="shared" si="31"/>
        <v>6000000</v>
      </c>
      <c r="CM28" s="243">
        <f t="shared" si="31"/>
        <v>5755070</v>
      </c>
      <c r="CN28" s="243">
        <f t="shared" si="31"/>
        <v>0</v>
      </c>
      <c r="CO28" s="243">
        <f t="shared" si="31"/>
        <v>54990</v>
      </c>
      <c r="CP28" s="243">
        <f t="shared" si="31"/>
        <v>0</v>
      </c>
      <c r="CQ28" s="243">
        <f t="shared" si="31"/>
        <v>0</v>
      </c>
      <c r="CR28" s="243">
        <f t="shared" si="31"/>
        <v>0</v>
      </c>
      <c r="CS28" s="243">
        <f t="shared" si="31"/>
        <v>0</v>
      </c>
      <c r="CT28" s="243">
        <f t="shared" si="31"/>
        <v>1635000</v>
      </c>
      <c r="CU28" s="243">
        <f t="shared" si="31"/>
        <v>2073870</v>
      </c>
      <c r="CV28" s="243">
        <f t="shared" si="31"/>
        <v>17589500</v>
      </c>
      <c r="CW28" s="243">
        <f t="shared" si="31"/>
        <v>49283202</v>
      </c>
      <c r="CX28" s="243">
        <f t="shared" si="31"/>
        <v>0</v>
      </c>
      <c r="CY28" s="243">
        <f t="shared" si="31"/>
        <v>244930</v>
      </c>
      <c r="CZ28" s="243">
        <f t="shared" si="31"/>
        <v>0</v>
      </c>
      <c r="DA28" s="243">
        <f t="shared" si="31"/>
        <v>0</v>
      </c>
      <c r="DB28" s="243">
        <f t="shared" si="31"/>
        <v>0</v>
      </c>
      <c r="DC28" s="243">
        <f t="shared" si="31"/>
        <v>0</v>
      </c>
      <c r="DD28" s="243">
        <f t="shared" si="31"/>
        <v>0</v>
      </c>
      <c r="DE28" s="243">
        <f t="shared" si="31"/>
        <v>0</v>
      </c>
      <c r="DF28" s="243">
        <f t="shared" si="31"/>
        <v>4583303</v>
      </c>
      <c r="DG28" s="243">
        <f t="shared" si="31"/>
        <v>42870811</v>
      </c>
      <c r="DH28" s="243">
        <f t="shared" si="31"/>
        <v>0</v>
      </c>
      <c r="DI28" s="243">
        <f t="shared" si="31"/>
        <v>0</v>
      </c>
      <c r="DJ28" s="243">
        <f t="shared" si="31"/>
        <v>0</v>
      </c>
      <c r="DK28" s="243">
        <f t="shared" si="31"/>
        <v>0</v>
      </c>
      <c r="DL28" s="243">
        <f t="shared" si="31"/>
        <v>0</v>
      </c>
      <c r="DM28" s="243">
        <f t="shared" si="31"/>
        <v>0</v>
      </c>
      <c r="DN28" s="243">
        <f t="shared" si="31"/>
        <v>0</v>
      </c>
      <c r="DO28" s="243">
        <f t="shared" si="31"/>
        <v>0</v>
      </c>
      <c r="DP28" s="243">
        <f t="shared" si="31"/>
        <v>0</v>
      </c>
      <c r="DQ28" s="243">
        <f t="shared" si="31"/>
        <v>2014220</v>
      </c>
      <c r="DR28" s="243">
        <f t="shared" si="31"/>
        <v>1200000</v>
      </c>
      <c r="DS28" s="243">
        <f t="shared" si="31"/>
        <v>1200000</v>
      </c>
      <c r="DT28" s="243">
        <f t="shared" si="31"/>
        <v>0</v>
      </c>
      <c r="DU28" s="243">
        <f t="shared" si="31"/>
        <v>0</v>
      </c>
      <c r="DV28" s="243">
        <f t="shared" si="31"/>
        <v>0</v>
      </c>
      <c r="DW28" s="243">
        <f t="shared" si="31"/>
        <v>48600145</v>
      </c>
      <c r="DX28" s="243">
        <f t="shared" si="31"/>
        <v>65000000</v>
      </c>
      <c r="DY28" s="243">
        <f t="shared" si="31"/>
        <v>0</v>
      </c>
      <c r="DZ28" s="243">
        <f>+DZ16+DZ17+DZ18+DZ24+DZ25</f>
        <v>0</v>
      </c>
      <c r="EA28" s="243">
        <f>+EA16+EA17+EA18+EA24+EA25</f>
        <v>6023622</v>
      </c>
      <c r="EB28" s="243">
        <f t="shared" si="31"/>
        <v>508000</v>
      </c>
      <c r="EC28" s="243">
        <f t="shared" si="31"/>
        <v>24757116</v>
      </c>
      <c r="ED28" s="243">
        <f t="shared" si="31"/>
        <v>65000000</v>
      </c>
      <c r="EE28" s="243">
        <f t="shared" ref="EE28:GR28" si="32">+EE16+EE17+EE18+EE24+EE25</f>
        <v>0</v>
      </c>
      <c r="EF28" s="243">
        <f>+EF16+EF17+EF18+EF24+EF25</f>
        <v>0</v>
      </c>
      <c r="EG28" s="243">
        <f>+EG16+EG17+EG18+EG24+EG25</f>
        <v>34621550</v>
      </c>
      <c r="EH28" s="243">
        <f t="shared" si="32"/>
        <v>0</v>
      </c>
      <c r="EI28" s="243">
        <f t="shared" si="32"/>
        <v>0</v>
      </c>
      <c r="EJ28" s="243">
        <f t="shared" si="32"/>
        <v>0</v>
      </c>
      <c r="EK28" s="243">
        <f t="shared" si="32"/>
        <v>0</v>
      </c>
      <c r="EL28" s="243">
        <f t="shared" si="32"/>
        <v>0</v>
      </c>
      <c r="EM28" s="243">
        <f t="shared" si="32"/>
        <v>0</v>
      </c>
      <c r="EN28" s="243">
        <f t="shared" si="32"/>
        <v>0</v>
      </c>
      <c r="EO28" s="243">
        <f t="shared" si="32"/>
        <v>0</v>
      </c>
      <c r="EP28" s="243">
        <f t="shared" si="32"/>
        <v>0</v>
      </c>
      <c r="EQ28" s="243">
        <f t="shared" si="32"/>
        <v>0</v>
      </c>
      <c r="ER28" s="243">
        <f t="shared" si="32"/>
        <v>0</v>
      </c>
      <c r="ES28" s="243">
        <f t="shared" si="32"/>
        <v>0</v>
      </c>
      <c r="ET28" s="243">
        <f t="shared" si="32"/>
        <v>0</v>
      </c>
      <c r="EU28" s="243">
        <f t="shared" si="32"/>
        <v>0</v>
      </c>
      <c r="EV28" s="243">
        <f t="shared" si="32"/>
        <v>0</v>
      </c>
      <c r="EW28" s="243">
        <f t="shared" si="32"/>
        <v>0</v>
      </c>
      <c r="EX28" s="243">
        <f t="shared" si="32"/>
        <v>0</v>
      </c>
      <c r="EY28" s="243">
        <f t="shared" si="32"/>
        <v>0</v>
      </c>
      <c r="EZ28" s="243">
        <f t="shared" si="32"/>
        <v>0</v>
      </c>
      <c r="FA28" s="243">
        <f t="shared" si="32"/>
        <v>0</v>
      </c>
      <c r="FB28" s="243">
        <f t="shared" si="32"/>
        <v>0</v>
      </c>
      <c r="FC28" s="243">
        <f t="shared" si="32"/>
        <v>0</v>
      </c>
      <c r="FD28" s="243">
        <f t="shared" si="32"/>
        <v>0</v>
      </c>
      <c r="FE28" s="243">
        <f t="shared" si="32"/>
        <v>0</v>
      </c>
      <c r="FF28" s="243">
        <f t="shared" si="32"/>
        <v>0</v>
      </c>
      <c r="FG28" s="243">
        <f t="shared" si="32"/>
        <v>0</v>
      </c>
      <c r="FH28" s="243">
        <f t="shared" si="32"/>
        <v>62281820</v>
      </c>
      <c r="FI28" s="243">
        <f t="shared" si="32"/>
        <v>98501338</v>
      </c>
      <c r="FJ28" s="243">
        <f t="shared" si="32"/>
        <v>0</v>
      </c>
      <c r="FK28" s="243">
        <f t="shared" si="32"/>
        <v>0</v>
      </c>
      <c r="FL28" s="243">
        <f t="shared" si="32"/>
        <v>0</v>
      </c>
      <c r="FM28" s="243">
        <f t="shared" si="32"/>
        <v>0</v>
      </c>
      <c r="FN28" s="243">
        <f t="shared" si="32"/>
        <v>0</v>
      </c>
      <c r="FO28" s="243">
        <f t="shared" si="32"/>
        <v>0</v>
      </c>
      <c r="FP28" s="243">
        <f t="shared" si="32"/>
        <v>0</v>
      </c>
      <c r="FQ28" s="243">
        <f t="shared" si="32"/>
        <v>0</v>
      </c>
      <c r="FR28" s="243">
        <f t="shared" si="32"/>
        <v>0</v>
      </c>
      <c r="FS28" s="243">
        <f t="shared" si="32"/>
        <v>28847471</v>
      </c>
      <c r="FT28" s="243">
        <f t="shared" si="32"/>
        <v>0</v>
      </c>
      <c r="FU28" s="243">
        <f t="shared" si="32"/>
        <v>0</v>
      </c>
      <c r="FV28" s="243">
        <f t="shared" si="32"/>
        <v>0</v>
      </c>
      <c r="FW28" s="243">
        <f t="shared" si="32"/>
        <v>7472477</v>
      </c>
      <c r="FX28" s="243">
        <f t="shared" si="32"/>
        <v>16587470</v>
      </c>
      <c r="FY28" s="243">
        <f t="shared" si="32"/>
        <v>18682617</v>
      </c>
      <c r="FZ28" s="243">
        <f t="shared" si="32"/>
        <v>0</v>
      </c>
      <c r="GA28" s="243">
        <f t="shared" si="32"/>
        <v>0</v>
      </c>
      <c r="GB28" s="243">
        <f t="shared" si="32"/>
        <v>18743098</v>
      </c>
      <c r="GC28" s="243">
        <f t="shared" si="32"/>
        <v>26018900</v>
      </c>
      <c r="GD28" s="243">
        <f t="shared" si="32"/>
        <v>0</v>
      </c>
      <c r="GE28" s="243">
        <f t="shared" si="32"/>
        <v>0</v>
      </c>
      <c r="GF28" s="243">
        <f t="shared" si="32"/>
        <v>0</v>
      </c>
      <c r="GG28" s="243">
        <f t="shared" si="32"/>
        <v>0</v>
      </c>
      <c r="GH28" s="243">
        <f t="shared" si="32"/>
        <v>0</v>
      </c>
      <c r="GI28" s="243">
        <f t="shared" si="32"/>
        <v>0</v>
      </c>
      <c r="GJ28" s="243">
        <f t="shared" si="32"/>
        <v>665896057</v>
      </c>
      <c r="GK28" s="243">
        <f t="shared" si="32"/>
        <v>562836618</v>
      </c>
      <c r="GL28" s="243">
        <f t="shared" si="32"/>
        <v>0</v>
      </c>
      <c r="GM28" s="243">
        <f t="shared" si="32"/>
        <v>8475667</v>
      </c>
      <c r="GN28" s="243">
        <f t="shared" si="32"/>
        <v>0</v>
      </c>
      <c r="GO28" s="243">
        <f t="shared" si="32"/>
        <v>0</v>
      </c>
      <c r="GP28" s="243">
        <f t="shared" si="32"/>
        <v>0</v>
      </c>
      <c r="GQ28" s="243">
        <f t="shared" si="32"/>
        <v>0</v>
      </c>
      <c r="GR28" s="243">
        <f t="shared" si="32"/>
        <v>0</v>
      </c>
      <c r="GS28" s="243">
        <f t="shared" ref="GS28:HY28" si="33">+GS16+GS17+GS18+GS24+GS25</f>
        <v>0</v>
      </c>
      <c r="GT28" s="243">
        <f t="shared" si="33"/>
        <v>497685262</v>
      </c>
      <c r="GU28" s="243">
        <f t="shared" si="33"/>
        <v>387941151</v>
      </c>
      <c r="GV28" s="243">
        <f t="shared" si="33"/>
        <v>0</v>
      </c>
      <c r="GW28" s="243">
        <f t="shared" si="33"/>
        <v>22529027</v>
      </c>
      <c r="GX28" s="243">
        <f t="shared" si="33"/>
        <v>0</v>
      </c>
      <c r="GY28" s="243">
        <f t="shared" si="33"/>
        <v>1811551</v>
      </c>
      <c r="GZ28" s="243">
        <f t="shared" si="33"/>
        <v>0</v>
      </c>
      <c r="HA28" s="243">
        <f t="shared" si="33"/>
        <v>0</v>
      </c>
      <c r="HB28" s="243">
        <f t="shared" si="33"/>
        <v>0</v>
      </c>
      <c r="HC28" s="243">
        <f t="shared" si="33"/>
        <v>0</v>
      </c>
      <c r="HD28" s="243">
        <f t="shared" si="33"/>
        <v>759054</v>
      </c>
      <c r="HE28" s="243">
        <f t="shared" si="33"/>
        <v>759054</v>
      </c>
      <c r="HF28" s="243">
        <f t="shared" si="33"/>
        <v>7499350</v>
      </c>
      <c r="HG28" s="243">
        <f t="shared" si="33"/>
        <v>41418264</v>
      </c>
      <c r="HH28" s="243">
        <f t="shared" si="33"/>
        <v>0</v>
      </c>
      <c r="HI28" s="243">
        <f t="shared" si="33"/>
        <v>0</v>
      </c>
      <c r="HJ28" s="243">
        <f t="shared" si="33"/>
        <v>48986500</v>
      </c>
      <c r="HK28" s="243">
        <f t="shared" si="33"/>
        <v>48986500</v>
      </c>
      <c r="HL28" s="243">
        <f t="shared" si="33"/>
        <v>0</v>
      </c>
      <c r="HM28" s="243">
        <f t="shared" si="33"/>
        <v>0</v>
      </c>
      <c r="HN28" s="243">
        <f t="shared" si="33"/>
        <v>9000000</v>
      </c>
      <c r="HO28" s="243">
        <f t="shared" si="33"/>
        <v>5000000</v>
      </c>
      <c r="HP28" s="243">
        <f t="shared" si="33"/>
        <v>0</v>
      </c>
      <c r="HQ28" s="243">
        <f t="shared" si="33"/>
        <v>0</v>
      </c>
      <c r="HR28" s="243">
        <f t="shared" si="33"/>
        <v>43997512</v>
      </c>
      <c r="HS28" s="243">
        <f t="shared" si="33"/>
        <v>48997508</v>
      </c>
      <c r="HT28" s="243">
        <f t="shared" si="33"/>
        <v>5000000</v>
      </c>
      <c r="HU28" s="243">
        <f t="shared" si="33"/>
        <v>500004</v>
      </c>
      <c r="HV28" s="243">
        <f t="shared" si="33"/>
        <v>4690164</v>
      </c>
      <c r="HW28" s="243">
        <f t="shared" si="33"/>
        <v>9146167</v>
      </c>
      <c r="HX28" s="243">
        <f t="shared" si="33"/>
        <v>0</v>
      </c>
      <c r="HY28" s="243">
        <f t="shared" si="33"/>
        <v>88545</v>
      </c>
      <c r="HZ28" s="243">
        <f t="shared" ref="HZ28:II28" si="34">+HZ16+HZ17+HZ18+HZ24+HZ25</f>
        <v>0</v>
      </c>
      <c r="IA28" s="243">
        <f t="shared" si="34"/>
        <v>5461000</v>
      </c>
      <c r="IB28" s="243">
        <f t="shared" si="34"/>
        <v>0</v>
      </c>
      <c r="IC28" s="243">
        <f t="shared" si="34"/>
        <v>80000</v>
      </c>
      <c r="ID28" s="243">
        <f t="shared" si="34"/>
        <v>0</v>
      </c>
      <c r="IE28" s="243">
        <f t="shared" si="34"/>
        <v>123664200</v>
      </c>
      <c r="IF28" s="243">
        <f t="shared" si="34"/>
        <v>0</v>
      </c>
      <c r="IG28" s="243">
        <f t="shared" si="34"/>
        <v>8826500</v>
      </c>
      <c r="IH28" s="243">
        <f t="shared" si="34"/>
        <v>0</v>
      </c>
      <c r="II28" s="243">
        <f t="shared" si="34"/>
        <v>0</v>
      </c>
    </row>
    <row r="29" spans="1:245" s="229" customFormat="1" ht="21.75" customHeight="1" x14ac:dyDescent="0.25">
      <c r="A29" s="222" t="s">
        <v>267</v>
      </c>
      <c r="B29" s="238" t="s">
        <v>333</v>
      </c>
      <c r="C29" s="224" t="s">
        <v>31</v>
      </c>
      <c r="D29" s="243">
        <f>+D27+D28</f>
        <v>270974377</v>
      </c>
      <c r="E29" s="243">
        <f t="shared" ref="E29:BP29" si="35">+E27+E28</f>
        <v>255058296</v>
      </c>
      <c r="F29" s="243">
        <f t="shared" si="35"/>
        <v>87152400</v>
      </c>
      <c r="G29" s="243">
        <f t="shared" si="35"/>
        <v>62761708</v>
      </c>
      <c r="H29" s="243">
        <f t="shared" si="35"/>
        <v>4820771</v>
      </c>
      <c r="I29" s="243">
        <f t="shared" si="35"/>
        <v>4820771</v>
      </c>
      <c r="J29" s="243">
        <f t="shared" si="35"/>
        <v>0</v>
      </c>
      <c r="K29" s="243">
        <f t="shared" si="35"/>
        <v>2351024</v>
      </c>
      <c r="L29" s="243">
        <f t="shared" si="35"/>
        <v>30660400</v>
      </c>
      <c r="M29" s="243">
        <f t="shared" si="35"/>
        <v>20389850</v>
      </c>
      <c r="N29" s="243">
        <f t="shared" si="35"/>
        <v>254000</v>
      </c>
      <c r="O29" s="243">
        <f t="shared" si="35"/>
        <v>0</v>
      </c>
      <c r="P29" s="243">
        <f t="shared" si="35"/>
        <v>67707653</v>
      </c>
      <c r="Q29" s="243">
        <f t="shared" si="35"/>
        <v>113920196</v>
      </c>
      <c r="R29" s="243">
        <f t="shared" si="35"/>
        <v>13073150</v>
      </c>
      <c r="S29" s="243">
        <f t="shared" si="35"/>
        <v>43935387</v>
      </c>
      <c r="T29" s="243">
        <f t="shared" si="35"/>
        <v>1000000</v>
      </c>
      <c r="U29" s="243">
        <f t="shared" si="35"/>
        <v>1000000</v>
      </c>
      <c r="V29" s="243">
        <f t="shared" si="35"/>
        <v>10027494</v>
      </c>
      <c r="W29" s="243">
        <f t="shared" si="35"/>
        <v>30728244</v>
      </c>
      <c r="X29" s="243">
        <f t="shared" si="35"/>
        <v>2000000</v>
      </c>
      <c r="Y29" s="243">
        <f t="shared" si="35"/>
        <v>3690750</v>
      </c>
      <c r="Z29" s="243">
        <f t="shared" si="35"/>
        <v>0</v>
      </c>
      <c r="AA29" s="243">
        <f t="shared" si="35"/>
        <v>160000</v>
      </c>
      <c r="AB29" s="243">
        <f t="shared" si="35"/>
        <v>0</v>
      </c>
      <c r="AC29" s="243">
        <f t="shared" si="35"/>
        <v>0</v>
      </c>
      <c r="AD29" s="243">
        <f t="shared" si="35"/>
        <v>0</v>
      </c>
      <c r="AE29" s="243">
        <f t="shared" si="35"/>
        <v>0</v>
      </c>
      <c r="AF29" s="243">
        <f t="shared" si="35"/>
        <v>6698581</v>
      </c>
      <c r="AG29" s="243">
        <f t="shared" si="35"/>
        <v>15778109</v>
      </c>
      <c r="AH29" s="243">
        <f t="shared" si="35"/>
        <v>0</v>
      </c>
      <c r="AI29" s="243">
        <f t="shared" si="35"/>
        <v>0</v>
      </c>
      <c r="AJ29" s="243">
        <f t="shared" si="35"/>
        <v>91678600</v>
      </c>
      <c r="AK29" s="243">
        <f t="shared" si="35"/>
        <v>105226678</v>
      </c>
      <c r="AL29" s="243">
        <f t="shared" si="35"/>
        <v>93624680</v>
      </c>
      <c r="AM29" s="243">
        <f t="shared" si="35"/>
        <v>133228385</v>
      </c>
      <c r="AN29" s="243">
        <f t="shared" si="35"/>
        <v>0</v>
      </c>
      <c r="AO29" s="243">
        <f t="shared" si="35"/>
        <v>0</v>
      </c>
      <c r="AP29" s="243">
        <f t="shared" si="35"/>
        <v>8981569</v>
      </c>
      <c r="AQ29" s="243">
        <f t="shared" si="35"/>
        <v>10484010</v>
      </c>
      <c r="AR29" s="243">
        <f t="shared" si="35"/>
        <v>0</v>
      </c>
      <c r="AS29" s="243">
        <f t="shared" si="35"/>
        <v>0</v>
      </c>
      <c r="AT29" s="243">
        <f t="shared" si="35"/>
        <v>0</v>
      </c>
      <c r="AU29" s="243">
        <f t="shared" si="35"/>
        <v>0</v>
      </c>
      <c r="AV29" s="243">
        <f t="shared" si="35"/>
        <v>26400000</v>
      </c>
      <c r="AW29" s="243">
        <f t="shared" si="35"/>
        <v>25563553</v>
      </c>
      <c r="AX29" s="243">
        <f t="shared" si="35"/>
        <v>10000000</v>
      </c>
      <c r="AY29" s="243">
        <f t="shared" si="35"/>
        <v>5000000</v>
      </c>
      <c r="AZ29" s="243">
        <f t="shared" si="35"/>
        <v>25000000</v>
      </c>
      <c r="BA29" s="243">
        <f t="shared" si="35"/>
        <v>22024600</v>
      </c>
      <c r="BB29" s="243">
        <f t="shared" si="35"/>
        <v>298950943</v>
      </c>
      <c r="BC29" s="243">
        <f t="shared" si="35"/>
        <v>294588859</v>
      </c>
      <c r="BD29" s="243">
        <f t="shared" si="35"/>
        <v>43128038</v>
      </c>
      <c r="BE29" s="243">
        <f t="shared" si="35"/>
        <v>46905466</v>
      </c>
      <c r="BF29" s="243">
        <f t="shared" si="35"/>
        <v>51500000</v>
      </c>
      <c r="BG29" s="243">
        <f t="shared" si="35"/>
        <v>29146500</v>
      </c>
      <c r="BH29" s="243">
        <f t="shared" si="35"/>
        <v>8300000</v>
      </c>
      <c r="BI29" s="243">
        <f t="shared" si="35"/>
        <v>15414485</v>
      </c>
      <c r="BJ29" s="243">
        <f t="shared" si="35"/>
        <v>194079193</v>
      </c>
      <c r="BK29" s="243">
        <f t="shared" si="35"/>
        <v>200780446</v>
      </c>
      <c r="BL29" s="243">
        <f t="shared" si="35"/>
        <v>101000000</v>
      </c>
      <c r="BM29" s="243">
        <f t="shared" si="35"/>
        <v>120507757</v>
      </c>
      <c r="BN29" s="243">
        <f t="shared" si="35"/>
        <v>36276653</v>
      </c>
      <c r="BO29" s="243">
        <f t="shared" si="35"/>
        <v>42328926</v>
      </c>
      <c r="BP29" s="243">
        <f t="shared" si="35"/>
        <v>6630000</v>
      </c>
      <c r="BQ29" s="243">
        <f t="shared" ref="BQ29:ED29" si="36">+BQ27+BQ28</f>
        <v>9110000</v>
      </c>
      <c r="BR29" s="243">
        <f t="shared" si="36"/>
        <v>20722250</v>
      </c>
      <c r="BS29" s="243">
        <f t="shared" si="36"/>
        <v>20722250</v>
      </c>
      <c r="BT29" s="243">
        <f t="shared" si="36"/>
        <v>24152000</v>
      </c>
      <c r="BU29" s="243">
        <f t="shared" si="36"/>
        <v>26070347</v>
      </c>
      <c r="BV29" s="243">
        <f t="shared" si="36"/>
        <v>21019300</v>
      </c>
      <c r="BW29" s="243">
        <f t="shared" si="36"/>
        <v>21844800</v>
      </c>
      <c r="BX29" s="243">
        <f t="shared" si="36"/>
        <v>37801077</v>
      </c>
      <c r="BY29" s="243">
        <f t="shared" si="36"/>
        <v>55926327</v>
      </c>
      <c r="BZ29" s="243">
        <f t="shared" si="36"/>
        <v>0</v>
      </c>
      <c r="CA29" s="243">
        <f t="shared" si="36"/>
        <v>0</v>
      </c>
      <c r="CB29" s="243">
        <f t="shared" si="36"/>
        <v>2000000</v>
      </c>
      <c r="CC29" s="243">
        <f t="shared" si="36"/>
        <v>2000000</v>
      </c>
      <c r="CD29" s="243">
        <f t="shared" si="36"/>
        <v>15444500</v>
      </c>
      <c r="CE29" s="243">
        <f t="shared" si="36"/>
        <v>18373000</v>
      </c>
      <c r="CF29" s="243">
        <f t="shared" si="36"/>
        <v>500000</v>
      </c>
      <c r="CG29" s="243">
        <f t="shared" si="36"/>
        <v>500000</v>
      </c>
      <c r="CH29" s="243">
        <f t="shared" si="36"/>
        <v>3465000</v>
      </c>
      <c r="CI29" s="243">
        <f t="shared" si="36"/>
        <v>3665000</v>
      </c>
      <c r="CJ29" s="243">
        <f t="shared" si="36"/>
        <v>16434280</v>
      </c>
      <c r="CK29" s="243">
        <f t="shared" si="36"/>
        <v>16434280</v>
      </c>
      <c r="CL29" s="243">
        <f t="shared" si="36"/>
        <v>40386460</v>
      </c>
      <c r="CM29" s="243">
        <f t="shared" si="36"/>
        <v>46830530</v>
      </c>
      <c r="CN29" s="243">
        <f t="shared" si="36"/>
        <v>1500000</v>
      </c>
      <c r="CO29" s="243">
        <f t="shared" si="36"/>
        <v>1500000</v>
      </c>
      <c r="CP29" s="243">
        <f t="shared" si="36"/>
        <v>2000000</v>
      </c>
      <c r="CQ29" s="243">
        <f t="shared" si="36"/>
        <v>23285331</v>
      </c>
      <c r="CR29" s="243">
        <f t="shared" si="36"/>
        <v>1011638</v>
      </c>
      <c r="CS29" s="243">
        <f t="shared" si="36"/>
        <v>1026838</v>
      </c>
      <c r="CT29" s="243">
        <f t="shared" si="36"/>
        <v>28739662</v>
      </c>
      <c r="CU29" s="243">
        <f t="shared" si="36"/>
        <v>29854678</v>
      </c>
      <c r="CV29" s="243">
        <f t="shared" si="36"/>
        <v>86623342</v>
      </c>
      <c r="CW29" s="243">
        <f t="shared" si="36"/>
        <v>124278882</v>
      </c>
      <c r="CX29" s="243">
        <f t="shared" si="36"/>
        <v>84578100</v>
      </c>
      <c r="CY29" s="243">
        <f t="shared" si="36"/>
        <v>177551943</v>
      </c>
      <c r="CZ29" s="243">
        <f t="shared" si="36"/>
        <v>36686300</v>
      </c>
      <c r="DA29" s="243">
        <f t="shared" si="36"/>
        <v>36946310</v>
      </c>
      <c r="DB29" s="243">
        <f t="shared" si="36"/>
        <v>52794000</v>
      </c>
      <c r="DC29" s="243">
        <f t="shared" si="36"/>
        <v>60826982</v>
      </c>
      <c r="DD29" s="243">
        <f t="shared" si="36"/>
        <v>2000000</v>
      </c>
      <c r="DE29" s="243">
        <f t="shared" si="36"/>
        <v>2018945</v>
      </c>
      <c r="DF29" s="243">
        <f t="shared" si="36"/>
        <v>84939691</v>
      </c>
      <c r="DG29" s="243">
        <f t="shared" si="36"/>
        <v>141037787</v>
      </c>
      <c r="DH29" s="243">
        <f t="shared" si="36"/>
        <v>13000000</v>
      </c>
      <c r="DI29" s="243">
        <f t="shared" si="36"/>
        <v>17768251</v>
      </c>
      <c r="DJ29" s="243">
        <f t="shared" si="36"/>
        <v>24000000</v>
      </c>
      <c r="DK29" s="243">
        <f t="shared" si="36"/>
        <v>24000000</v>
      </c>
      <c r="DL29" s="243">
        <f t="shared" si="36"/>
        <v>2650000</v>
      </c>
      <c r="DM29" s="243">
        <f t="shared" si="36"/>
        <v>2850000</v>
      </c>
      <c r="DN29" s="243">
        <f t="shared" si="36"/>
        <v>500000</v>
      </c>
      <c r="DO29" s="243">
        <f t="shared" si="36"/>
        <v>572000</v>
      </c>
      <c r="DP29" s="243">
        <f t="shared" si="36"/>
        <v>3840000</v>
      </c>
      <c r="DQ29" s="243">
        <f t="shared" si="36"/>
        <v>6174220</v>
      </c>
      <c r="DR29" s="243">
        <f t="shared" si="36"/>
        <v>1200000</v>
      </c>
      <c r="DS29" s="243">
        <f t="shared" si="36"/>
        <v>1200000</v>
      </c>
      <c r="DT29" s="243">
        <f t="shared" si="36"/>
        <v>0</v>
      </c>
      <c r="DU29" s="243">
        <f t="shared" si="36"/>
        <v>0</v>
      </c>
      <c r="DV29" s="243">
        <f t="shared" si="36"/>
        <v>0</v>
      </c>
      <c r="DW29" s="243">
        <f t="shared" si="36"/>
        <v>55649285</v>
      </c>
      <c r="DX29" s="243">
        <f t="shared" si="36"/>
        <v>65000000</v>
      </c>
      <c r="DY29" s="243">
        <f t="shared" si="36"/>
        <v>0</v>
      </c>
      <c r="DZ29" s="243">
        <f>+DZ27+DZ28</f>
        <v>0</v>
      </c>
      <c r="EA29" s="243">
        <f>+EA27+EA28</f>
        <v>7650000</v>
      </c>
      <c r="EB29" s="243">
        <f t="shared" si="36"/>
        <v>508000</v>
      </c>
      <c r="EC29" s="243">
        <f t="shared" si="36"/>
        <v>24965777</v>
      </c>
      <c r="ED29" s="243">
        <f t="shared" si="36"/>
        <v>65000000</v>
      </c>
      <c r="EE29" s="243">
        <f t="shared" ref="EE29:GR29" si="37">+EE27+EE28</f>
        <v>0</v>
      </c>
      <c r="EF29" s="243">
        <f>+EF27+EF28</f>
        <v>0</v>
      </c>
      <c r="EG29" s="243">
        <f>+EG27+EG28</f>
        <v>43969369</v>
      </c>
      <c r="EH29" s="243">
        <f t="shared" si="37"/>
        <v>3700000</v>
      </c>
      <c r="EI29" s="243">
        <f t="shared" si="37"/>
        <v>4080570</v>
      </c>
      <c r="EJ29" s="243">
        <f t="shared" si="37"/>
        <v>2740000</v>
      </c>
      <c r="EK29" s="243">
        <f t="shared" si="37"/>
        <v>2740000</v>
      </c>
      <c r="EL29" s="243">
        <f t="shared" si="37"/>
        <v>7270500</v>
      </c>
      <c r="EM29" s="243">
        <f t="shared" si="37"/>
        <v>7358049</v>
      </c>
      <c r="EN29" s="243">
        <f t="shared" si="37"/>
        <v>2000000</v>
      </c>
      <c r="EO29" s="243">
        <f t="shared" si="37"/>
        <v>2000000</v>
      </c>
      <c r="EP29" s="243">
        <f t="shared" si="37"/>
        <v>8255800</v>
      </c>
      <c r="EQ29" s="243">
        <f t="shared" si="37"/>
        <v>8255800</v>
      </c>
      <c r="ER29" s="243">
        <f t="shared" si="37"/>
        <v>2017360</v>
      </c>
      <c r="ES29" s="243">
        <f t="shared" si="37"/>
        <v>2017360</v>
      </c>
      <c r="ET29" s="243">
        <f t="shared" si="37"/>
        <v>5000000</v>
      </c>
      <c r="EU29" s="243">
        <f t="shared" si="37"/>
        <v>5000000</v>
      </c>
      <c r="EV29" s="243">
        <f t="shared" si="37"/>
        <v>0</v>
      </c>
      <c r="EW29" s="243">
        <f t="shared" si="37"/>
        <v>0</v>
      </c>
      <c r="EX29" s="243">
        <f t="shared" si="37"/>
        <v>0</v>
      </c>
      <c r="EY29" s="243">
        <f t="shared" si="37"/>
        <v>0</v>
      </c>
      <c r="EZ29" s="243">
        <f t="shared" si="37"/>
        <v>0</v>
      </c>
      <c r="FA29" s="243">
        <f t="shared" si="37"/>
        <v>0</v>
      </c>
      <c r="FB29" s="243">
        <f t="shared" si="37"/>
        <v>0</v>
      </c>
      <c r="FC29" s="243">
        <f t="shared" si="37"/>
        <v>0</v>
      </c>
      <c r="FD29" s="243">
        <f t="shared" si="37"/>
        <v>0</v>
      </c>
      <c r="FE29" s="243">
        <f t="shared" si="37"/>
        <v>0</v>
      </c>
      <c r="FF29" s="243">
        <f t="shared" si="37"/>
        <v>897149962</v>
      </c>
      <c r="FG29" s="243">
        <f t="shared" si="37"/>
        <v>1872854738</v>
      </c>
      <c r="FH29" s="243">
        <f t="shared" si="37"/>
        <v>3575792043</v>
      </c>
      <c r="FI29" s="243">
        <f t="shared" si="37"/>
        <v>3784748279</v>
      </c>
      <c r="FJ29" s="243">
        <f t="shared" si="37"/>
        <v>0</v>
      </c>
      <c r="FK29" s="243">
        <f t="shared" si="37"/>
        <v>0</v>
      </c>
      <c r="FL29" s="243">
        <f t="shared" si="37"/>
        <v>3000000</v>
      </c>
      <c r="FM29" s="243">
        <f t="shared" si="37"/>
        <v>12283876</v>
      </c>
      <c r="FN29" s="243">
        <f t="shared" si="37"/>
        <v>0</v>
      </c>
      <c r="FO29" s="243">
        <f t="shared" si="37"/>
        <v>0</v>
      </c>
      <c r="FP29" s="243">
        <f t="shared" si="37"/>
        <v>842991977</v>
      </c>
      <c r="FQ29" s="243">
        <f t="shared" si="37"/>
        <v>914397335</v>
      </c>
      <c r="FR29" s="243">
        <f t="shared" si="37"/>
        <v>0</v>
      </c>
      <c r="FS29" s="243">
        <f t="shared" si="37"/>
        <v>28847471</v>
      </c>
      <c r="FT29" s="243">
        <f t="shared" si="37"/>
        <v>0</v>
      </c>
      <c r="FU29" s="243">
        <f t="shared" si="37"/>
        <v>0</v>
      </c>
      <c r="FV29" s="243">
        <f t="shared" si="37"/>
        <v>0</v>
      </c>
      <c r="FW29" s="243">
        <f t="shared" si="37"/>
        <v>7472477</v>
      </c>
      <c r="FX29" s="243">
        <f t="shared" si="37"/>
        <v>16587470</v>
      </c>
      <c r="FY29" s="243">
        <f t="shared" si="37"/>
        <v>18762617</v>
      </c>
      <c r="FZ29" s="243">
        <f t="shared" si="37"/>
        <v>0</v>
      </c>
      <c r="GA29" s="243">
        <f t="shared" si="37"/>
        <v>0</v>
      </c>
      <c r="GB29" s="243">
        <f t="shared" si="37"/>
        <v>18743098</v>
      </c>
      <c r="GC29" s="243">
        <f t="shared" si="37"/>
        <v>26033900</v>
      </c>
      <c r="GD29" s="243">
        <f t="shared" si="37"/>
        <v>7000000</v>
      </c>
      <c r="GE29" s="243">
        <f t="shared" si="37"/>
        <v>7000000</v>
      </c>
      <c r="GF29" s="243">
        <f t="shared" si="37"/>
        <v>898020658</v>
      </c>
      <c r="GG29" s="243">
        <f t="shared" si="37"/>
        <v>898020658</v>
      </c>
      <c r="GH29" s="243">
        <f t="shared" si="37"/>
        <v>5000000</v>
      </c>
      <c r="GI29" s="243">
        <f t="shared" si="37"/>
        <v>5000000</v>
      </c>
      <c r="GJ29" s="243">
        <f t="shared" si="37"/>
        <v>680238497</v>
      </c>
      <c r="GK29" s="243">
        <f t="shared" si="37"/>
        <v>697946447</v>
      </c>
      <c r="GL29" s="243">
        <f t="shared" si="37"/>
        <v>0</v>
      </c>
      <c r="GM29" s="243">
        <f t="shared" si="37"/>
        <v>10004976</v>
      </c>
      <c r="GN29" s="243">
        <f t="shared" si="37"/>
        <v>0</v>
      </c>
      <c r="GO29" s="243">
        <f t="shared" si="37"/>
        <v>0</v>
      </c>
      <c r="GP29" s="243">
        <f t="shared" si="37"/>
        <v>0</v>
      </c>
      <c r="GQ29" s="243">
        <f t="shared" si="37"/>
        <v>0</v>
      </c>
      <c r="GR29" s="243">
        <f t="shared" si="37"/>
        <v>0</v>
      </c>
      <c r="GS29" s="243">
        <f t="shared" ref="GS29:HY29" si="38">+GS27+GS28</f>
        <v>0</v>
      </c>
      <c r="GT29" s="243">
        <f t="shared" si="38"/>
        <v>497685262</v>
      </c>
      <c r="GU29" s="243">
        <f t="shared" si="38"/>
        <v>492685262</v>
      </c>
      <c r="GV29" s="243">
        <f t="shared" si="38"/>
        <v>0</v>
      </c>
      <c r="GW29" s="243">
        <f t="shared" si="38"/>
        <v>25474644</v>
      </c>
      <c r="GX29" s="243">
        <f t="shared" si="38"/>
        <v>1811551</v>
      </c>
      <c r="GY29" s="243">
        <f t="shared" si="38"/>
        <v>1811551</v>
      </c>
      <c r="GZ29" s="243">
        <f t="shared" si="38"/>
        <v>0</v>
      </c>
      <c r="HA29" s="243">
        <f t="shared" si="38"/>
        <v>0</v>
      </c>
      <c r="HB29" s="243">
        <f t="shared" si="38"/>
        <v>330331</v>
      </c>
      <c r="HC29" s="243">
        <f t="shared" si="38"/>
        <v>330331</v>
      </c>
      <c r="HD29" s="243">
        <f t="shared" si="38"/>
        <v>759054</v>
      </c>
      <c r="HE29" s="243">
        <f t="shared" si="38"/>
        <v>759054</v>
      </c>
      <c r="HF29" s="243">
        <f t="shared" si="38"/>
        <v>7499350</v>
      </c>
      <c r="HG29" s="243">
        <f t="shared" si="38"/>
        <v>49565206</v>
      </c>
      <c r="HH29" s="243">
        <f t="shared" si="38"/>
        <v>0</v>
      </c>
      <c r="HI29" s="243">
        <f t="shared" si="38"/>
        <v>0</v>
      </c>
      <c r="HJ29" s="243">
        <f t="shared" si="38"/>
        <v>48986500</v>
      </c>
      <c r="HK29" s="243">
        <f t="shared" si="38"/>
        <v>48986500</v>
      </c>
      <c r="HL29" s="243">
        <f t="shared" si="38"/>
        <v>0</v>
      </c>
      <c r="HM29" s="243">
        <f t="shared" si="38"/>
        <v>0</v>
      </c>
      <c r="HN29" s="243">
        <f t="shared" si="38"/>
        <v>9000000</v>
      </c>
      <c r="HO29" s="243">
        <f t="shared" si="38"/>
        <v>9000000</v>
      </c>
      <c r="HP29" s="243">
        <f t="shared" si="38"/>
        <v>0</v>
      </c>
      <c r="HQ29" s="243">
        <f t="shared" si="38"/>
        <v>0</v>
      </c>
      <c r="HR29" s="243">
        <f t="shared" si="38"/>
        <v>43997512</v>
      </c>
      <c r="HS29" s="243">
        <f t="shared" si="38"/>
        <v>48997508</v>
      </c>
      <c r="HT29" s="243">
        <f t="shared" si="38"/>
        <v>5000000</v>
      </c>
      <c r="HU29" s="243">
        <f t="shared" si="38"/>
        <v>855604</v>
      </c>
      <c r="HV29" s="243">
        <f t="shared" si="38"/>
        <v>4690164</v>
      </c>
      <c r="HW29" s="243">
        <f t="shared" si="38"/>
        <v>9380167</v>
      </c>
      <c r="HX29" s="243">
        <f t="shared" si="38"/>
        <v>0</v>
      </c>
      <c r="HY29" s="243">
        <f t="shared" si="38"/>
        <v>88545</v>
      </c>
      <c r="HZ29" s="243">
        <f t="shared" ref="HZ29:II29" si="39">+HZ27+HZ28</f>
        <v>0</v>
      </c>
      <c r="IA29" s="243">
        <f t="shared" si="39"/>
        <v>6032500</v>
      </c>
      <c r="IB29" s="243">
        <f t="shared" si="39"/>
        <v>0</v>
      </c>
      <c r="IC29" s="243">
        <f t="shared" si="39"/>
        <v>80000</v>
      </c>
      <c r="ID29" s="243">
        <f t="shared" si="39"/>
        <v>0</v>
      </c>
      <c r="IE29" s="243">
        <f t="shared" si="39"/>
        <v>124164200</v>
      </c>
      <c r="IF29" s="243">
        <f t="shared" si="39"/>
        <v>0</v>
      </c>
      <c r="IG29" s="243">
        <f t="shared" si="39"/>
        <v>10007500</v>
      </c>
      <c r="IH29" s="243">
        <f t="shared" si="39"/>
        <v>0</v>
      </c>
      <c r="II29" s="243">
        <f t="shared" si="39"/>
        <v>0</v>
      </c>
      <c r="IJ29" s="229">
        <v>6873632041</v>
      </c>
    </row>
    <row r="30" spans="1:245" ht="21.75" customHeight="1" x14ac:dyDescent="0.25">
      <c r="A30" s="222" t="s">
        <v>268</v>
      </c>
      <c r="B30" s="228" t="s">
        <v>52</v>
      </c>
      <c r="C30" s="235" t="s">
        <v>215</v>
      </c>
      <c r="D30" s="265"/>
      <c r="E30" s="265"/>
      <c r="F30" s="265"/>
      <c r="G30" s="265"/>
      <c r="H30" s="265"/>
      <c r="I30" s="265"/>
      <c r="J30" s="265"/>
      <c r="K30" s="265"/>
      <c r="L30" s="265"/>
      <c r="M30" s="265"/>
      <c r="N30" s="265"/>
      <c r="O30" s="265"/>
      <c r="P30" s="265"/>
      <c r="Q30" s="265"/>
      <c r="R30" s="265"/>
      <c r="S30" s="265"/>
      <c r="T30" s="255"/>
      <c r="U30" s="255"/>
      <c r="V30" s="255"/>
      <c r="W30" s="255"/>
      <c r="X30" s="255"/>
      <c r="Y30" s="255"/>
      <c r="Z30" s="255"/>
      <c r="AA30" s="255"/>
      <c r="AB30" s="255"/>
      <c r="AC30" s="255">
        <f>1484000+159332707</f>
        <v>160816707</v>
      </c>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5"/>
      <c r="FX30" s="255"/>
      <c r="FY30" s="255">
        <v>8841120</v>
      </c>
      <c r="FZ30" s="255"/>
      <c r="GA30" s="255">
        <v>7723234</v>
      </c>
      <c r="GB30" s="255"/>
      <c r="GC30" s="255"/>
      <c r="GD30" s="255"/>
      <c r="GE30" s="255"/>
      <c r="GF30" s="255"/>
      <c r="GG30" s="255"/>
      <c r="GH30" s="255"/>
      <c r="GI30" s="255"/>
      <c r="GJ30" s="255"/>
      <c r="GK30" s="255"/>
      <c r="GL30" s="255"/>
      <c r="GM30" s="255"/>
      <c r="GN30" s="255"/>
      <c r="GO30" s="255"/>
      <c r="GP30" s="255"/>
      <c r="GQ30" s="255"/>
      <c r="GR30" s="255"/>
      <c r="GS30" s="255"/>
      <c r="GT30" s="255"/>
      <c r="GU30" s="255"/>
      <c r="GV30" s="255"/>
      <c r="GW30" s="255"/>
      <c r="GX30" s="255"/>
      <c r="GY30" s="255"/>
      <c r="GZ30" s="255"/>
      <c r="HA30" s="255"/>
      <c r="HB30" s="255"/>
      <c r="HC30" s="255"/>
      <c r="HD30" s="255"/>
      <c r="HE30" s="255"/>
      <c r="HF30" s="255"/>
      <c r="HG30" s="255"/>
      <c r="HH30" s="255"/>
      <c r="HI30" s="255"/>
      <c r="HJ30" s="255"/>
      <c r="HK30" s="255"/>
      <c r="HL30" s="255"/>
      <c r="HM30" s="255"/>
      <c r="HN30" s="255"/>
      <c r="HO30" s="255"/>
      <c r="HP30" s="255"/>
      <c r="HQ30" s="255"/>
      <c r="HR30" s="255"/>
      <c r="HS30" s="255"/>
      <c r="HT30" s="255"/>
      <c r="HU30" s="255"/>
      <c r="HV30" s="255"/>
      <c r="HW30" s="255"/>
      <c r="HX30" s="255"/>
      <c r="HY30" s="255"/>
      <c r="HZ30" s="255"/>
      <c r="IA30" s="255"/>
      <c r="IB30" s="255"/>
      <c r="IC30" s="255"/>
      <c r="ID30" s="255"/>
      <c r="IE30" s="255"/>
      <c r="IF30" s="255"/>
      <c r="IG30" s="255"/>
      <c r="IH30" s="255"/>
      <c r="II30" s="255"/>
      <c r="IJ30" s="227" t="e">
        <f>+IJ29-#REF!</f>
        <v>#REF!</v>
      </c>
    </row>
    <row r="31" spans="1:245" ht="21.75" customHeight="1" x14ac:dyDescent="0.25">
      <c r="A31" s="222" t="s">
        <v>269</v>
      </c>
      <c r="B31" s="228" t="s">
        <v>226</v>
      </c>
      <c r="C31" s="235" t="s">
        <v>216</v>
      </c>
      <c r="D31" s="265"/>
      <c r="E31" s="265"/>
      <c r="F31" s="265"/>
      <c r="G31" s="265"/>
      <c r="H31" s="265"/>
      <c r="I31" s="265"/>
      <c r="J31" s="265"/>
      <c r="K31" s="265"/>
      <c r="L31" s="265"/>
      <c r="M31" s="265"/>
      <c r="N31" s="265"/>
      <c r="O31" s="265"/>
      <c r="P31" s="265"/>
      <c r="Q31" s="265"/>
      <c r="R31" s="265"/>
      <c r="S31" s="26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v>49565206</v>
      </c>
      <c r="HH31" s="255"/>
      <c r="HI31" s="255"/>
      <c r="HJ31" s="255"/>
      <c r="HK31" s="255"/>
      <c r="HL31" s="255"/>
      <c r="HM31" s="255"/>
      <c r="HN31" s="255"/>
      <c r="HO31" s="255"/>
      <c r="HP31" s="255"/>
      <c r="HQ31" s="255"/>
      <c r="HR31" s="255"/>
      <c r="HS31" s="255"/>
      <c r="HT31" s="255"/>
      <c r="HU31" s="255"/>
      <c r="HV31" s="255"/>
      <c r="HW31" s="255">
        <v>4690003</v>
      </c>
      <c r="HX31" s="255"/>
      <c r="HY31" s="255"/>
      <c r="HZ31" s="255"/>
      <c r="IA31" s="255"/>
      <c r="IB31" s="255"/>
      <c r="IC31" s="255"/>
      <c r="ID31" s="255"/>
      <c r="IE31" s="255"/>
      <c r="IF31" s="255"/>
      <c r="IG31" s="255"/>
      <c r="IH31" s="255"/>
      <c r="II31" s="255"/>
    </row>
    <row r="32" spans="1:245" ht="21.75" customHeight="1" x14ac:dyDescent="0.25">
      <c r="A32" s="222" t="s">
        <v>270</v>
      </c>
      <c r="B32" s="228" t="s">
        <v>225</v>
      </c>
      <c r="C32" s="235" t="s">
        <v>217</v>
      </c>
      <c r="D32" s="265"/>
      <c r="E32" s="265"/>
      <c r="F32" s="265"/>
      <c r="G32" s="265"/>
      <c r="H32" s="265"/>
      <c r="I32" s="265"/>
      <c r="J32" s="265"/>
      <c r="K32" s="265"/>
      <c r="L32" s="265"/>
      <c r="M32" s="265"/>
      <c r="N32" s="265"/>
      <c r="O32" s="265"/>
      <c r="P32" s="265"/>
      <c r="Q32" s="265"/>
      <c r="R32" s="265"/>
      <c r="S32" s="265"/>
      <c r="T32" s="255"/>
      <c r="U32" s="255"/>
      <c r="V32" s="255"/>
      <c r="W32" s="255"/>
      <c r="X32" s="255"/>
      <c r="Y32" s="255"/>
      <c r="Z32" s="255"/>
      <c r="AA32" s="255"/>
      <c r="AB32" s="255"/>
      <c r="AC32" s="255">
        <f>60000+100000+28146</f>
        <v>188146</v>
      </c>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row>
    <row r="33" spans="1:243" ht="21.75" customHeight="1" x14ac:dyDescent="0.25">
      <c r="A33" s="222" t="s">
        <v>271</v>
      </c>
      <c r="B33" s="231" t="s">
        <v>0</v>
      </c>
      <c r="C33" s="235" t="s">
        <v>218</v>
      </c>
      <c r="D33" s="265"/>
      <c r="E33" s="265"/>
      <c r="F33" s="265"/>
      <c r="G33" s="265"/>
      <c r="H33" s="265"/>
      <c r="I33" s="265"/>
      <c r="J33" s="265"/>
      <c r="K33" s="265"/>
      <c r="L33" s="265"/>
      <c r="M33" s="265"/>
      <c r="N33" s="265"/>
      <c r="O33" s="265"/>
      <c r="P33" s="265"/>
      <c r="Q33" s="265"/>
      <c r="R33" s="265"/>
      <c r="S33" s="265"/>
      <c r="T33" s="255"/>
      <c r="U33" s="255"/>
      <c r="V33" s="255">
        <v>10000000</v>
      </c>
      <c r="W33" s="255">
        <f>+V33+100525+27141+1725000+465750+2000000+3000000+810000+5000000+1350000+5000000+1350000-1742671-1994250</f>
        <v>27091495</v>
      </c>
      <c r="X33" s="255"/>
      <c r="Y33" s="255"/>
      <c r="Z33" s="255">
        <f>176189566+2328805</f>
        <v>178518371</v>
      </c>
      <c r="AA33" s="255">
        <f>176189566+2328805+157480+42520+78740+21260+78740+21260+78740+21260+78740+21260+160000+860000+78740+21260+78740+21260+78740+21260+7044948+78740+21260</f>
        <v>187583319</v>
      </c>
      <c r="AB33" s="255"/>
      <c r="AC33" s="255">
        <f>94060+10000+10000+400+278000+75060+529583+49739+13429+58950+173321+1585600+99838+72549+6521+9090</f>
        <v>3066140</v>
      </c>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f>348000+262000+454000</f>
        <v>1064000</v>
      </c>
      <c r="BP33" s="255"/>
      <c r="BQ33" s="255"/>
      <c r="BR33" s="255"/>
      <c r="BS33" s="255"/>
      <c r="BT33" s="255"/>
      <c r="BU33" s="255"/>
      <c r="BV33" s="255"/>
      <c r="BW33" s="255"/>
      <c r="BX33" s="255">
        <v>31800000</v>
      </c>
      <c r="BY33" s="255">
        <f>31800000+5000000+1350000+5000000+1350000+2500000+2043635-1595785-5100</f>
        <v>47442750</v>
      </c>
      <c r="BZ33" s="255">
        <v>751000</v>
      </c>
      <c r="CA33" s="255">
        <f>751000+69124+104600+400000+1379900+1500000-280506</f>
        <v>3924118</v>
      </c>
      <c r="CB33" s="255"/>
      <c r="CC33" s="255"/>
      <c r="CD33" s="255"/>
      <c r="CE33" s="255"/>
      <c r="CF33" s="255"/>
      <c r="CG33" s="255"/>
      <c r="CH33" s="255"/>
      <c r="CI33" s="255"/>
      <c r="CJ33" s="255"/>
      <c r="CK33" s="255"/>
      <c r="CL33" s="255"/>
      <c r="CM33" s="255"/>
      <c r="CN33" s="255"/>
      <c r="CO33" s="255"/>
      <c r="CP33" s="255">
        <v>13039031</v>
      </c>
      <c r="CQ33" s="255">
        <f>13039031+5478196+1022413+8803+32592</f>
        <v>19581035</v>
      </c>
      <c r="CR33" s="255">
        <v>677580</v>
      </c>
      <c r="CS33" s="255">
        <f>677580+1839056+15200</f>
        <v>2531836</v>
      </c>
      <c r="CT33" s="255">
        <v>5280000</v>
      </c>
      <c r="CU33" s="255">
        <f>5280000+600000+162000+53189-1962-1031</f>
        <v>6092196</v>
      </c>
      <c r="CV33" s="255">
        <v>43180000</v>
      </c>
      <c r="CW33" s="255">
        <f>43180000+8268+2232+1500000+2500000+6000000+2295000-1112527-4666648-1155387</f>
        <v>48550938</v>
      </c>
      <c r="CX33" s="255"/>
      <c r="CY33" s="255"/>
      <c r="CZ33" s="255">
        <v>7000000</v>
      </c>
      <c r="DA33" s="255">
        <f>7000000+145600+39313+1000000+270000+43739+11871</f>
        <v>8510523</v>
      </c>
      <c r="DB33" s="255"/>
      <c r="DC33" s="255">
        <f>406146+9354</f>
        <v>415500</v>
      </c>
      <c r="DD33" s="255"/>
      <c r="DE33" s="255"/>
      <c r="DF33" s="255">
        <v>10000000</v>
      </c>
      <c r="DG33" s="255">
        <f>10000000+28000+3000000+4988000</f>
        <v>18016000</v>
      </c>
      <c r="DH33" s="255"/>
      <c r="DI33" s="255"/>
      <c r="DJ33" s="255"/>
      <c r="DK33" s="255"/>
      <c r="DL33" s="255"/>
      <c r="DM33" s="255"/>
      <c r="DN33" s="255"/>
      <c r="DO33" s="255"/>
      <c r="DP33" s="255"/>
      <c r="DQ33" s="255"/>
      <c r="DR33" s="255"/>
      <c r="DS33" s="255"/>
      <c r="DT33" s="255"/>
      <c r="DU33" s="255"/>
      <c r="DV33" s="255"/>
      <c r="DW33" s="255">
        <f>13343023+3602617</f>
        <v>16945640</v>
      </c>
      <c r="DX33" s="255">
        <v>65000000</v>
      </c>
      <c r="DY33" s="255">
        <f>65000000-51181102-13818898</f>
        <v>0</v>
      </c>
      <c r="DZ33" s="255"/>
      <c r="EA33" s="255"/>
      <c r="EB33" s="255"/>
      <c r="EC33" s="255">
        <f>51042373+13781441</f>
        <v>64823814</v>
      </c>
      <c r="ED33" s="255">
        <v>65000000</v>
      </c>
      <c r="EE33" s="255">
        <f>65000000-51181102-13818898</f>
        <v>0</v>
      </c>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row>
    <row r="34" spans="1:243" ht="21.75" customHeight="1" x14ac:dyDescent="0.25">
      <c r="A34" s="222" t="s">
        <v>272</v>
      </c>
      <c r="B34" s="228" t="s">
        <v>248</v>
      </c>
      <c r="C34" s="235" t="s">
        <v>219</v>
      </c>
      <c r="D34" s="265"/>
      <c r="E34" s="265"/>
      <c r="F34" s="265"/>
      <c r="G34" s="265"/>
      <c r="H34" s="265"/>
      <c r="I34" s="265"/>
      <c r="J34" s="265"/>
      <c r="K34" s="265"/>
      <c r="L34" s="265"/>
      <c r="M34" s="265"/>
      <c r="N34" s="265"/>
      <c r="O34" s="265"/>
      <c r="P34" s="265"/>
      <c r="Q34" s="265"/>
      <c r="R34" s="265"/>
      <c r="S34" s="265"/>
      <c r="T34" s="255"/>
      <c r="U34" s="255"/>
      <c r="V34" s="255"/>
      <c r="W34" s="255"/>
      <c r="X34" s="255"/>
      <c r="Y34" s="255"/>
      <c r="Z34" s="255">
        <f>30000000+681454000+8625203</f>
        <v>720079203</v>
      </c>
      <c r="AA34" s="255">
        <f>30000000+681454000+8625203+4064000+42973594+4747000+522522-30522522</f>
        <v>741863797</v>
      </c>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4"/>
      <c r="DG34" s="254"/>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row>
    <row r="35" spans="1:243" ht="21.75" customHeight="1" x14ac:dyDescent="0.25">
      <c r="A35" s="222" t="s">
        <v>273</v>
      </c>
      <c r="B35" s="228" t="s">
        <v>243</v>
      </c>
      <c r="C35" s="235" t="s">
        <v>220</v>
      </c>
      <c r="D35" s="265"/>
      <c r="E35" s="265"/>
      <c r="F35" s="265"/>
      <c r="G35" s="265"/>
      <c r="H35" s="265"/>
      <c r="I35" s="265"/>
      <c r="J35" s="265"/>
      <c r="K35" s="265"/>
      <c r="L35" s="265"/>
      <c r="M35" s="265"/>
      <c r="N35" s="265"/>
      <c r="O35" s="265"/>
      <c r="P35" s="265"/>
      <c r="Q35" s="265"/>
      <c r="R35" s="265"/>
      <c r="S35" s="26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row>
    <row r="36" spans="1:243" ht="21.75" customHeight="1" x14ac:dyDescent="0.25">
      <c r="A36" s="222" t="s">
        <v>274</v>
      </c>
      <c r="B36" s="228" t="s">
        <v>244</v>
      </c>
      <c r="C36" s="235" t="s">
        <v>221</v>
      </c>
      <c r="D36" s="265"/>
      <c r="E36" s="265"/>
      <c r="F36" s="265"/>
      <c r="G36" s="265"/>
      <c r="H36" s="265"/>
      <c r="I36" s="265"/>
      <c r="J36" s="265"/>
      <c r="K36" s="265"/>
      <c r="L36" s="265"/>
      <c r="M36" s="265"/>
      <c r="N36" s="265"/>
      <c r="O36" s="265"/>
      <c r="P36" s="265"/>
      <c r="Q36" s="265"/>
      <c r="R36" s="265"/>
      <c r="S36" s="265"/>
      <c r="T36" s="255"/>
      <c r="U36" s="255"/>
      <c r="V36" s="255"/>
      <c r="W36" s="255"/>
      <c r="X36" s="255">
        <v>1498800</v>
      </c>
      <c r="Y36" s="255">
        <f>1498800+599400+235100+156250</f>
        <v>2489550</v>
      </c>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row>
    <row r="37" spans="1:243" s="229" customFormat="1" ht="21.75" customHeight="1" x14ac:dyDescent="0.25">
      <c r="A37" s="222" t="s">
        <v>275</v>
      </c>
      <c r="B37" s="231" t="s">
        <v>245</v>
      </c>
      <c r="C37" s="235" t="s">
        <v>222</v>
      </c>
      <c r="D37" s="254">
        <f>SUM(D30:D36)</f>
        <v>0</v>
      </c>
      <c r="E37" s="254">
        <f t="shared" ref="E37:BP37" si="40">SUM(E30:E36)</f>
        <v>0</v>
      </c>
      <c r="F37" s="254">
        <f t="shared" si="40"/>
        <v>0</v>
      </c>
      <c r="G37" s="254">
        <f t="shared" si="40"/>
        <v>0</v>
      </c>
      <c r="H37" s="254">
        <f t="shared" si="40"/>
        <v>0</v>
      </c>
      <c r="I37" s="254">
        <f t="shared" si="40"/>
        <v>0</v>
      </c>
      <c r="J37" s="254">
        <f t="shared" si="40"/>
        <v>0</v>
      </c>
      <c r="K37" s="254">
        <f t="shared" si="40"/>
        <v>0</v>
      </c>
      <c r="L37" s="254">
        <f t="shared" si="40"/>
        <v>0</v>
      </c>
      <c r="M37" s="254">
        <f t="shared" si="40"/>
        <v>0</v>
      </c>
      <c r="N37" s="254">
        <f t="shared" si="40"/>
        <v>0</v>
      </c>
      <c r="O37" s="254">
        <f t="shared" si="40"/>
        <v>0</v>
      </c>
      <c r="P37" s="254">
        <f t="shared" si="40"/>
        <v>0</v>
      </c>
      <c r="Q37" s="254">
        <f t="shared" si="40"/>
        <v>0</v>
      </c>
      <c r="R37" s="254">
        <f t="shared" si="40"/>
        <v>0</v>
      </c>
      <c r="S37" s="254">
        <f t="shared" si="40"/>
        <v>0</v>
      </c>
      <c r="T37" s="254">
        <f t="shared" si="40"/>
        <v>0</v>
      </c>
      <c r="U37" s="254">
        <f t="shared" si="40"/>
        <v>0</v>
      </c>
      <c r="V37" s="254">
        <f t="shared" si="40"/>
        <v>10000000</v>
      </c>
      <c r="W37" s="254">
        <f t="shared" si="40"/>
        <v>27091495</v>
      </c>
      <c r="X37" s="254">
        <f t="shared" si="40"/>
        <v>1498800</v>
      </c>
      <c r="Y37" s="254">
        <f t="shared" si="40"/>
        <v>2489550</v>
      </c>
      <c r="Z37" s="254">
        <f t="shared" si="40"/>
        <v>898597574</v>
      </c>
      <c r="AA37" s="254">
        <f t="shared" si="40"/>
        <v>929447116</v>
      </c>
      <c r="AB37" s="254">
        <f t="shared" si="40"/>
        <v>0</v>
      </c>
      <c r="AC37" s="254">
        <f t="shared" si="40"/>
        <v>164070993</v>
      </c>
      <c r="AD37" s="254">
        <f t="shared" si="40"/>
        <v>0</v>
      </c>
      <c r="AE37" s="254">
        <f t="shared" si="40"/>
        <v>0</v>
      </c>
      <c r="AF37" s="254">
        <f t="shared" si="40"/>
        <v>0</v>
      </c>
      <c r="AG37" s="254">
        <f t="shared" si="40"/>
        <v>0</v>
      </c>
      <c r="AH37" s="254">
        <f t="shared" si="40"/>
        <v>0</v>
      </c>
      <c r="AI37" s="254">
        <f t="shared" si="40"/>
        <v>0</v>
      </c>
      <c r="AJ37" s="254">
        <f t="shared" si="40"/>
        <v>0</v>
      </c>
      <c r="AK37" s="254">
        <f t="shared" si="40"/>
        <v>0</v>
      </c>
      <c r="AL37" s="254">
        <f t="shared" si="40"/>
        <v>0</v>
      </c>
      <c r="AM37" s="254">
        <f t="shared" si="40"/>
        <v>0</v>
      </c>
      <c r="AN37" s="254">
        <f t="shared" si="40"/>
        <v>0</v>
      </c>
      <c r="AO37" s="254">
        <f t="shared" si="40"/>
        <v>0</v>
      </c>
      <c r="AP37" s="254">
        <f t="shared" si="40"/>
        <v>0</v>
      </c>
      <c r="AQ37" s="254">
        <f t="shared" si="40"/>
        <v>0</v>
      </c>
      <c r="AR37" s="254">
        <f t="shared" si="40"/>
        <v>0</v>
      </c>
      <c r="AS37" s="254">
        <f t="shared" si="40"/>
        <v>0</v>
      </c>
      <c r="AT37" s="254">
        <f t="shared" si="40"/>
        <v>0</v>
      </c>
      <c r="AU37" s="254">
        <f t="shared" si="40"/>
        <v>0</v>
      </c>
      <c r="AV37" s="254">
        <f t="shared" si="40"/>
        <v>0</v>
      </c>
      <c r="AW37" s="254">
        <f t="shared" si="40"/>
        <v>0</v>
      </c>
      <c r="AX37" s="254">
        <f t="shared" si="40"/>
        <v>0</v>
      </c>
      <c r="AY37" s="254">
        <f t="shared" si="40"/>
        <v>0</v>
      </c>
      <c r="AZ37" s="254">
        <f t="shared" si="40"/>
        <v>0</v>
      </c>
      <c r="BA37" s="254">
        <f t="shared" si="40"/>
        <v>0</v>
      </c>
      <c r="BB37" s="254">
        <f t="shared" si="40"/>
        <v>0</v>
      </c>
      <c r="BC37" s="254">
        <f t="shared" si="40"/>
        <v>0</v>
      </c>
      <c r="BD37" s="254">
        <f t="shared" si="40"/>
        <v>0</v>
      </c>
      <c r="BE37" s="254">
        <f t="shared" si="40"/>
        <v>0</v>
      </c>
      <c r="BF37" s="254">
        <f t="shared" si="40"/>
        <v>0</v>
      </c>
      <c r="BG37" s="254">
        <f t="shared" si="40"/>
        <v>0</v>
      </c>
      <c r="BH37" s="254">
        <f t="shared" si="40"/>
        <v>0</v>
      </c>
      <c r="BI37" s="254">
        <f t="shared" si="40"/>
        <v>0</v>
      </c>
      <c r="BJ37" s="254">
        <f t="shared" si="40"/>
        <v>0</v>
      </c>
      <c r="BK37" s="254">
        <f t="shared" si="40"/>
        <v>0</v>
      </c>
      <c r="BL37" s="254">
        <f t="shared" si="40"/>
        <v>0</v>
      </c>
      <c r="BM37" s="254">
        <f t="shared" si="40"/>
        <v>0</v>
      </c>
      <c r="BN37" s="254">
        <f t="shared" si="40"/>
        <v>0</v>
      </c>
      <c r="BO37" s="254">
        <f t="shared" si="40"/>
        <v>1064000</v>
      </c>
      <c r="BP37" s="254">
        <f t="shared" si="40"/>
        <v>0</v>
      </c>
      <c r="BQ37" s="254">
        <f t="shared" ref="BQ37:ED37" si="41">SUM(BQ30:BQ36)</f>
        <v>0</v>
      </c>
      <c r="BR37" s="254">
        <f t="shared" si="41"/>
        <v>0</v>
      </c>
      <c r="BS37" s="254">
        <f t="shared" si="41"/>
        <v>0</v>
      </c>
      <c r="BT37" s="254">
        <f t="shared" si="41"/>
        <v>0</v>
      </c>
      <c r="BU37" s="254">
        <f t="shared" si="41"/>
        <v>0</v>
      </c>
      <c r="BV37" s="254">
        <f t="shared" si="41"/>
        <v>0</v>
      </c>
      <c r="BW37" s="254">
        <f t="shared" si="41"/>
        <v>0</v>
      </c>
      <c r="BX37" s="254">
        <f t="shared" si="41"/>
        <v>31800000</v>
      </c>
      <c r="BY37" s="254">
        <f t="shared" si="41"/>
        <v>47442750</v>
      </c>
      <c r="BZ37" s="254">
        <f t="shared" si="41"/>
        <v>751000</v>
      </c>
      <c r="CA37" s="254">
        <f t="shared" si="41"/>
        <v>3924118</v>
      </c>
      <c r="CB37" s="254">
        <f t="shared" si="41"/>
        <v>0</v>
      </c>
      <c r="CC37" s="254">
        <f t="shared" si="41"/>
        <v>0</v>
      </c>
      <c r="CD37" s="254">
        <f t="shared" si="41"/>
        <v>0</v>
      </c>
      <c r="CE37" s="254">
        <f t="shared" si="41"/>
        <v>0</v>
      </c>
      <c r="CF37" s="254">
        <f t="shared" si="41"/>
        <v>0</v>
      </c>
      <c r="CG37" s="254">
        <f t="shared" si="41"/>
        <v>0</v>
      </c>
      <c r="CH37" s="254">
        <f t="shared" si="41"/>
        <v>0</v>
      </c>
      <c r="CI37" s="254">
        <f t="shared" si="41"/>
        <v>0</v>
      </c>
      <c r="CJ37" s="254">
        <f t="shared" si="41"/>
        <v>0</v>
      </c>
      <c r="CK37" s="254">
        <f t="shared" si="41"/>
        <v>0</v>
      </c>
      <c r="CL37" s="254">
        <f t="shared" si="41"/>
        <v>0</v>
      </c>
      <c r="CM37" s="254">
        <f t="shared" si="41"/>
        <v>0</v>
      </c>
      <c r="CN37" s="254">
        <f t="shared" si="41"/>
        <v>0</v>
      </c>
      <c r="CO37" s="254">
        <f t="shared" si="41"/>
        <v>0</v>
      </c>
      <c r="CP37" s="254">
        <f t="shared" si="41"/>
        <v>13039031</v>
      </c>
      <c r="CQ37" s="254">
        <f t="shared" si="41"/>
        <v>19581035</v>
      </c>
      <c r="CR37" s="254">
        <f t="shared" si="41"/>
        <v>677580</v>
      </c>
      <c r="CS37" s="254">
        <f t="shared" si="41"/>
        <v>2531836</v>
      </c>
      <c r="CT37" s="254">
        <f t="shared" si="41"/>
        <v>5280000</v>
      </c>
      <c r="CU37" s="254">
        <f t="shared" si="41"/>
        <v>6092196</v>
      </c>
      <c r="CV37" s="254">
        <f t="shared" si="41"/>
        <v>43180000</v>
      </c>
      <c r="CW37" s="254">
        <f t="shared" si="41"/>
        <v>48550938</v>
      </c>
      <c r="CX37" s="254">
        <f t="shared" si="41"/>
        <v>0</v>
      </c>
      <c r="CY37" s="254">
        <f t="shared" si="41"/>
        <v>0</v>
      </c>
      <c r="CZ37" s="254">
        <f t="shared" si="41"/>
        <v>7000000</v>
      </c>
      <c r="DA37" s="254">
        <f t="shared" si="41"/>
        <v>8510523</v>
      </c>
      <c r="DB37" s="254">
        <f t="shared" si="41"/>
        <v>0</v>
      </c>
      <c r="DC37" s="254">
        <f t="shared" si="41"/>
        <v>415500</v>
      </c>
      <c r="DD37" s="254">
        <f t="shared" si="41"/>
        <v>0</v>
      </c>
      <c r="DE37" s="254">
        <f t="shared" si="41"/>
        <v>0</v>
      </c>
      <c r="DF37" s="254">
        <f t="shared" si="41"/>
        <v>10000000</v>
      </c>
      <c r="DG37" s="254">
        <f t="shared" si="41"/>
        <v>18016000</v>
      </c>
      <c r="DH37" s="254">
        <f t="shared" si="41"/>
        <v>0</v>
      </c>
      <c r="DI37" s="254">
        <f t="shared" si="41"/>
        <v>0</v>
      </c>
      <c r="DJ37" s="254">
        <f t="shared" si="41"/>
        <v>0</v>
      </c>
      <c r="DK37" s="254">
        <f t="shared" si="41"/>
        <v>0</v>
      </c>
      <c r="DL37" s="254">
        <f t="shared" si="41"/>
        <v>0</v>
      </c>
      <c r="DM37" s="254">
        <f t="shared" si="41"/>
        <v>0</v>
      </c>
      <c r="DN37" s="254">
        <f t="shared" si="41"/>
        <v>0</v>
      </c>
      <c r="DO37" s="254">
        <f t="shared" si="41"/>
        <v>0</v>
      </c>
      <c r="DP37" s="254">
        <f t="shared" si="41"/>
        <v>0</v>
      </c>
      <c r="DQ37" s="254">
        <f t="shared" si="41"/>
        <v>0</v>
      </c>
      <c r="DR37" s="254">
        <f t="shared" si="41"/>
        <v>0</v>
      </c>
      <c r="DS37" s="254">
        <f t="shared" si="41"/>
        <v>0</v>
      </c>
      <c r="DT37" s="254">
        <f t="shared" si="41"/>
        <v>0</v>
      </c>
      <c r="DU37" s="254">
        <f t="shared" si="41"/>
        <v>0</v>
      </c>
      <c r="DV37" s="254">
        <f t="shared" si="41"/>
        <v>0</v>
      </c>
      <c r="DW37" s="254">
        <f t="shared" si="41"/>
        <v>16945640</v>
      </c>
      <c r="DX37" s="254">
        <f t="shared" si="41"/>
        <v>65000000</v>
      </c>
      <c r="DY37" s="254">
        <f t="shared" si="41"/>
        <v>0</v>
      </c>
      <c r="DZ37" s="254">
        <f>SUM(DZ30:DZ36)</f>
        <v>0</v>
      </c>
      <c r="EA37" s="254">
        <f>SUM(EA30:EA36)</f>
        <v>0</v>
      </c>
      <c r="EB37" s="254">
        <f t="shared" si="41"/>
        <v>0</v>
      </c>
      <c r="EC37" s="254">
        <f t="shared" si="41"/>
        <v>64823814</v>
      </c>
      <c r="ED37" s="254">
        <f t="shared" si="41"/>
        <v>65000000</v>
      </c>
      <c r="EE37" s="254">
        <f t="shared" ref="EE37:GR37" si="42">SUM(EE30:EE36)</f>
        <v>0</v>
      </c>
      <c r="EF37" s="254">
        <f>SUM(EF30:EF36)</f>
        <v>0</v>
      </c>
      <c r="EG37" s="254">
        <f>SUM(EG30:EG36)</f>
        <v>0</v>
      </c>
      <c r="EH37" s="254">
        <f t="shared" si="42"/>
        <v>0</v>
      </c>
      <c r="EI37" s="254">
        <f t="shared" si="42"/>
        <v>0</v>
      </c>
      <c r="EJ37" s="254">
        <f t="shared" si="42"/>
        <v>0</v>
      </c>
      <c r="EK37" s="254">
        <f t="shared" si="42"/>
        <v>0</v>
      </c>
      <c r="EL37" s="254">
        <f t="shared" si="42"/>
        <v>0</v>
      </c>
      <c r="EM37" s="254">
        <f t="shared" si="42"/>
        <v>0</v>
      </c>
      <c r="EN37" s="254">
        <f t="shared" si="42"/>
        <v>0</v>
      </c>
      <c r="EO37" s="254">
        <f t="shared" si="42"/>
        <v>0</v>
      </c>
      <c r="EP37" s="254">
        <f t="shared" si="42"/>
        <v>0</v>
      </c>
      <c r="EQ37" s="254">
        <f t="shared" si="42"/>
        <v>0</v>
      </c>
      <c r="ER37" s="254">
        <f t="shared" si="42"/>
        <v>0</v>
      </c>
      <c r="ES37" s="254">
        <f t="shared" si="42"/>
        <v>0</v>
      </c>
      <c r="ET37" s="254">
        <f t="shared" si="42"/>
        <v>0</v>
      </c>
      <c r="EU37" s="254">
        <f t="shared" si="42"/>
        <v>0</v>
      </c>
      <c r="EV37" s="254">
        <f t="shared" si="42"/>
        <v>0</v>
      </c>
      <c r="EW37" s="254">
        <f t="shared" si="42"/>
        <v>0</v>
      </c>
      <c r="EX37" s="254">
        <f t="shared" si="42"/>
        <v>0</v>
      </c>
      <c r="EY37" s="254">
        <f t="shared" si="42"/>
        <v>0</v>
      </c>
      <c r="EZ37" s="254">
        <f t="shared" si="42"/>
        <v>0</v>
      </c>
      <c r="FA37" s="254">
        <f t="shared" si="42"/>
        <v>0</v>
      </c>
      <c r="FB37" s="254">
        <f t="shared" si="42"/>
        <v>0</v>
      </c>
      <c r="FC37" s="254">
        <f t="shared" si="42"/>
        <v>0</v>
      </c>
      <c r="FD37" s="254">
        <f t="shared" si="42"/>
        <v>0</v>
      </c>
      <c r="FE37" s="254">
        <f t="shared" si="42"/>
        <v>0</v>
      </c>
      <c r="FF37" s="254">
        <f t="shared" si="42"/>
        <v>0</v>
      </c>
      <c r="FG37" s="254">
        <f t="shared" si="42"/>
        <v>0</v>
      </c>
      <c r="FH37" s="254">
        <f t="shared" si="42"/>
        <v>0</v>
      </c>
      <c r="FI37" s="254">
        <f t="shared" si="42"/>
        <v>0</v>
      </c>
      <c r="FJ37" s="254">
        <f t="shared" si="42"/>
        <v>0</v>
      </c>
      <c r="FK37" s="254">
        <f t="shared" si="42"/>
        <v>0</v>
      </c>
      <c r="FL37" s="254">
        <f t="shared" si="42"/>
        <v>0</v>
      </c>
      <c r="FM37" s="254">
        <f t="shared" si="42"/>
        <v>0</v>
      </c>
      <c r="FN37" s="254">
        <f t="shared" si="42"/>
        <v>0</v>
      </c>
      <c r="FO37" s="254">
        <f t="shared" si="42"/>
        <v>0</v>
      </c>
      <c r="FP37" s="254">
        <f t="shared" si="42"/>
        <v>0</v>
      </c>
      <c r="FQ37" s="254">
        <f t="shared" si="42"/>
        <v>0</v>
      </c>
      <c r="FR37" s="254">
        <f t="shared" si="42"/>
        <v>0</v>
      </c>
      <c r="FS37" s="254">
        <f t="shared" si="42"/>
        <v>0</v>
      </c>
      <c r="FT37" s="254">
        <f t="shared" si="42"/>
        <v>0</v>
      </c>
      <c r="FU37" s="254">
        <f t="shared" si="42"/>
        <v>0</v>
      </c>
      <c r="FV37" s="254">
        <f t="shared" si="42"/>
        <v>0</v>
      </c>
      <c r="FW37" s="254">
        <f t="shared" si="42"/>
        <v>0</v>
      </c>
      <c r="FX37" s="254">
        <f t="shared" si="42"/>
        <v>0</v>
      </c>
      <c r="FY37" s="254">
        <f t="shared" si="42"/>
        <v>8841120</v>
      </c>
      <c r="FZ37" s="254">
        <f t="shared" si="42"/>
        <v>0</v>
      </c>
      <c r="GA37" s="254">
        <f t="shared" si="42"/>
        <v>7723234</v>
      </c>
      <c r="GB37" s="254">
        <f t="shared" si="42"/>
        <v>0</v>
      </c>
      <c r="GC37" s="254">
        <f t="shared" si="42"/>
        <v>0</v>
      </c>
      <c r="GD37" s="254">
        <f t="shared" si="42"/>
        <v>0</v>
      </c>
      <c r="GE37" s="254">
        <f t="shared" si="42"/>
        <v>0</v>
      </c>
      <c r="GF37" s="254">
        <f t="shared" si="42"/>
        <v>0</v>
      </c>
      <c r="GG37" s="254">
        <f t="shared" si="42"/>
        <v>0</v>
      </c>
      <c r="GH37" s="254">
        <f t="shared" si="42"/>
        <v>0</v>
      </c>
      <c r="GI37" s="254">
        <f t="shared" si="42"/>
        <v>0</v>
      </c>
      <c r="GJ37" s="254">
        <f t="shared" si="42"/>
        <v>0</v>
      </c>
      <c r="GK37" s="254">
        <f t="shared" si="42"/>
        <v>0</v>
      </c>
      <c r="GL37" s="254">
        <f t="shared" si="42"/>
        <v>0</v>
      </c>
      <c r="GM37" s="254">
        <f t="shared" si="42"/>
        <v>0</v>
      </c>
      <c r="GN37" s="254">
        <f t="shared" si="42"/>
        <v>0</v>
      </c>
      <c r="GO37" s="254">
        <f t="shared" si="42"/>
        <v>0</v>
      </c>
      <c r="GP37" s="254">
        <f t="shared" si="42"/>
        <v>0</v>
      </c>
      <c r="GQ37" s="254">
        <f t="shared" si="42"/>
        <v>0</v>
      </c>
      <c r="GR37" s="254">
        <f t="shared" si="42"/>
        <v>0</v>
      </c>
      <c r="GS37" s="254">
        <f t="shared" ref="GS37:HY37" si="43">SUM(GS30:GS36)</f>
        <v>0</v>
      </c>
      <c r="GT37" s="254">
        <f t="shared" si="43"/>
        <v>0</v>
      </c>
      <c r="GU37" s="254">
        <f t="shared" si="43"/>
        <v>0</v>
      </c>
      <c r="GV37" s="254">
        <f t="shared" si="43"/>
        <v>0</v>
      </c>
      <c r="GW37" s="254">
        <f t="shared" si="43"/>
        <v>0</v>
      </c>
      <c r="GX37" s="254">
        <f t="shared" si="43"/>
        <v>0</v>
      </c>
      <c r="GY37" s="254">
        <f t="shared" si="43"/>
        <v>0</v>
      </c>
      <c r="GZ37" s="254">
        <f t="shared" si="43"/>
        <v>0</v>
      </c>
      <c r="HA37" s="254">
        <f t="shared" si="43"/>
        <v>0</v>
      </c>
      <c r="HB37" s="254">
        <f t="shared" si="43"/>
        <v>0</v>
      </c>
      <c r="HC37" s="254">
        <f t="shared" si="43"/>
        <v>0</v>
      </c>
      <c r="HD37" s="254">
        <f t="shared" si="43"/>
        <v>0</v>
      </c>
      <c r="HE37" s="254">
        <f t="shared" si="43"/>
        <v>0</v>
      </c>
      <c r="HF37" s="254">
        <f t="shared" si="43"/>
        <v>0</v>
      </c>
      <c r="HG37" s="254">
        <f t="shared" si="43"/>
        <v>49565206</v>
      </c>
      <c r="HH37" s="254">
        <f t="shared" si="43"/>
        <v>0</v>
      </c>
      <c r="HI37" s="254">
        <f t="shared" si="43"/>
        <v>0</v>
      </c>
      <c r="HJ37" s="254">
        <f t="shared" si="43"/>
        <v>0</v>
      </c>
      <c r="HK37" s="254">
        <f t="shared" si="43"/>
        <v>0</v>
      </c>
      <c r="HL37" s="254">
        <f t="shared" si="43"/>
        <v>0</v>
      </c>
      <c r="HM37" s="254">
        <f t="shared" si="43"/>
        <v>0</v>
      </c>
      <c r="HN37" s="254">
        <f t="shared" si="43"/>
        <v>0</v>
      </c>
      <c r="HO37" s="254">
        <f t="shared" si="43"/>
        <v>0</v>
      </c>
      <c r="HP37" s="254">
        <f t="shared" si="43"/>
        <v>0</v>
      </c>
      <c r="HQ37" s="254">
        <f t="shared" si="43"/>
        <v>0</v>
      </c>
      <c r="HR37" s="254">
        <f t="shared" si="43"/>
        <v>0</v>
      </c>
      <c r="HS37" s="254">
        <f t="shared" si="43"/>
        <v>0</v>
      </c>
      <c r="HT37" s="254">
        <f t="shared" si="43"/>
        <v>0</v>
      </c>
      <c r="HU37" s="254">
        <f t="shared" si="43"/>
        <v>0</v>
      </c>
      <c r="HV37" s="254">
        <f t="shared" si="43"/>
        <v>0</v>
      </c>
      <c r="HW37" s="254">
        <f t="shared" si="43"/>
        <v>4690003</v>
      </c>
      <c r="HX37" s="254">
        <f t="shared" si="43"/>
        <v>0</v>
      </c>
      <c r="HY37" s="254">
        <f t="shared" si="43"/>
        <v>0</v>
      </c>
      <c r="HZ37" s="254">
        <f t="shared" ref="HZ37:II37" si="44">SUM(HZ30:HZ36)</f>
        <v>0</v>
      </c>
      <c r="IA37" s="254">
        <f t="shared" si="44"/>
        <v>0</v>
      </c>
      <c r="IB37" s="254">
        <f t="shared" si="44"/>
        <v>0</v>
      </c>
      <c r="IC37" s="254">
        <f t="shared" si="44"/>
        <v>0</v>
      </c>
      <c r="ID37" s="254">
        <f t="shared" si="44"/>
        <v>0</v>
      </c>
      <c r="IE37" s="254">
        <f t="shared" si="44"/>
        <v>0</v>
      </c>
      <c r="IF37" s="254">
        <f t="shared" si="44"/>
        <v>0</v>
      </c>
      <c r="IG37" s="254">
        <f t="shared" si="44"/>
        <v>0</v>
      </c>
      <c r="IH37" s="254">
        <f t="shared" si="44"/>
        <v>0</v>
      </c>
      <c r="II37" s="254">
        <f t="shared" si="44"/>
        <v>0</v>
      </c>
    </row>
    <row r="38" spans="1:243" s="229" customFormat="1" ht="21.75" customHeight="1" x14ac:dyDescent="0.25">
      <c r="A38" s="222" t="s">
        <v>276</v>
      </c>
      <c r="B38" s="235" t="s">
        <v>246</v>
      </c>
      <c r="C38" s="224" t="s">
        <v>224</v>
      </c>
      <c r="D38" s="243">
        <f>SUM(D40:D44)</f>
        <v>0</v>
      </c>
      <c r="E38" s="243">
        <f t="shared" ref="E38:BP38" si="45">SUM(E40:E44)</f>
        <v>0</v>
      </c>
      <c r="F38" s="243">
        <f t="shared" si="45"/>
        <v>0</v>
      </c>
      <c r="G38" s="243">
        <f t="shared" si="45"/>
        <v>0</v>
      </c>
      <c r="H38" s="243">
        <f t="shared" si="45"/>
        <v>0</v>
      </c>
      <c r="I38" s="243">
        <f t="shared" si="45"/>
        <v>0</v>
      </c>
      <c r="J38" s="243">
        <f t="shared" si="45"/>
        <v>0</v>
      </c>
      <c r="K38" s="243">
        <f t="shared" si="45"/>
        <v>0</v>
      </c>
      <c r="L38" s="243">
        <f t="shared" si="45"/>
        <v>0</v>
      </c>
      <c r="M38" s="243">
        <f t="shared" si="45"/>
        <v>0</v>
      </c>
      <c r="N38" s="243">
        <f t="shared" si="45"/>
        <v>0</v>
      </c>
      <c r="O38" s="243">
        <f t="shared" si="45"/>
        <v>0</v>
      </c>
      <c r="P38" s="243">
        <f t="shared" si="45"/>
        <v>0</v>
      </c>
      <c r="Q38" s="243">
        <f t="shared" si="45"/>
        <v>0</v>
      </c>
      <c r="R38" s="243">
        <f t="shared" si="45"/>
        <v>0</v>
      </c>
      <c r="S38" s="243">
        <f t="shared" si="45"/>
        <v>0</v>
      </c>
      <c r="T38" s="243">
        <f t="shared" si="45"/>
        <v>0</v>
      </c>
      <c r="U38" s="243">
        <f t="shared" si="45"/>
        <v>0</v>
      </c>
      <c r="V38" s="243">
        <f t="shared" si="45"/>
        <v>0</v>
      </c>
      <c r="W38" s="243">
        <f t="shared" si="45"/>
        <v>0</v>
      </c>
      <c r="X38" s="243">
        <f t="shared" si="45"/>
        <v>0</v>
      </c>
      <c r="Y38" s="243">
        <f t="shared" si="45"/>
        <v>0</v>
      </c>
      <c r="Z38" s="243">
        <f t="shared" si="45"/>
        <v>0</v>
      </c>
      <c r="AA38" s="243">
        <f t="shared" si="45"/>
        <v>0</v>
      </c>
      <c r="AB38" s="243">
        <f t="shared" si="45"/>
        <v>3493957077</v>
      </c>
      <c r="AC38" s="243">
        <f>SUM(AC40:AC44)</f>
        <v>3604217267</v>
      </c>
      <c r="AD38" s="243">
        <f t="shared" si="45"/>
        <v>0</v>
      </c>
      <c r="AE38" s="243">
        <f t="shared" si="45"/>
        <v>0</v>
      </c>
      <c r="AF38" s="243">
        <f t="shared" si="45"/>
        <v>0</v>
      </c>
      <c r="AG38" s="243">
        <f t="shared" si="45"/>
        <v>0</v>
      </c>
      <c r="AH38" s="243">
        <f t="shared" si="45"/>
        <v>0</v>
      </c>
      <c r="AI38" s="243">
        <f t="shared" si="45"/>
        <v>0</v>
      </c>
      <c r="AJ38" s="243">
        <f t="shared" si="45"/>
        <v>0</v>
      </c>
      <c r="AK38" s="243">
        <f t="shared" si="45"/>
        <v>0</v>
      </c>
      <c r="AL38" s="243">
        <f t="shared" si="45"/>
        <v>0</v>
      </c>
      <c r="AM38" s="243">
        <f t="shared" si="45"/>
        <v>0</v>
      </c>
      <c r="AN38" s="243">
        <f t="shared" si="45"/>
        <v>0</v>
      </c>
      <c r="AO38" s="243">
        <f t="shared" si="45"/>
        <v>0</v>
      </c>
      <c r="AP38" s="243">
        <f t="shared" si="45"/>
        <v>0</v>
      </c>
      <c r="AQ38" s="243">
        <f t="shared" si="45"/>
        <v>0</v>
      </c>
      <c r="AR38" s="243">
        <f t="shared" si="45"/>
        <v>0</v>
      </c>
      <c r="AS38" s="243">
        <f t="shared" si="45"/>
        <v>0</v>
      </c>
      <c r="AT38" s="243">
        <f t="shared" si="45"/>
        <v>0</v>
      </c>
      <c r="AU38" s="243">
        <f t="shared" si="45"/>
        <v>0</v>
      </c>
      <c r="AV38" s="243">
        <f t="shared" si="45"/>
        <v>0</v>
      </c>
      <c r="AW38" s="243">
        <f t="shared" si="45"/>
        <v>0</v>
      </c>
      <c r="AX38" s="243">
        <f t="shared" si="45"/>
        <v>0</v>
      </c>
      <c r="AY38" s="243">
        <f t="shared" si="45"/>
        <v>0</v>
      </c>
      <c r="AZ38" s="243">
        <f t="shared" si="45"/>
        <v>0</v>
      </c>
      <c r="BA38" s="243">
        <f t="shared" si="45"/>
        <v>0</v>
      </c>
      <c r="BB38" s="243">
        <f t="shared" si="45"/>
        <v>0</v>
      </c>
      <c r="BC38" s="243">
        <f t="shared" si="45"/>
        <v>0</v>
      </c>
      <c r="BD38" s="243">
        <f t="shared" si="45"/>
        <v>0</v>
      </c>
      <c r="BE38" s="243">
        <f t="shared" si="45"/>
        <v>0</v>
      </c>
      <c r="BF38" s="243">
        <f t="shared" si="45"/>
        <v>0</v>
      </c>
      <c r="BG38" s="243">
        <f t="shared" si="45"/>
        <v>0</v>
      </c>
      <c r="BH38" s="243">
        <f t="shared" si="45"/>
        <v>0</v>
      </c>
      <c r="BI38" s="243">
        <f t="shared" si="45"/>
        <v>0</v>
      </c>
      <c r="BJ38" s="243">
        <f t="shared" si="45"/>
        <v>0</v>
      </c>
      <c r="BK38" s="243">
        <f t="shared" si="45"/>
        <v>0</v>
      </c>
      <c r="BL38" s="243">
        <f t="shared" si="45"/>
        <v>0</v>
      </c>
      <c r="BM38" s="243">
        <f t="shared" si="45"/>
        <v>0</v>
      </c>
      <c r="BN38" s="243">
        <f t="shared" si="45"/>
        <v>0</v>
      </c>
      <c r="BO38" s="243">
        <f t="shared" si="45"/>
        <v>0</v>
      </c>
      <c r="BP38" s="243">
        <f t="shared" si="45"/>
        <v>0</v>
      </c>
      <c r="BQ38" s="243">
        <f t="shared" ref="BQ38:ED38" si="46">SUM(BQ40:BQ44)</f>
        <v>0</v>
      </c>
      <c r="BR38" s="243">
        <f t="shared" si="46"/>
        <v>0</v>
      </c>
      <c r="BS38" s="243">
        <f t="shared" si="46"/>
        <v>0</v>
      </c>
      <c r="BT38" s="243">
        <f t="shared" si="46"/>
        <v>0</v>
      </c>
      <c r="BU38" s="243">
        <f t="shared" si="46"/>
        <v>0</v>
      </c>
      <c r="BV38" s="243">
        <f t="shared" si="46"/>
        <v>0</v>
      </c>
      <c r="BW38" s="243">
        <f t="shared" si="46"/>
        <v>0</v>
      </c>
      <c r="BX38" s="243">
        <f t="shared" si="46"/>
        <v>0</v>
      </c>
      <c r="BY38" s="243">
        <f t="shared" si="46"/>
        <v>0</v>
      </c>
      <c r="BZ38" s="243">
        <f t="shared" si="46"/>
        <v>0</v>
      </c>
      <c r="CA38" s="243">
        <f t="shared" si="46"/>
        <v>0</v>
      </c>
      <c r="CB38" s="243">
        <f t="shared" si="46"/>
        <v>0</v>
      </c>
      <c r="CC38" s="243">
        <f t="shared" si="46"/>
        <v>0</v>
      </c>
      <c r="CD38" s="243">
        <f t="shared" si="46"/>
        <v>0</v>
      </c>
      <c r="CE38" s="243">
        <f t="shared" si="46"/>
        <v>0</v>
      </c>
      <c r="CF38" s="243">
        <f t="shared" si="46"/>
        <v>0</v>
      </c>
      <c r="CG38" s="243">
        <f t="shared" si="46"/>
        <v>0</v>
      </c>
      <c r="CH38" s="243">
        <f t="shared" si="46"/>
        <v>0</v>
      </c>
      <c r="CI38" s="243">
        <f t="shared" si="46"/>
        <v>0</v>
      </c>
      <c r="CJ38" s="243">
        <f t="shared" si="46"/>
        <v>0</v>
      </c>
      <c r="CK38" s="243">
        <f t="shared" si="46"/>
        <v>0</v>
      </c>
      <c r="CL38" s="243">
        <f t="shared" si="46"/>
        <v>0</v>
      </c>
      <c r="CM38" s="243">
        <f t="shared" si="46"/>
        <v>0</v>
      </c>
      <c r="CN38" s="243">
        <f t="shared" si="46"/>
        <v>0</v>
      </c>
      <c r="CO38" s="243">
        <f t="shared" si="46"/>
        <v>0</v>
      </c>
      <c r="CP38" s="243">
        <f t="shared" si="46"/>
        <v>0</v>
      </c>
      <c r="CQ38" s="243">
        <f t="shared" si="46"/>
        <v>0</v>
      </c>
      <c r="CR38" s="243">
        <f t="shared" si="46"/>
        <v>0</v>
      </c>
      <c r="CS38" s="243">
        <f t="shared" si="46"/>
        <v>0</v>
      </c>
      <c r="CT38" s="243">
        <f t="shared" si="46"/>
        <v>0</v>
      </c>
      <c r="CU38" s="243">
        <f t="shared" si="46"/>
        <v>0</v>
      </c>
      <c r="CV38" s="243">
        <f t="shared" si="46"/>
        <v>0</v>
      </c>
      <c r="CW38" s="243">
        <f t="shared" si="46"/>
        <v>0</v>
      </c>
      <c r="CX38" s="243">
        <f t="shared" si="46"/>
        <v>0</v>
      </c>
      <c r="CY38" s="243">
        <f t="shared" si="46"/>
        <v>0</v>
      </c>
      <c r="CZ38" s="243">
        <f t="shared" si="46"/>
        <v>0</v>
      </c>
      <c r="DA38" s="243">
        <f t="shared" si="46"/>
        <v>0</v>
      </c>
      <c r="DB38" s="243">
        <f t="shared" si="46"/>
        <v>0</v>
      </c>
      <c r="DC38" s="243">
        <f t="shared" si="46"/>
        <v>0</v>
      </c>
      <c r="DD38" s="243">
        <f t="shared" si="46"/>
        <v>0</v>
      </c>
      <c r="DE38" s="243">
        <f t="shared" si="46"/>
        <v>0</v>
      </c>
      <c r="DF38" s="243">
        <f t="shared" si="46"/>
        <v>0</v>
      </c>
      <c r="DG38" s="243">
        <f t="shared" si="46"/>
        <v>0</v>
      </c>
      <c r="DH38" s="243">
        <f t="shared" si="46"/>
        <v>0</v>
      </c>
      <c r="DI38" s="243">
        <f t="shared" si="46"/>
        <v>0</v>
      </c>
      <c r="DJ38" s="243">
        <f t="shared" si="46"/>
        <v>0</v>
      </c>
      <c r="DK38" s="243">
        <f t="shared" si="46"/>
        <v>0</v>
      </c>
      <c r="DL38" s="243">
        <f t="shared" si="46"/>
        <v>0</v>
      </c>
      <c r="DM38" s="243">
        <f t="shared" si="46"/>
        <v>0</v>
      </c>
      <c r="DN38" s="243">
        <f t="shared" si="46"/>
        <v>0</v>
      </c>
      <c r="DO38" s="243">
        <f t="shared" si="46"/>
        <v>0</v>
      </c>
      <c r="DP38" s="243">
        <f t="shared" si="46"/>
        <v>0</v>
      </c>
      <c r="DQ38" s="243">
        <f t="shared" si="46"/>
        <v>0</v>
      </c>
      <c r="DR38" s="243">
        <f t="shared" si="46"/>
        <v>0</v>
      </c>
      <c r="DS38" s="243">
        <f t="shared" si="46"/>
        <v>0</v>
      </c>
      <c r="DT38" s="243">
        <f t="shared" si="46"/>
        <v>0</v>
      </c>
      <c r="DU38" s="243">
        <f t="shared" si="46"/>
        <v>0</v>
      </c>
      <c r="DV38" s="243">
        <f t="shared" si="46"/>
        <v>0</v>
      </c>
      <c r="DW38" s="243">
        <f t="shared" si="46"/>
        <v>0</v>
      </c>
      <c r="DX38" s="243">
        <f t="shared" si="46"/>
        <v>0</v>
      </c>
      <c r="DY38" s="243">
        <f t="shared" si="46"/>
        <v>0</v>
      </c>
      <c r="DZ38" s="243">
        <f>SUM(DZ40:DZ44)</f>
        <v>0</v>
      </c>
      <c r="EA38" s="243">
        <f>SUM(EA40:EA44)</f>
        <v>0</v>
      </c>
      <c r="EB38" s="243">
        <f t="shared" si="46"/>
        <v>0</v>
      </c>
      <c r="EC38" s="243">
        <f t="shared" si="46"/>
        <v>0</v>
      </c>
      <c r="ED38" s="243">
        <f t="shared" si="46"/>
        <v>0</v>
      </c>
      <c r="EE38" s="243">
        <f t="shared" ref="EE38:GR38" si="47">SUM(EE40:EE44)</f>
        <v>0</v>
      </c>
      <c r="EF38" s="243">
        <f>SUM(EF40:EF44)</f>
        <v>0</v>
      </c>
      <c r="EG38" s="243">
        <f>SUM(EG40:EG44)</f>
        <v>0</v>
      </c>
      <c r="EH38" s="243">
        <f t="shared" si="47"/>
        <v>0</v>
      </c>
      <c r="EI38" s="243">
        <f t="shared" si="47"/>
        <v>0</v>
      </c>
      <c r="EJ38" s="243">
        <f t="shared" si="47"/>
        <v>0</v>
      </c>
      <c r="EK38" s="243">
        <f t="shared" si="47"/>
        <v>0</v>
      </c>
      <c r="EL38" s="243">
        <f t="shared" si="47"/>
        <v>0</v>
      </c>
      <c r="EM38" s="243">
        <f t="shared" si="47"/>
        <v>0</v>
      </c>
      <c r="EN38" s="243">
        <f t="shared" si="47"/>
        <v>0</v>
      </c>
      <c r="EO38" s="243">
        <f t="shared" si="47"/>
        <v>0</v>
      </c>
      <c r="EP38" s="243">
        <f t="shared" si="47"/>
        <v>0</v>
      </c>
      <c r="EQ38" s="243">
        <f t="shared" si="47"/>
        <v>0</v>
      </c>
      <c r="ER38" s="243">
        <f t="shared" si="47"/>
        <v>0</v>
      </c>
      <c r="ES38" s="243">
        <f t="shared" si="47"/>
        <v>0</v>
      </c>
      <c r="ET38" s="243">
        <f t="shared" si="47"/>
        <v>0</v>
      </c>
      <c r="EU38" s="243">
        <f t="shared" si="47"/>
        <v>0</v>
      </c>
      <c r="EV38" s="243">
        <f t="shared" si="47"/>
        <v>0</v>
      </c>
      <c r="EW38" s="243">
        <f t="shared" si="47"/>
        <v>0</v>
      </c>
      <c r="EX38" s="243">
        <f t="shared" si="47"/>
        <v>0</v>
      </c>
      <c r="EY38" s="243">
        <f t="shared" si="47"/>
        <v>0</v>
      </c>
      <c r="EZ38" s="243">
        <f t="shared" si="47"/>
        <v>0</v>
      </c>
      <c r="FA38" s="243">
        <f t="shared" si="47"/>
        <v>0</v>
      </c>
      <c r="FB38" s="243">
        <f t="shared" si="47"/>
        <v>0</v>
      </c>
      <c r="FC38" s="243">
        <f t="shared" si="47"/>
        <v>0</v>
      </c>
      <c r="FD38" s="243">
        <f t="shared" si="47"/>
        <v>0</v>
      </c>
      <c r="FE38" s="243">
        <f t="shared" si="47"/>
        <v>0</v>
      </c>
      <c r="FF38" s="243">
        <f t="shared" si="47"/>
        <v>0</v>
      </c>
      <c r="FG38" s="243">
        <f t="shared" si="47"/>
        <v>0</v>
      </c>
      <c r="FH38" s="243">
        <f t="shared" si="47"/>
        <v>0</v>
      </c>
      <c r="FI38" s="243">
        <f t="shared" si="47"/>
        <v>0</v>
      </c>
      <c r="FJ38" s="243">
        <f t="shared" si="47"/>
        <v>0</v>
      </c>
      <c r="FK38" s="243">
        <f t="shared" si="47"/>
        <v>0</v>
      </c>
      <c r="FL38" s="243">
        <f t="shared" si="47"/>
        <v>0</v>
      </c>
      <c r="FM38" s="243">
        <f t="shared" si="47"/>
        <v>0</v>
      </c>
      <c r="FN38" s="243">
        <f t="shared" si="47"/>
        <v>0</v>
      </c>
      <c r="FO38" s="243">
        <f t="shared" si="47"/>
        <v>0</v>
      </c>
      <c r="FP38" s="243">
        <f t="shared" si="47"/>
        <v>0</v>
      </c>
      <c r="FQ38" s="243">
        <f t="shared" si="47"/>
        <v>0</v>
      </c>
      <c r="FR38" s="243">
        <f t="shared" si="47"/>
        <v>0</v>
      </c>
      <c r="FS38" s="243">
        <f t="shared" si="47"/>
        <v>0</v>
      </c>
      <c r="FT38" s="243">
        <f t="shared" si="47"/>
        <v>0</v>
      </c>
      <c r="FU38" s="243">
        <f t="shared" si="47"/>
        <v>0</v>
      </c>
      <c r="FV38" s="243">
        <f t="shared" si="47"/>
        <v>0</v>
      </c>
      <c r="FW38" s="243">
        <f t="shared" si="47"/>
        <v>0</v>
      </c>
      <c r="FX38" s="243">
        <f t="shared" si="47"/>
        <v>0</v>
      </c>
      <c r="FY38" s="243">
        <f t="shared" si="47"/>
        <v>0</v>
      </c>
      <c r="FZ38" s="243">
        <f t="shared" si="47"/>
        <v>0</v>
      </c>
      <c r="GA38" s="243">
        <f t="shared" si="47"/>
        <v>0</v>
      </c>
      <c r="GB38" s="243">
        <f t="shared" si="47"/>
        <v>0</v>
      </c>
      <c r="GC38" s="243">
        <f t="shared" si="47"/>
        <v>0</v>
      </c>
      <c r="GD38" s="243">
        <f t="shared" si="47"/>
        <v>0</v>
      </c>
      <c r="GE38" s="243">
        <f t="shared" si="47"/>
        <v>0</v>
      </c>
      <c r="GF38" s="243">
        <f t="shared" si="47"/>
        <v>0</v>
      </c>
      <c r="GG38" s="243">
        <f t="shared" si="47"/>
        <v>0</v>
      </c>
      <c r="GH38" s="243">
        <f t="shared" si="47"/>
        <v>0</v>
      </c>
      <c r="GI38" s="243">
        <f t="shared" si="47"/>
        <v>0</v>
      </c>
      <c r="GJ38" s="243">
        <f t="shared" si="47"/>
        <v>0</v>
      </c>
      <c r="GK38" s="243">
        <f t="shared" si="47"/>
        <v>0</v>
      </c>
      <c r="GL38" s="243">
        <f t="shared" si="47"/>
        <v>0</v>
      </c>
      <c r="GM38" s="243">
        <f t="shared" si="47"/>
        <v>0</v>
      </c>
      <c r="GN38" s="243">
        <f t="shared" si="47"/>
        <v>0</v>
      </c>
      <c r="GO38" s="243">
        <f t="shared" si="47"/>
        <v>0</v>
      </c>
      <c r="GP38" s="243">
        <f t="shared" si="47"/>
        <v>0</v>
      </c>
      <c r="GQ38" s="243">
        <f t="shared" si="47"/>
        <v>0</v>
      </c>
      <c r="GR38" s="243">
        <f t="shared" si="47"/>
        <v>0</v>
      </c>
      <c r="GS38" s="243">
        <f t="shared" ref="GS38:HY38" si="48">SUM(GS40:GS44)</f>
        <v>0</v>
      </c>
      <c r="GT38" s="243">
        <f t="shared" si="48"/>
        <v>0</v>
      </c>
      <c r="GU38" s="243">
        <f t="shared" si="48"/>
        <v>0</v>
      </c>
      <c r="GV38" s="243">
        <f t="shared" si="48"/>
        <v>0</v>
      </c>
      <c r="GW38" s="243">
        <f t="shared" si="48"/>
        <v>0</v>
      </c>
      <c r="GX38" s="243">
        <f t="shared" si="48"/>
        <v>0</v>
      </c>
      <c r="GY38" s="243">
        <f t="shared" si="48"/>
        <v>0</v>
      </c>
      <c r="GZ38" s="243">
        <f t="shared" si="48"/>
        <v>0</v>
      </c>
      <c r="HA38" s="243">
        <f t="shared" si="48"/>
        <v>0</v>
      </c>
      <c r="HB38" s="243">
        <f t="shared" si="48"/>
        <v>0</v>
      </c>
      <c r="HC38" s="243">
        <f t="shared" si="48"/>
        <v>0</v>
      </c>
      <c r="HD38" s="243">
        <f t="shared" si="48"/>
        <v>0</v>
      </c>
      <c r="HE38" s="243">
        <f t="shared" si="48"/>
        <v>0</v>
      </c>
      <c r="HF38" s="243">
        <f t="shared" si="48"/>
        <v>0</v>
      </c>
      <c r="HG38" s="243">
        <f t="shared" si="48"/>
        <v>0</v>
      </c>
      <c r="HH38" s="243">
        <f t="shared" si="48"/>
        <v>0</v>
      </c>
      <c r="HI38" s="243">
        <f t="shared" si="48"/>
        <v>0</v>
      </c>
      <c r="HJ38" s="243">
        <f t="shared" si="48"/>
        <v>0</v>
      </c>
      <c r="HK38" s="243">
        <f t="shared" si="48"/>
        <v>0</v>
      </c>
      <c r="HL38" s="243">
        <f t="shared" si="48"/>
        <v>0</v>
      </c>
      <c r="HM38" s="243">
        <f t="shared" si="48"/>
        <v>0</v>
      </c>
      <c r="HN38" s="243">
        <f t="shared" si="48"/>
        <v>0</v>
      </c>
      <c r="HO38" s="243">
        <f t="shared" si="48"/>
        <v>0</v>
      </c>
      <c r="HP38" s="243">
        <f t="shared" si="48"/>
        <v>0</v>
      </c>
      <c r="HQ38" s="243">
        <f t="shared" si="48"/>
        <v>0</v>
      </c>
      <c r="HR38" s="243">
        <f t="shared" si="48"/>
        <v>0</v>
      </c>
      <c r="HS38" s="243">
        <f t="shared" si="48"/>
        <v>0</v>
      </c>
      <c r="HT38" s="243">
        <f t="shared" si="48"/>
        <v>0</v>
      </c>
      <c r="HU38" s="243">
        <f t="shared" si="48"/>
        <v>0</v>
      </c>
      <c r="HV38" s="243">
        <f t="shared" si="48"/>
        <v>0</v>
      </c>
      <c r="HW38" s="243">
        <f t="shared" si="48"/>
        <v>0</v>
      </c>
      <c r="HX38" s="243">
        <f t="shared" si="48"/>
        <v>0</v>
      </c>
      <c r="HY38" s="243">
        <f t="shared" si="48"/>
        <v>0</v>
      </c>
      <c r="HZ38" s="243">
        <f t="shared" ref="HZ38:II38" si="49">SUM(HZ40:HZ44)</f>
        <v>0</v>
      </c>
      <c r="IA38" s="243">
        <f t="shared" si="49"/>
        <v>0</v>
      </c>
      <c r="IB38" s="243">
        <f t="shared" si="49"/>
        <v>0</v>
      </c>
      <c r="IC38" s="243">
        <f t="shared" si="49"/>
        <v>0</v>
      </c>
      <c r="ID38" s="243">
        <f t="shared" si="49"/>
        <v>0</v>
      </c>
      <c r="IE38" s="243">
        <f t="shared" si="49"/>
        <v>0</v>
      </c>
      <c r="IF38" s="243">
        <f t="shared" si="49"/>
        <v>0</v>
      </c>
      <c r="IG38" s="243">
        <f t="shared" si="49"/>
        <v>0</v>
      </c>
      <c r="IH38" s="243">
        <f t="shared" si="49"/>
        <v>0</v>
      </c>
      <c r="II38" s="243">
        <f t="shared" si="49"/>
        <v>0</v>
      </c>
    </row>
    <row r="39" spans="1:243" s="229" customFormat="1" ht="21.75" customHeight="1" x14ac:dyDescent="0.25">
      <c r="A39" s="222" t="s">
        <v>277</v>
      </c>
      <c r="B39" s="236" t="s">
        <v>582</v>
      </c>
      <c r="C39" s="224"/>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c r="BM39" s="243"/>
      <c r="BN39" s="243"/>
      <c r="BO39" s="243"/>
      <c r="BP39" s="243"/>
      <c r="BQ39" s="243"/>
      <c r="BR39" s="243"/>
      <c r="BS39" s="243"/>
      <c r="BT39" s="243"/>
      <c r="BU39" s="243"/>
      <c r="BV39" s="243"/>
      <c r="BW39" s="243"/>
      <c r="BX39" s="243"/>
      <c r="BY39" s="243"/>
      <c r="BZ39" s="243"/>
      <c r="CA39" s="243"/>
      <c r="CB39" s="243"/>
      <c r="CC39" s="243"/>
      <c r="CD39" s="243"/>
      <c r="CE39" s="243"/>
      <c r="CF39" s="243"/>
      <c r="CG39" s="243"/>
      <c r="CH39" s="243"/>
      <c r="CI39" s="243"/>
      <c r="CJ39" s="243"/>
      <c r="CK39" s="243"/>
      <c r="CL39" s="243"/>
      <c r="CM39" s="243"/>
      <c r="CN39" s="243"/>
      <c r="CO39" s="243"/>
      <c r="CP39" s="243"/>
      <c r="CQ39" s="243"/>
      <c r="CR39" s="243"/>
      <c r="CS39" s="243"/>
      <c r="CT39" s="243"/>
      <c r="CU39" s="243"/>
      <c r="CV39" s="243"/>
      <c r="CW39" s="243"/>
      <c r="CX39" s="243"/>
      <c r="CY39" s="243"/>
      <c r="CZ39" s="243"/>
      <c r="DA39" s="243"/>
      <c r="DB39" s="243"/>
      <c r="DC39" s="243"/>
      <c r="DD39" s="243"/>
      <c r="DE39" s="243"/>
      <c r="DF39" s="243"/>
      <c r="DG39" s="243"/>
      <c r="DH39" s="243"/>
      <c r="DI39" s="243"/>
      <c r="DJ39" s="243"/>
      <c r="DK39" s="243"/>
      <c r="DL39" s="243"/>
      <c r="DM39" s="243"/>
      <c r="DN39" s="243"/>
      <c r="DO39" s="243"/>
      <c r="DP39" s="243"/>
      <c r="DQ39" s="243"/>
      <c r="DR39" s="243"/>
      <c r="DS39" s="243"/>
      <c r="DT39" s="243"/>
      <c r="DU39" s="243"/>
      <c r="DV39" s="243"/>
      <c r="DW39" s="243"/>
      <c r="DX39" s="243"/>
      <c r="DY39" s="243"/>
      <c r="DZ39" s="243"/>
      <c r="EA39" s="243"/>
      <c r="EB39" s="243"/>
      <c r="EC39" s="243"/>
      <c r="ED39" s="243"/>
      <c r="EE39" s="243"/>
      <c r="EF39" s="243"/>
      <c r="EG39" s="243"/>
      <c r="EH39" s="243"/>
      <c r="EI39" s="243"/>
      <c r="EJ39" s="243"/>
      <c r="EK39" s="243"/>
      <c r="EL39" s="243"/>
      <c r="EM39" s="243"/>
      <c r="EN39" s="243"/>
      <c r="EO39" s="243"/>
      <c r="EP39" s="243"/>
      <c r="EQ39" s="243"/>
      <c r="ER39" s="243"/>
      <c r="ES39" s="243"/>
      <c r="ET39" s="243"/>
      <c r="EU39" s="243"/>
      <c r="EV39" s="243"/>
      <c r="EW39" s="243"/>
      <c r="EX39" s="243"/>
      <c r="EY39" s="243"/>
      <c r="EZ39" s="243"/>
      <c r="FA39" s="243"/>
      <c r="FB39" s="243"/>
      <c r="FC39" s="243"/>
      <c r="FD39" s="243"/>
      <c r="FE39" s="243"/>
      <c r="FF39" s="243"/>
      <c r="FG39" s="243"/>
      <c r="FH39" s="243"/>
      <c r="FI39" s="243"/>
      <c r="FJ39" s="243"/>
      <c r="FK39" s="243"/>
      <c r="FL39" s="243"/>
      <c r="FM39" s="243"/>
      <c r="FN39" s="243"/>
      <c r="FO39" s="243"/>
      <c r="FP39" s="243"/>
      <c r="FQ39" s="243"/>
      <c r="FR39" s="243"/>
      <c r="FS39" s="243"/>
      <c r="FT39" s="243"/>
      <c r="FU39" s="243"/>
      <c r="FV39" s="243"/>
      <c r="FW39" s="243"/>
      <c r="FX39" s="243"/>
      <c r="FY39" s="243"/>
      <c r="FZ39" s="243"/>
      <c r="GA39" s="243"/>
      <c r="GB39" s="243"/>
      <c r="GC39" s="243"/>
      <c r="GD39" s="243"/>
      <c r="GE39" s="243"/>
      <c r="GF39" s="243"/>
      <c r="GG39" s="243"/>
      <c r="GH39" s="243"/>
      <c r="GI39" s="243"/>
      <c r="GJ39" s="243"/>
      <c r="GK39" s="243"/>
      <c r="GL39" s="243"/>
      <c r="GM39" s="243"/>
      <c r="GN39" s="243"/>
      <c r="GO39" s="243"/>
      <c r="GP39" s="243"/>
      <c r="GQ39" s="243"/>
      <c r="GR39" s="243"/>
      <c r="GS39" s="243"/>
      <c r="GT39" s="243"/>
      <c r="GU39" s="243"/>
      <c r="GV39" s="243"/>
      <c r="GW39" s="243"/>
      <c r="GX39" s="243"/>
      <c r="GY39" s="243"/>
      <c r="GZ39" s="243"/>
      <c r="HA39" s="243"/>
      <c r="HB39" s="243"/>
      <c r="HC39" s="243"/>
      <c r="HD39" s="243"/>
      <c r="HE39" s="243"/>
      <c r="HF39" s="243"/>
      <c r="HG39" s="243"/>
      <c r="HH39" s="243"/>
      <c r="HI39" s="243"/>
      <c r="HJ39" s="243"/>
      <c r="HK39" s="243"/>
      <c r="HL39" s="243"/>
      <c r="HM39" s="243"/>
      <c r="HN39" s="243"/>
      <c r="HO39" s="243"/>
      <c r="HP39" s="243"/>
      <c r="HQ39" s="243"/>
      <c r="HR39" s="243"/>
      <c r="HS39" s="243"/>
      <c r="HT39" s="243"/>
      <c r="HU39" s="243"/>
      <c r="HV39" s="243"/>
      <c r="HW39" s="243"/>
      <c r="HX39" s="243"/>
      <c r="HY39" s="243"/>
      <c r="HZ39" s="243"/>
      <c r="IA39" s="243"/>
      <c r="IB39" s="243"/>
      <c r="IC39" s="243"/>
      <c r="ID39" s="243"/>
      <c r="IE39" s="243"/>
      <c r="IF39" s="243"/>
      <c r="IG39" s="243"/>
      <c r="IH39" s="243"/>
      <c r="II39" s="243"/>
    </row>
    <row r="40" spans="1:243" s="237" customFormat="1" ht="21.75" customHeight="1" x14ac:dyDescent="0.25">
      <c r="A40" s="222" t="s">
        <v>278</v>
      </c>
      <c r="B40" s="236" t="s">
        <v>882</v>
      </c>
      <c r="C40" s="233"/>
      <c r="D40" s="253"/>
      <c r="E40" s="253"/>
      <c r="F40" s="253"/>
      <c r="G40" s="253"/>
      <c r="H40" s="253"/>
      <c r="I40" s="253"/>
      <c r="J40" s="253"/>
      <c r="K40" s="253"/>
      <c r="L40" s="253"/>
      <c r="M40" s="253"/>
      <c r="N40" s="253"/>
      <c r="O40" s="253"/>
      <c r="P40" s="253"/>
      <c r="Q40" s="253"/>
      <c r="R40" s="253"/>
      <c r="S40" s="253"/>
      <c r="T40" s="264"/>
      <c r="U40" s="264"/>
      <c r="V40" s="264"/>
      <c r="W40" s="264"/>
      <c r="X40" s="264"/>
      <c r="Y40" s="264"/>
      <c r="Z40" s="264"/>
      <c r="AA40" s="264"/>
      <c r="AB40" s="384">
        <f>(642944250+1150445+87312915+63513436)+1440030000</f>
        <v>2234951046</v>
      </c>
      <c r="AC40" s="384">
        <f>(642944250+1150445+87312915+63513436)+1440030000</f>
        <v>2234951046</v>
      </c>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64"/>
      <c r="CA40" s="264"/>
      <c r="CB40" s="264"/>
      <c r="CC40" s="264"/>
      <c r="CD40" s="264"/>
      <c r="CE40" s="264"/>
      <c r="CF40" s="264"/>
      <c r="CG40" s="264"/>
      <c r="CH40" s="264"/>
      <c r="CI40" s="264"/>
      <c r="CJ40" s="264"/>
      <c r="CK40" s="264"/>
      <c r="CL40" s="264"/>
      <c r="CM40" s="264"/>
      <c r="CN40" s="264"/>
      <c r="CO40" s="264"/>
      <c r="CP40" s="264"/>
      <c r="CQ40" s="264"/>
      <c r="CR40" s="264"/>
      <c r="CS40" s="264"/>
      <c r="CT40" s="264"/>
      <c r="CU40" s="264"/>
      <c r="CV40" s="264"/>
      <c r="CW40" s="264"/>
      <c r="CX40" s="264"/>
      <c r="CY40" s="264"/>
      <c r="CZ40" s="264"/>
      <c r="DA40" s="264"/>
      <c r="DB40" s="264"/>
      <c r="DC40" s="264"/>
      <c r="DD40" s="264"/>
      <c r="DE40" s="264"/>
      <c r="DF40" s="264"/>
      <c r="DG40" s="264"/>
      <c r="DH40" s="264"/>
      <c r="DI40" s="264"/>
      <c r="DJ40" s="264"/>
      <c r="DK40" s="264"/>
      <c r="DL40" s="264"/>
      <c r="DM40" s="264"/>
      <c r="DN40" s="264"/>
      <c r="DO40" s="264"/>
      <c r="DP40" s="264"/>
      <c r="DQ40" s="264"/>
      <c r="DR40" s="264"/>
      <c r="DS40" s="264"/>
      <c r="DT40" s="264"/>
      <c r="DU40" s="264"/>
      <c r="DV40" s="264"/>
      <c r="DW40" s="264"/>
      <c r="DX40" s="264"/>
      <c r="DY40" s="264"/>
      <c r="DZ40" s="264"/>
      <c r="EA40" s="264"/>
      <c r="EB40" s="264"/>
      <c r="EC40" s="264"/>
      <c r="ED40" s="264"/>
      <c r="EE40" s="264"/>
      <c r="EF40" s="264"/>
      <c r="EG40" s="264"/>
      <c r="EH40" s="264"/>
      <c r="EI40" s="264"/>
      <c r="EJ40" s="264"/>
      <c r="EK40" s="264"/>
      <c r="EL40" s="264"/>
      <c r="EM40" s="264"/>
      <c r="EN40" s="264"/>
      <c r="EO40" s="264"/>
      <c r="EP40" s="264"/>
      <c r="EQ40" s="264"/>
      <c r="ER40" s="264"/>
      <c r="ES40" s="264"/>
      <c r="ET40" s="264"/>
      <c r="EU40" s="264"/>
      <c r="EV40" s="264"/>
      <c r="EW40" s="264"/>
      <c r="EX40" s="264"/>
      <c r="EY40" s="264"/>
      <c r="EZ40" s="264"/>
      <c r="FA40" s="264"/>
      <c r="FB40" s="264"/>
      <c r="FC40" s="264"/>
      <c r="FD40" s="264"/>
      <c r="FE40" s="264"/>
      <c r="FF40" s="264"/>
      <c r="FG40" s="264"/>
      <c r="FH40" s="264"/>
      <c r="FI40" s="264"/>
      <c r="FJ40" s="264"/>
      <c r="FK40" s="264"/>
      <c r="FL40" s="264"/>
      <c r="FM40" s="264"/>
      <c r="FN40" s="264"/>
      <c r="FO40" s="264"/>
      <c r="FP40" s="264"/>
      <c r="FQ40" s="264"/>
      <c r="FR40" s="264"/>
      <c r="FS40" s="264"/>
      <c r="FT40" s="264"/>
      <c r="FU40" s="264"/>
      <c r="FV40" s="264"/>
      <c r="FW40" s="264"/>
      <c r="FX40" s="264"/>
      <c r="FY40" s="264"/>
      <c r="FZ40" s="264"/>
      <c r="GA40" s="264"/>
      <c r="GB40" s="264"/>
      <c r="GC40" s="264"/>
      <c r="GD40" s="264"/>
      <c r="GE40" s="264"/>
      <c r="GF40" s="264"/>
      <c r="GG40" s="264"/>
      <c r="GH40" s="264"/>
      <c r="GI40" s="264"/>
      <c r="GJ40" s="264"/>
      <c r="GK40" s="264"/>
      <c r="GL40" s="264"/>
      <c r="GM40" s="264"/>
      <c r="GN40" s="264"/>
      <c r="GO40" s="264"/>
      <c r="GP40" s="264"/>
      <c r="GQ40" s="264"/>
      <c r="GR40" s="264"/>
      <c r="GS40" s="264"/>
      <c r="GT40" s="264"/>
      <c r="GU40" s="264"/>
      <c r="GV40" s="264"/>
      <c r="GW40" s="264"/>
      <c r="GX40" s="264"/>
      <c r="GY40" s="264"/>
      <c r="GZ40" s="264"/>
      <c r="HA40" s="264"/>
      <c r="HB40" s="264"/>
      <c r="HC40" s="264"/>
      <c r="HD40" s="264"/>
      <c r="HE40" s="264"/>
      <c r="HF40" s="264"/>
      <c r="HG40" s="264"/>
      <c r="HH40" s="264"/>
      <c r="HI40" s="264"/>
      <c r="HJ40" s="264"/>
      <c r="HK40" s="264"/>
      <c r="HL40" s="264"/>
      <c r="HM40" s="264"/>
      <c r="HN40" s="264"/>
      <c r="HO40" s="264"/>
      <c r="HP40" s="264"/>
      <c r="HQ40" s="264"/>
      <c r="HR40" s="264"/>
      <c r="HS40" s="264"/>
      <c r="HT40" s="264"/>
      <c r="HU40" s="264"/>
      <c r="HV40" s="264"/>
      <c r="HW40" s="264"/>
      <c r="HX40" s="264"/>
      <c r="HY40" s="264"/>
      <c r="HZ40" s="264"/>
      <c r="IA40" s="264"/>
      <c r="IB40" s="264"/>
      <c r="IC40" s="264"/>
      <c r="ID40" s="264"/>
      <c r="IE40" s="264"/>
      <c r="IF40" s="264"/>
      <c r="IG40" s="264"/>
      <c r="IH40" s="264"/>
      <c r="II40" s="264"/>
    </row>
    <row r="41" spans="1:243" s="237" customFormat="1" ht="21.75" customHeight="1" x14ac:dyDescent="0.25">
      <c r="A41" s="222" t="s">
        <v>282</v>
      </c>
      <c r="B41" s="236" t="s">
        <v>883</v>
      </c>
      <c r="C41" s="233"/>
      <c r="D41" s="253"/>
      <c r="E41" s="253"/>
      <c r="F41" s="253"/>
      <c r="G41" s="253"/>
      <c r="H41" s="253"/>
      <c r="I41" s="253"/>
      <c r="J41" s="253"/>
      <c r="K41" s="253"/>
      <c r="L41" s="253"/>
      <c r="M41" s="253"/>
      <c r="N41" s="253"/>
      <c r="O41" s="253"/>
      <c r="P41" s="253"/>
      <c r="Q41" s="253"/>
      <c r="R41" s="253"/>
      <c r="S41" s="253"/>
      <c r="T41" s="264"/>
      <c r="U41" s="264"/>
      <c r="V41" s="264"/>
      <c r="W41" s="264"/>
      <c r="X41" s="264"/>
      <c r="Y41" s="264"/>
      <c r="Z41" s="264"/>
      <c r="AA41" s="264"/>
      <c r="AB41" s="384">
        <f>(480000000+373990120+374731+66322692+28348488)+309970000</f>
        <v>1259006031</v>
      </c>
      <c r="AC41" s="384">
        <f>(480000000+373990120+374731+66322692+28348488)+309970000+110260190</f>
        <v>1369266221</v>
      </c>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c r="CK41" s="264"/>
      <c r="CL41" s="264"/>
      <c r="CM41" s="264"/>
      <c r="CN41" s="264"/>
      <c r="CO41" s="264"/>
      <c r="CP41" s="264"/>
      <c r="CQ41" s="264"/>
      <c r="CR41" s="264"/>
      <c r="CS41" s="264"/>
      <c r="CT41" s="264"/>
      <c r="CU41" s="264"/>
      <c r="CV41" s="264"/>
      <c r="CW41" s="264"/>
      <c r="CX41" s="264"/>
      <c r="CY41" s="264"/>
      <c r="CZ41" s="264"/>
      <c r="DA41" s="264"/>
      <c r="DB41" s="264"/>
      <c r="DC41" s="264"/>
      <c r="DD41" s="264"/>
      <c r="DE41" s="264"/>
      <c r="DF41" s="264"/>
      <c r="DG41" s="264"/>
      <c r="DH41" s="264"/>
      <c r="DI41" s="264"/>
      <c r="DJ41" s="264"/>
      <c r="DK41" s="264"/>
      <c r="DL41" s="264"/>
      <c r="DM41" s="264"/>
      <c r="DN41" s="264"/>
      <c r="DO41" s="264"/>
      <c r="DP41" s="264"/>
      <c r="DQ41" s="264"/>
      <c r="DR41" s="264"/>
      <c r="DS41" s="264"/>
      <c r="DT41" s="264"/>
      <c r="DU41" s="264"/>
      <c r="DV41" s="264"/>
      <c r="DW41" s="264"/>
      <c r="DX41" s="264"/>
      <c r="DY41" s="264"/>
      <c r="DZ41" s="264"/>
      <c r="EA41" s="264"/>
      <c r="EB41" s="264"/>
      <c r="EC41" s="264"/>
      <c r="ED41" s="264"/>
      <c r="EE41" s="264"/>
      <c r="EF41" s="264"/>
      <c r="EG41" s="264"/>
      <c r="EH41" s="264"/>
      <c r="EI41" s="264"/>
      <c r="EJ41" s="264"/>
      <c r="EK41" s="264"/>
      <c r="EL41" s="264"/>
      <c r="EM41" s="264"/>
      <c r="EN41" s="264"/>
      <c r="EO41" s="264"/>
      <c r="EP41" s="264"/>
      <c r="EQ41" s="264"/>
      <c r="ER41" s="264"/>
      <c r="ES41" s="264"/>
      <c r="ET41" s="264"/>
      <c r="EU41" s="264"/>
      <c r="EV41" s="264"/>
      <c r="EW41" s="264"/>
      <c r="EX41" s="264"/>
      <c r="EY41" s="264"/>
      <c r="EZ41" s="264"/>
      <c r="FA41" s="264"/>
      <c r="FB41" s="264"/>
      <c r="FC41" s="264"/>
      <c r="FD41" s="264"/>
      <c r="FE41" s="264"/>
      <c r="FF41" s="264"/>
      <c r="FG41" s="264"/>
      <c r="FH41" s="264"/>
      <c r="FI41" s="264"/>
      <c r="FJ41" s="264"/>
      <c r="FK41" s="264"/>
      <c r="FL41" s="264"/>
      <c r="FM41" s="264"/>
      <c r="FN41" s="264"/>
      <c r="FO41" s="264"/>
      <c r="FP41" s="264"/>
      <c r="FQ41" s="264"/>
      <c r="FR41" s="264"/>
      <c r="FS41" s="264"/>
      <c r="FT41" s="264"/>
      <c r="FU41" s="264"/>
      <c r="FV41" s="264"/>
      <c r="FW41" s="264"/>
      <c r="FX41" s="264"/>
      <c r="FY41" s="264"/>
      <c r="FZ41" s="264"/>
      <c r="GA41" s="264"/>
      <c r="GB41" s="264"/>
      <c r="GC41" s="264"/>
      <c r="GD41" s="264"/>
      <c r="GE41" s="264"/>
      <c r="GF41" s="264"/>
      <c r="GG41" s="264"/>
      <c r="GH41" s="264"/>
      <c r="GI41" s="264"/>
      <c r="GJ41" s="264"/>
      <c r="GK41" s="264"/>
      <c r="GL41" s="264"/>
      <c r="GM41" s="264"/>
      <c r="GN41" s="264"/>
      <c r="GO41" s="264"/>
      <c r="GP41" s="264"/>
      <c r="GQ41" s="264"/>
      <c r="GR41" s="264"/>
      <c r="GS41" s="264"/>
      <c r="GT41" s="264"/>
      <c r="GU41" s="264"/>
      <c r="GV41" s="264"/>
      <c r="GW41" s="264"/>
      <c r="GX41" s="264"/>
      <c r="GY41" s="264"/>
      <c r="GZ41" s="264"/>
      <c r="HA41" s="264"/>
      <c r="HB41" s="264"/>
      <c r="HC41" s="264"/>
      <c r="HD41" s="264"/>
      <c r="HE41" s="264"/>
      <c r="HF41" s="264"/>
      <c r="HG41" s="264"/>
      <c r="HH41" s="264"/>
      <c r="HI41" s="264"/>
      <c r="HJ41" s="264"/>
      <c r="HK41" s="264"/>
      <c r="HL41" s="264"/>
      <c r="HM41" s="264"/>
      <c r="HN41" s="264"/>
      <c r="HO41" s="264"/>
      <c r="HP41" s="264"/>
      <c r="HQ41" s="264"/>
      <c r="HR41" s="264"/>
      <c r="HS41" s="264"/>
      <c r="HT41" s="264"/>
      <c r="HU41" s="264"/>
      <c r="HV41" s="264"/>
      <c r="HW41" s="264"/>
      <c r="HX41" s="264"/>
      <c r="HY41" s="264"/>
      <c r="HZ41" s="264"/>
      <c r="IA41" s="264"/>
      <c r="IB41" s="264"/>
      <c r="IC41" s="264"/>
      <c r="ID41" s="264"/>
      <c r="IE41" s="264"/>
      <c r="IF41" s="264"/>
      <c r="IG41" s="264"/>
      <c r="IH41" s="264"/>
      <c r="II41" s="264"/>
    </row>
    <row r="42" spans="1:243" s="237" customFormat="1" ht="21.75" customHeight="1" x14ac:dyDescent="0.25">
      <c r="A42" s="222" t="s">
        <v>283</v>
      </c>
      <c r="B42" s="236" t="s">
        <v>554</v>
      </c>
      <c r="C42" s="233"/>
      <c r="D42" s="253"/>
      <c r="E42" s="253"/>
      <c r="F42" s="253"/>
      <c r="G42" s="253"/>
      <c r="H42" s="253"/>
      <c r="I42" s="253"/>
      <c r="J42" s="253"/>
      <c r="K42" s="253"/>
      <c r="L42" s="253"/>
      <c r="M42" s="253"/>
      <c r="N42" s="253"/>
      <c r="O42" s="253"/>
      <c r="P42" s="253"/>
      <c r="Q42" s="253"/>
      <c r="R42" s="253"/>
      <c r="S42" s="253"/>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64"/>
      <c r="DA42" s="264"/>
      <c r="DB42" s="264"/>
      <c r="DC42" s="264"/>
      <c r="DD42" s="264"/>
      <c r="DE42" s="264"/>
      <c r="DF42" s="264"/>
      <c r="DG42" s="264"/>
      <c r="DH42" s="264"/>
      <c r="DI42" s="264"/>
      <c r="DJ42" s="264"/>
      <c r="DK42" s="264"/>
      <c r="DL42" s="264"/>
      <c r="DM42" s="264"/>
      <c r="DN42" s="264"/>
      <c r="DO42" s="264"/>
      <c r="DP42" s="264"/>
      <c r="DQ42" s="264"/>
      <c r="DR42" s="264"/>
      <c r="DS42" s="264"/>
      <c r="DT42" s="264"/>
      <c r="DU42" s="264"/>
      <c r="DV42" s="264"/>
      <c r="DW42" s="264"/>
      <c r="DX42" s="264"/>
      <c r="DY42" s="264"/>
      <c r="DZ42" s="264"/>
      <c r="EA42" s="264"/>
      <c r="EB42" s="264"/>
      <c r="EC42" s="264"/>
      <c r="ED42" s="264"/>
      <c r="EE42" s="264"/>
      <c r="EF42" s="264"/>
      <c r="EG42" s="264"/>
      <c r="EH42" s="264"/>
      <c r="EI42" s="264"/>
      <c r="EJ42" s="264"/>
      <c r="EK42" s="264"/>
      <c r="EL42" s="264"/>
      <c r="EM42" s="264"/>
      <c r="EN42" s="264"/>
      <c r="EO42" s="264"/>
      <c r="EP42" s="264"/>
      <c r="EQ42" s="264"/>
      <c r="ER42" s="264"/>
      <c r="ES42" s="264"/>
      <c r="ET42" s="264"/>
      <c r="EU42" s="264"/>
      <c r="EV42" s="264"/>
      <c r="EW42" s="264"/>
      <c r="EX42" s="264"/>
      <c r="EY42" s="264"/>
      <c r="EZ42" s="264"/>
      <c r="FA42" s="264"/>
      <c r="FB42" s="264"/>
      <c r="FC42" s="264"/>
      <c r="FD42" s="264"/>
      <c r="FE42" s="264"/>
      <c r="FF42" s="264"/>
      <c r="FG42" s="264"/>
      <c r="FH42" s="264"/>
      <c r="FI42" s="264"/>
      <c r="FJ42" s="264"/>
      <c r="FK42" s="264"/>
      <c r="FL42" s="264"/>
      <c r="FM42" s="264"/>
      <c r="FN42" s="264"/>
      <c r="FO42" s="264"/>
      <c r="FP42" s="264"/>
      <c r="FQ42" s="264"/>
      <c r="FR42" s="264"/>
      <c r="FS42" s="264"/>
      <c r="FT42" s="264"/>
      <c r="FU42" s="264"/>
      <c r="FV42" s="264"/>
      <c r="FW42" s="264"/>
      <c r="FX42" s="264"/>
      <c r="FY42" s="264"/>
      <c r="FZ42" s="264"/>
      <c r="GA42" s="264"/>
      <c r="GB42" s="264"/>
      <c r="GC42" s="264"/>
      <c r="GD42" s="264"/>
      <c r="GE42" s="264"/>
      <c r="GF42" s="264"/>
      <c r="GG42" s="264"/>
      <c r="GH42" s="264"/>
      <c r="GI42" s="264"/>
      <c r="GJ42" s="264"/>
      <c r="GK42" s="264"/>
      <c r="GL42" s="264"/>
      <c r="GM42" s="264"/>
      <c r="GN42" s="264"/>
      <c r="GO42" s="264"/>
      <c r="GP42" s="264"/>
      <c r="GQ42" s="264"/>
      <c r="GR42" s="264"/>
      <c r="GS42" s="264"/>
      <c r="GT42" s="264"/>
      <c r="GU42" s="264"/>
      <c r="GV42" s="264"/>
      <c r="GW42" s="264"/>
      <c r="GX42" s="264"/>
      <c r="GY42" s="264"/>
      <c r="GZ42" s="264"/>
      <c r="HA42" s="264"/>
      <c r="HB42" s="264"/>
      <c r="HC42" s="264"/>
      <c r="HD42" s="264"/>
      <c r="HE42" s="264"/>
      <c r="HF42" s="264"/>
      <c r="HG42" s="264"/>
      <c r="HH42" s="264"/>
      <c r="HI42" s="264"/>
      <c r="HJ42" s="264"/>
      <c r="HK42" s="264"/>
      <c r="HL42" s="264"/>
      <c r="HM42" s="264"/>
      <c r="HN42" s="264"/>
      <c r="HO42" s="264"/>
      <c r="HP42" s="264"/>
      <c r="HQ42" s="264"/>
      <c r="HR42" s="264"/>
      <c r="HS42" s="264"/>
      <c r="HT42" s="264"/>
      <c r="HU42" s="264"/>
      <c r="HV42" s="264"/>
      <c r="HW42" s="264"/>
      <c r="HX42" s="264"/>
      <c r="HY42" s="264"/>
      <c r="HZ42" s="264"/>
      <c r="IA42" s="264"/>
      <c r="IB42" s="264"/>
      <c r="IC42" s="264"/>
      <c r="ID42" s="264"/>
      <c r="IE42" s="264"/>
      <c r="IF42" s="264"/>
      <c r="IG42" s="264"/>
      <c r="IH42" s="264"/>
      <c r="II42" s="264"/>
    </row>
    <row r="43" spans="1:243" s="237" customFormat="1" ht="21.75" customHeight="1" x14ac:dyDescent="0.25">
      <c r="A43" s="222" t="s">
        <v>284</v>
      </c>
      <c r="B43" s="236" t="s">
        <v>555</v>
      </c>
      <c r="C43" s="233"/>
      <c r="D43" s="253"/>
      <c r="E43" s="253"/>
      <c r="F43" s="253"/>
      <c r="G43" s="253"/>
      <c r="H43" s="253"/>
      <c r="I43" s="253"/>
      <c r="J43" s="253"/>
      <c r="K43" s="253"/>
      <c r="L43" s="253"/>
      <c r="M43" s="253"/>
      <c r="N43" s="253"/>
      <c r="O43" s="253"/>
      <c r="P43" s="253"/>
      <c r="Q43" s="253"/>
      <c r="R43" s="253"/>
      <c r="S43" s="253"/>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4"/>
      <c r="AW43" s="264"/>
      <c r="AX43" s="264"/>
      <c r="AY43" s="264"/>
      <c r="AZ43" s="264"/>
      <c r="BA43" s="264"/>
      <c r="BB43" s="264"/>
      <c r="BC43" s="264"/>
      <c r="BD43" s="264"/>
      <c r="BE43" s="264"/>
      <c r="BF43" s="264"/>
      <c r="BG43" s="264"/>
      <c r="BH43" s="264"/>
      <c r="BI43" s="264"/>
      <c r="BJ43" s="264"/>
      <c r="BK43" s="264"/>
      <c r="BL43" s="264"/>
      <c r="BM43" s="264"/>
      <c r="BN43" s="264"/>
      <c r="BO43" s="264"/>
      <c r="BP43" s="264"/>
      <c r="BQ43" s="264"/>
      <c r="BR43" s="264"/>
      <c r="BS43" s="264"/>
      <c r="BT43" s="264"/>
      <c r="BU43" s="264"/>
      <c r="BV43" s="264"/>
      <c r="BW43" s="264"/>
      <c r="BX43" s="264"/>
      <c r="BY43" s="264"/>
      <c r="BZ43" s="264"/>
      <c r="CA43" s="264"/>
      <c r="CB43" s="264"/>
      <c r="CC43" s="264"/>
      <c r="CD43" s="264"/>
      <c r="CE43" s="264"/>
      <c r="CF43" s="264"/>
      <c r="CG43" s="264"/>
      <c r="CH43" s="264"/>
      <c r="CI43" s="264"/>
      <c r="CJ43" s="264"/>
      <c r="CK43" s="264"/>
      <c r="CL43" s="264"/>
      <c r="CM43" s="264"/>
      <c r="CN43" s="264"/>
      <c r="CO43" s="264"/>
      <c r="CP43" s="264"/>
      <c r="CQ43" s="264"/>
      <c r="CR43" s="264"/>
      <c r="CS43" s="264"/>
      <c r="CT43" s="264"/>
      <c r="CU43" s="264"/>
      <c r="CV43" s="264"/>
      <c r="CW43" s="264"/>
      <c r="CX43" s="264"/>
      <c r="CY43" s="264"/>
      <c r="CZ43" s="264"/>
      <c r="DA43" s="264"/>
      <c r="DB43" s="264"/>
      <c r="DC43" s="264"/>
      <c r="DD43" s="264"/>
      <c r="DE43" s="264"/>
      <c r="DF43" s="264"/>
      <c r="DG43" s="264"/>
      <c r="DH43" s="264"/>
      <c r="DI43" s="264"/>
      <c r="DJ43" s="264"/>
      <c r="DK43" s="264"/>
      <c r="DL43" s="264"/>
      <c r="DM43" s="264"/>
      <c r="DN43" s="264"/>
      <c r="DO43" s="264"/>
      <c r="DP43" s="264"/>
      <c r="DQ43" s="264"/>
      <c r="DR43" s="264"/>
      <c r="DS43" s="264"/>
      <c r="DT43" s="264"/>
      <c r="DU43" s="264"/>
      <c r="DV43" s="264"/>
      <c r="DW43" s="264"/>
      <c r="DX43" s="264"/>
      <c r="DY43" s="264"/>
      <c r="DZ43" s="264"/>
      <c r="EA43" s="264"/>
      <c r="EB43" s="264"/>
      <c r="EC43" s="264"/>
      <c r="ED43" s="264"/>
      <c r="EE43" s="264"/>
      <c r="EF43" s="264"/>
      <c r="EG43" s="264"/>
      <c r="EH43" s="264"/>
      <c r="EI43" s="264"/>
      <c r="EJ43" s="264"/>
      <c r="EK43" s="264"/>
      <c r="EL43" s="264"/>
      <c r="EM43" s="264"/>
      <c r="EN43" s="264"/>
      <c r="EO43" s="264"/>
      <c r="EP43" s="264"/>
      <c r="EQ43" s="264"/>
      <c r="ER43" s="264"/>
      <c r="ES43" s="264"/>
      <c r="ET43" s="264"/>
      <c r="EU43" s="264"/>
      <c r="EV43" s="264"/>
      <c r="EW43" s="264"/>
      <c r="EX43" s="264"/>
      <c r="EY43" s="264"/>
      <c r="EZ43" s="264"/>
      <c r="FA43" s="264"/>
      <c r="FB43" s="264"/>
      <c r="FC43" s="264"/>
      <c r="FD43" s="264"/>
      <c r="FE43" s="264"/>
      <c r="FF43" s="264"/>
      <c r="FG43" s="264"/>
      <c r="FH43" s="264"/>
      <c r="FI43" s="264"/>
      <c r="FJ43" s="264"/>
      <c r="FK43" s="264"/>
      <c r="FL43" s="264"/>
      <c r="FM43" s="264"/>
      <c r="FN43" s="264"/>
      <c r="FO43" s="264"/>
      <c r="FP43" s="264"/>
      <c r="FQ43" s="264"/>
      <c r="FR43" s="264"/>
      <c r="FS43" s="264"/>
      <c r="FT43" s="264"/>
      <c r="FU43" s="264"/>
      <c r="FV43" s="264"/>
      <c r="FW43" s="264"/>
      <c r="FX43" s="264"/>
      <c r="FY43" s="264"/>
      <c r="FZ43" s="264"/>
      <c r="GA43" s="264"/>
      <c r="GB43" s="264"/>
      <c r="GC43" s="264"/>
      <c r="GD43" s="264"/>
      <c r="GE43" s="264"/>
      <c r="GF43" s="264"/>
      <c r="GG43" s="264"/>
      <c r="GH43" s="264"/>
      <c r="GI43" s="264"/>
      <c r="GJ43" s="264"/>
      <c r="GK43" s="264"/>
      <c r="GL43" s="264"/>
      <c r="GM43" s="264"/>
      <c r="GN43" s="264"/>
      <c r="GO43" s="264"/>
      <c r="GP43" s="264"/>
      <c r="GQ43" s="264"/>
      <c r="GR43" s="264"/>
      <c r="GS43" s="264"/>
      <c r="GT43" s="264"/>
      <c r="GU43" s="264"/>
      <c r="GV43" s="264"/>
      <c r="GW43" s="264"/>
      <c r="GX43" s="264"/>
      <c r="GY43" s="264"/>
      <c r="GZ43" s="264"/>
      <c r="HA43" s="264"/>
      <c r="HB43" s="264"/>
      <c r="HC43" s="264"/>
      <c r="HD43" s="264"/>
      <c r="HE43" s="264"/>
      <c r="HF43" s="264"/>
      <c r="HG43" s="264"/>
      <c r="HH43" s="264"/>
      <c r="HI43" s="264"/>
      <c r="HJ43" s="264"/>
      <c r="HK43" s="264"/>
      <c r="HL43" s="264"/>
      <c r="HM43" s="264"/>
      <c r="HN43" s="264"/>
      <c r="HO43" s="264"/>
      <c r="HP43" s="264"/>
      <c r="HQ43" s="264"/>
      <c r="HR43" s="264"/>
      <c r="HS43" s="264"/>
      <c r="HT43" s="264"/>
      <c r="HU43" s="264"/>
      <c r="HV43" s="264"/>
      <c r="HW43" s="264"/>
      <c r="HX43" s="264"/>
      <c r="HY43" s="264"/>
      <c r="HZ43" s="264"/>
      <c r="IA43" s="264"/>
      <c r="IB43" s="264"/>
      <c r="IC43" s="264"/>
      <c r="ID43" s="264"/>
      <c r="IE43" s="264"/>
      <c r="IF43" s="264"/>
      <c r="IG43" s="264"/>
      <c r="IH43" s="264"/>
      <c r="II43" s="264"/>
    </row>
    <row r="44" spans="1:243" s="237" customFormat="1" ht="21.75" customHeight="1" x14ac:dyDescent="0.25">
      <c r="A44" s="222" t="s">
        <v>285</v>
      </c>
      <c r="B44" s="236" t="s">
        <v>592</v>
      </c>
      <c r="C44" s="233"/>
      <c r="D44" s="253"/>
      <c r="E44" s="253"/>
      <c r="F44" s="253"/>
      <c r="G44" s="253"/>
      <c r="H44" s="253"/>
      <c r="I44" s="253"/>
      <c r="J44" s="253"/>
      <c r="K44" s="253"/>
      <c r="L44" s="253"/>
      <c r="M44" s="253"/>
      <c r="N44" s="253"/>
      <c r="O44" s="253"/>
      <c r="P44" s="253"/>
      <c r="Q44" s="253"/>
      <c r="R44" s="253"/>
      <c r="S44" s="253"/>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64"/>
      <c r="CA44" s="264"/>
      <c r="CB44" s="264"/>
      <c r="CC44" s="264"/>
      <c r="CD44" s="264"/>
      <c r="CE44" s="264"/>
      <c r="CF44" s="264"/>
      <c r="CG44" s="264"/>
      <c r="CH44" s="264"/>
      <c r="CI44" s="264"/>
      <c r="CJ44" s="264"/>
      <c r="CK44" s="264"/>
      <c r="CL44" s="264"/>
      <c r="CM44" s="264"/>
      <c r="CN44" s="264"/>
      <c r="CO44" s="264"/>
      <c r="CP44" s="264"/>
      <c r="CQ44" s="264"/>
      <c r="CR44" s="264"/>
      <c r="CS44" s="264"/>
      <c r="CT44" s="264"/>
      <c r="CU44" s="264"/>
      <c r="CV44" s="264"/>
      <c r="CW44" s="264"/>
      <c r="CX44" s="264"/>
      <c r="CY44" s="264"/>
      <c r="CZ44" s="264"/>
      <c r="DA44" s="264"/>
      <c r="DB44" s="264"/>
      <c r="DC44" s="264"/>
      <c r="DD44" s="264"/>
      <c r="DE44" s="264"/>
      <c r="DF44" s="264"/>
      <c r="DG44" s="264"/>
      <c r="DH44" s="264"/>
      <c r="DI44" s="264"/>
      <c r="DJ44" s="264"/>
      <c r="DK44" s="264"/>
      <c r="DL44" s="264"/>
      <c r="DM44" s="264"/>
      <c r="DN44" s="264"/>
      <c r="DO44" s="264"/>
      <c r="DP44" s="264"/>
      <c r="DQ44" s="264"/>
      <c r="DR44" s="264"/>
      <c r="DS44" s="264"/>
      <c r="DT44" s="264"/>
      <c r="DU44" s="264"/>
      <c r="DV44" s="264"/>
      <c r="DW44" s="264"/>
      <c r="DX44" s="264"/>
      <c r="DY44" s="264"/>
      <c r="DZ44" s="264"/>
      <c r="EA44" s="264"/>
      <c r="EB44" s="264"/>
      <c r="EC44" s="264"/>
      <c r="ED44" s="264"/>
      <c r="EE44" s="264"/>
      <c r="EF44" s="264"/>
      <c r="EG44" s="264"/>
      <c r="EH44" s="264"/>
      <c r="EI44" s="264"/>
      <c r="EJ44" s="264"/>
      <c r="EK44" s="264"/>
      <c r="EL44" s="264"/>
      <c r="EM44" s="264"/>
      <c r="EN44" s="264"/>
      <c r="EO44" s="264"/>
      <c r="EP44" s="264"/>
      <c r="EQ44" s="264"/>
      <c r="ER44" s="264"/>
      <c r="ES44" s="264"/>
      <c r="ET44" s="264"/>
      <c r="EU44" s="264"/>
      <c r="EV44" s="264"/>
      <c r="EW44" s="264"/>
      <c r="EX44" s="264"/>
      <c r="EY44" s="264"/>
      <c r="EZ44" s="264"/>
      <c r="FA44" s="264"/>
      <c r="FB44" s="264"/>
      <c r="FC44" s="264"/>
      <c r="FD44" s="264"/>
      <c r="FE44" s="264"/>
      <c r="FF44" s="264"/>
      <c r="FG44" s="264"/>
      <c r="FH44" s="264"/>
      <c r="FI44" s="264"/>
      <c r="FJ44" s="264"/>
      <c r="FK44" s="264"/>
      <c r="FL44" s="264"/>
      <c r="FM44" s="264"/>
      <c r="FN44" s="264"/>
      <c r="FO44" s="264"/>
      <c r="FP44" s="264"/>
      <c r="FQ44" s="264"/>
      <c r="FR44" s="264"/>
      <c r="FS44" s="264"/>
      <c r="FT44" s="264"/>
      <c r="FU44" s="264"/>
      <c r="FV44" s="264"/>
      <c r="FW44" s="264"/>
      <c r="FX44" s="264"/>
      <c r="FY44" s="264"/>
      <c r="FZ44" s="264"/>
      <c r="GA44" s="264"/>
      <c r="GB44" s="264"/>
      <c r="GC44" s="264"/>
      <c r="GD44" s="264"/>
      <c r="GE44" s="264"/>
      <c r="GF44" s="264"/>
      <c r="GG44" s="264"/>
      <c r="GH44" s="264"/>
      <c r="GI44" s="264"/>
      <c r="GJ44" s="264"/>
      <c r="GK44" s="264"/>
      <c r="GL44" s="264"/>
      <c r="GM44" s="264"/>
      <c r="GN44" s="264"/>
      <c r="GO44" s="264"/>
      <c r="GP44" s="264"/>
      <c r="GQ44" s="264"/>
      <c r="GR44" s="264"/>
      <c r="GS44" s="264"/>
      <c r="GT44" s="264"/>
      <c r="GU44" s="264"/>
      <c r="GV44" s="264"/>
      <c r="GW44" s="264"/>
      <c r="GX44" s="264"/>
      <c r="GY44" s="264"/>
      <c r="GZ44" s="264"/>
      <c r="HA44" s="264"/>
      <c r="HB44" s="264"/>
      <c r="HC44" s="264"/>
      <c r="HD44" s="264"/>
      <c r="HE44" s="264"/>
      <c r="HF44" s="264"/>
      <c r="HG44" s="264"/>
      <c r="HH44" s="264"/>
      <c r="HI44" s="264"/>
      <c r="HJ44" s="264"/>
      <c r="HK44" s="264"/>
      <c r="HL44" s="264"/>
      <c r="HM44" s="264"/>
      <c r="HN44" s="264"/>
      <c r="HO44" s="264"/>
      <c r="HP44" s="264"/>
      <c r="HQ44" s="264"/>
      <c r="HR44" s="264"/>
      <c r="HS44" s="264"/>
      <c r="HT44" s="264"/>
      <c r="HU44" s="264"/>
      <c r="HV44" s="264"/>
      <c r="HW44" s="264"/>
      <c r="HX44" s="264"/>
      <c r="HY44" s="264"/>
      <c r="HZ44" s="264"/>
      <c r="IA44" s="264"/>
      <c r="IB44" s="264"/>
      <c r="IC44" s="264"/>
      <c r="ID44" s="264"/>
      <c r="IE44" s="264"/>
      <c r="IF44" s="264"/>
      <c r="IG44" s="264"/>
      <c r="IH44" s="264"/>
      <c r="II44" s="264"/>
    </row>
    <row r="45" spans="1:243" s="237" customFormat="1" ht="21.75" customHeight="1" x14ac:dyDescent="0.25">
      <c r="A45" s="222" t="s">
        <v>286</v>
      </c>
      <c r="B45" s="236" t="s">
        <v>846</v>
      </c>
      <c r="C45" s="233"/>
      <c r="D45" s="253"/>
      <c r="E45" s="253"/>
      <c r="F45" s="253"/>
      <c r="G45" s="253"/>
      <c r="H45" s="253"/>
      <c r="I45" s="253"/>
      <c r="J45" s="253"/>
      <c r="K45" s="253"/>
      <c r="L45" s="253"/>
      <c r="M45" s="253"/>
      <c r="N45" s="253"/>
      <c r="O45" s="253"/>
      <c r="P45" s="253"/>
      <c r="Q45" s="253"/>
      <c r="R45" s="253"/>
      <c r="S45" s="253"/>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264"/>
      <c r="BZ45" s="264"/>
      <c r="CA45" s="264"/>
      <c r="CB45" s="264"/>
      <c r="CC45" s="264"/>
      <c r="CD45" s="264"/>
      <c r="CE45" s="264"/>
      <c r="CF45" s="264"/>
      <c r="CG45" s="264"/>
      <c r="CH45" s="264"/>
      <c r="CI45" s="264"/>
      <c r="CJ45" s="264"/>
      <c r="CK45" s="264"/>
      <c r="CL45" s="264"/>
      <c r="CM45" s="264"/>
      <c r="CN45" s="264"/>
      <c r="CO45" s="264"/>
      <c r="CP45" s="264"/>
      <c r="CQ45" s="264"/>
      <c r="CR45" s="264"/>
      <c r="CS45" s="264"/>
      <c r="CT45" s="264"/>
      <c r="CU45" s="264"/>
      <c r="CV45" s="264"/>
      <c r="CW45" s="264"/>
      <c r="CX45" s="264"/>
      <c r="CY45" s="264"/>
      <c r="CZ45" s="264"/>
      <c r="DA45" s="264"/>
      <c r="DB45" s="264"/>
      <c r="DC45" s="264"/>
      <c r="DD45" s="264"/>
      <c r="DE45" s="264"/>
      <c r="DF45" s="264"/>
      <c r="DG45" s="264"/>
      <c r="DH45" s="264"/>
      <c r="DI45" s="264"/>
      <c r="DJ45" s="264"/>
      <c r="DK45" s="264"/>
      <c r="DL45" s="264"/>
      <c r="DM45" s="264"/>
      <c r="DN45" s="264"/>
      <c r="DO45" s="264"/>
      <c r="DP45" s="264"/>
      <c r="DQ45" s="264"/>
      <c r="DR45" s="264"/>
      <c r="DS45" s="264"/>
      <c r="DT45" s="264"/>
      <c r="DU45" s="264"/>
      <c r="DV45" s="264"/>
      <c r="DW45" s="264"/>
      <c r="DX45" s="264"/>
      <c r="DY45" s="264"/>
      <c r="DZ45" s="264"/>
      <c r="EA45" s="264"/>
      <c r="EB45" s="264"/>
      <c r="EC45" s="264"/>
      <c r="ED45" s="264"/>
      <c r="EE45" s="264"/>
      <c r="EF45" s="264"/>
      <c r="EG45" s="264"/>
      <c r="EH45" s="264"/>
      <c r="EI45" s="264"/>
      <c r="EJ45" s="264"/>
      <c r="EK45" s="264"/>
      <c r="EL45" s="264"/>
      <c r="EM45" s="264"/>
      <c r="EN45" s="264"/>
      <c r="EO45" s="264"/>
      <c r="EP45" s="264"/>
      <c r="EQ45" s="264"/>
      <c r="ER45" s="264"/>
      <c r="ES45" s="264"/>
      <c r="ET45" s="264"/>
      <c r="EU45" s="264"/>
      <c r="EV45" s="264"/>
      <c r="EW45" s="264"/>
      <c r="EX45" s="264"/>
      <c r="EY45" s="264"/>
      <c r="EZ45" s="264"/>
      <c r="FA45" s="264"/>
      <c r="FB45" s="264"/>
      <c r="FC45" s="264"/>
      <c r="FD45" s="264"/>
      <c r="FE45" s="264"/>
      <c r="FF45" s="264"/>
      <c r="FG45" s="264"/>
      <c r="FH45" s="264"/>
      <c r="FI45" s="264"/>
      <c r="FJ45" s="264"/>
      <c r="FK45" s="264"/>
      <c r="FL45" s="264"/>
      <c r="FM45" s="264"/>
      <c r="FN45" s="264"/>
      <c r="FO45" s="264"/>
      <c r="FP45" s="264"/>
      <c r="FQ45" s="264"/>
      <c r="FR45" s="264"/>
      <c r="FS45" s="264"/>
      <c r="FT45" s="264"/>
      <c r="FU45" s="264"/>
      <c r="FV45" s="264"/>
      <c r="FW45" s="264"/>
      <c r="FX45" s="264"/>
      <c r="FY45" s="264"/>
      <c r="FZ45" s="264"/>
      <c r="GA45" s="264"/>
      <c r="GB45" s="264"/>
      <c r="GC45" s="264"/>
      <c r="GD45" s="264"/>
      <c r="GE45" s="264"/>
      <c r="GF45" s="264"/>
      <c r="GG45" s="264"/>
      <c r="GH45" s="264"/>
      <c r="GI45" s="264"/>
      <c r="GJ45" s="264"/>
      <c r="GK45" s="264"/>
      <c r="GL45" s="264"/>
      <c r="GM45" s="264"/>
      <c r="GN45" s="264"/>
      <c r="GO45" s="264"/>
      <c r="GP45" s="264"/>
      <c r="GQ45" s="264"/>
      <c r="GR45" s="264"/>
      <c r="GS45" s="264"/>
      <c r="GT45" s="264"/>
      <c r="GU45" s="264"/>
      <c r="GV45" s="264"/>
      <c r="GW45" s="264"/>
      <c r="GX45" s="264"/>
      <c r="GY45" s="264"/>
      <c r="GZ45" s="264"/>
      <c r="HA45" s="264"/>
      <c r="HB45" s="264"/>
      <c r="HC45" s="264"/>
      <c r="HD45" s="264"/>
      <c r="HE45" s="264"/>
      <c r="HF45" s="264"/>
      <c r="HG45" s="264"/>
      <c r="HH45" s="264"/>
      <c r="HI45" s="264"/>
      <c r="HJ45" s="264"/>
      <c r="HK45" s="264"/>
      <c r="HL45" s="264"/>
      <c r="HM45" s="264"/>
      <c r="HN45" s="264"/>
      <c r="HO45" s="264"/>
      <c r="HP45" s="264"/>
      <c r="HQ45" s="264"/>
      <c r="HR45" s="264"/>
      <c r="HS45" s="264"/>
      <c r="HT45" s="264"/>
      <c r="HU45" s="264"/>
      <c r="HV45" s="264"/>
      <c r="HW45" s="264"/>
      <c r="HX45" s="264"/>
      <c r="HY45" s="264"/>
      <c r="HZ45" s="264"/>
      <c r="IA45" s="264"/>
      <c r="IB45" s="264"/>
      <c r="IC45" s="264"/>
      <c r="ID45" s="264"/>
      <c r="IE45" s="264"/>
      <c r="IF45" s="264"/>
      <c r="IG45" s="264"/>
      <c r="IH45" s="264"/>
      <c r="II45" s="264"/>
    </row>
    <row r="46" spans="1:243" s="229" customFormat="1" ht="21.75" customHeight="1" x14ac:dyDescent="0.25">
      <c r="A46" s="222" t="s">
        <v>287</v>
      </c>
      <c r="B46" s="238" t="s">
        <v>112</v>
      </c>
      <c r="C46" s="224"/>
      <c r="D46" s="243">
        <f>+D30+D32+D33+D35+D40+D42+D45</f>
        <v>0</v>
      </c>
      <c r="E46" s="243">
        <f t="shared" ref="E46:BP46" si="50">+E30+E32+E33+E35+E40+E42+E45</f>
        <v>0</v>
      </c>
      <c r="F46" s="243">
        <f t="shared" si="50"/>
        <v>0</v>
      </c>
      <c r="G46" s="243">
        <f t="shared" si="50"/>
        <v>0</v>
      </c>
      <c r="H46" s="243">
        <f t="shared" si="50"/>
        <v>0</v>
      </c>
      <c r="I46" s="243">
        <f t="shared" si="50"/>
        <v>0</v>
      </c>
      <c r="J46" s="243">
        <f t="shared" si="50"/>
        <v>0</v>
      </c>
      <c r="K46" s="243">
        <f t="shared" si="50"/>
        <v>0</v>
      </c>
      <c r="L46" s="243">
        <f t="shared" si="50"/>
        <v>0</v>
      </c>
      <c r="M46" s="243">
        <f t="shared" si="50"/>
        <v>0</v>
      </c>
      <c r="N46" s="243">
        <f t="shared" si="50"/>
        <v>0</v>
      </c>
      <c r="O46" s="243">
        <f t="shared" si="50"/>
        <v>0</v>
      </c>
      <c r="P46" s="243">
        <f t="shared" si="50"/>
        <v>0</v>
      </c>
      <c r="Q46" s="243">
        <f t="shared" si="50"/>
        <v>0</v>
      </c>
      <c r="R46" s="243">
        <f t="shared" si="50"/>
        <v>0</v>
      </c>
      <c r="S46" s="243">
        <f t="shared" si="50"/>
        <v>0</v>
      </c>
      <c r="T46" s="243">
        <f t="shared" si="50"/>
        <v>0</v>
      </c>
      <c r="U46" s="243">
        <f t="shared" si="50"/>
        <v>0</v>
      </c>
      <c r="V46" s="243">
        <f t="shared" si="50"/>
        <v>10000000</v>
      </c>
      <c r="W46" s="243">
        <f t="shared" si="50"/>
        <v>27091495</v>
      </c>
      <c r="X46" s="243">
        <f t="shared" si="50"/>
        <v>0</v>
      </c>
      <c r="Y46" s="243">
        <f t="shared" si="50"/>
        <v>0</v>
      </c>
      <c r="Z46" s="243">
        <f t="shared" si="50"/>
        <v>178518371</v>
      </c>
      <c r="AA46" s="243">
        <f t="shared" si="50"/>
        <v>187583319</v>
      </c>
      <c r="AB46" s="243">
        <f t="shared" si="50"/>
        <v>2234951046</v>
      </c>
      <c r="AC46" s="243">
        <f t="shared" si="50"/>
        <v>2399022039</v>
      </c>
      <c r="AD46" s="243">
        <f t="shared" si="50"/>
        <v>0</v>
      </c>
      <c r="AE46" s="243">
        <f t="shared" si="50"/>
        <v>0</v>
      </c>
      <c r="AF46" s="243">
        <f t="shared" si="50"/>
        <v>0</v>
      </c>
      <c r="AG46" s="243">
        <f t="shared" si="50"/>
        <v>0</v>
      </c>
      <c r="AH46" s="243">
        <f t="shared" si="50"/>
        <v>0</v>
      </c>
      <c r="AI46" s="243">
        <f t="shared" si="50"/>
        <v>0</v>
      </c>
      <c r="AJ46" s="243">
        <f t="shared" si="50"/>
        <v>0</v>
      </c>
      <c r="AK46" s="243">
        <f t="shared" si="50"/>
        <v>0</v>
      </c>
      <c r="AL46" s="243">
        <f t="shared" si="50"/>
        <v>0</v>
      </c>
      <c r="AM46" s="243">
        <f t="shared" si="50"/>
        <v>0</v>
      </c>
      <c r="AN46" s="243">
        <f t="shared" si="50"/>
        <v>0</v>
      </c>
      <c r="AO46" s="243">
        <f t="shared" si="50"/>
        <v>0</v>
      </c>
      <c r="AP46" s="243">
        <f t="shared" si="50"/>
        <v>0</v>
      </c>
      <c r="AQ46" s="243">
        <f t="shared" si="50"/>
        <v>0</v>
      </c>
      <c r="AR46" s="243">
        <f t="shared" si="50"/>
        <v>0</v>
      </c>
      <c r="AS46" s="243">
        <f t="shared" si="50"/>
        <v>0</v>
      </c>
      <c r="AT46" s="243">
        <f t="shared" si="50"/>
        <v>0</v>
      </c>
      <c r="AU46" s="243">
        <f t="shared" si="50"/>
        <v>0</v>
      </c>
      <c r="AV46" s="243">
        <f t="shared" si="50"/>
        <v>0</v>
      </c>
      <c r="AW46" s="243">
        <f t="shared" si="50"/>
        <v>0</v>
      </c>
      <c r="AX46" s="243">
        <f t="shared" si="50"/>
        <v>0</v>
      </c>
      <c r="AY46" s="243">
        <f t="shared" si="50"/>
        <v>0</v>
      </c>
      <c r="AZ46" s="243">
        <f t="shared" si="50"/>
        <v>0</v>
      </c>
      <c r="BA46" s="243">
        <f t="shared" si="50"/>
        <v>0</v>
      </c>
      <c r="BB46" s="243">
        <f t="shared" si="50"/>
        <v>0</v>
      </c>
      <c r="BC46" s="243">
        <f t="shared" si="50"/>
        <v>0</v>
      </c>
      <c r="BD46" s="243">
        <f t="shared" si="50"/>
        <v>0</v>
      </c>
      <c r="BE46" s="243">
        <f t="shared" si="50"/>
        <v>0</v>
      </c>
      <c r="BF46" s="243">
        <f t="shared" si="50"/>
        <v>0</v>
      </c>
      <c r="BG46" s="243">
        <f t="shared" si="50"/>
        <v>0</v>
      </c>
      <c r="BH46" s="243">
        <f t="shared" si="50"/>
        <v>0</v>
      </c>
      <c r="BI46" s="243">
        <f t="shared" si="50"/>
        <v>0</v>
      </c>
      <c r="BJ46" s="243">
        <f t="shared" si="50"/>
        <v>0</v>
      </c>
      <c r="BK46" s="243">
        <f t="shared" si="50"/>
        <v>0</v>
      </c>
      <c r="BL46" s="243">
        <f t="shared" si="50"/>
        <v>0</v>
      </c>
      <c r="BM46" s="243">
        <f t="shared" si="50"/>
        <v>0</v>
      </c>
      <c r="BN46" s="243">
        <f t="shared" si="50"/>
        <v>0</v>
      </c>
      <c r="BO46" s="243">
        <f t="shared" si="50"/>
        <v>1064000</v>
      </c>
      <c r="BP46" s="243">
        <f t="shared" si="50"/>
        <v>0</v>
      </c>
      <c r="BQ46" s="243">
        <f t="shared" ref="BQ46:ED46" si="51">+BQ30+BQ32+BQ33+BQ35+BQ40+BQ42+BQ45</f>
        <v>0</v>
      </c>
      <c r="BR46" s="243">
        <f t="shared" si="51"/>
        <v>0</v>
      </c>
      <c r="BS46" s="243">
        <f t="shared" si="51"/>
        <v>0</v>
      </c>
      <c r="BT46" s="243">
        <f t="shared" si="51"/>
        <v>0</v>
      </c>
      <c r="BU46" s="243">
        <f t="shared" si="51"/>
        <v>0</v>
      </c>
      <c r="BV46" s="243">
        <f t="shared" si="51"/>
        <v>0</v>
      </c>
      <c r="BW46" s="243">
        <f t="shared" si="51"/>
        <v>0</v>
      </c>
      <c r="BX46" s="243">
        <f t="shared" si="51"/>
        <v>31800000</v>
      </c>
      <c r="BY46" s="243">
        <f t="shared" si="51"/>
        <v>47442750</v>
      </c>
      <c r="BZ46" s="243">
        <f t="shared" si="51"/>
        <v>751000</v>
      </c>
      <c r="CA46" s="243">
        <f t="shared" si="51"/>
        <v>3924118</v>
      </c>
      <c r="CB46" s="243">
        <f t="shared" si="51"/>
        <v>0</v>
      </c>
      <c r="CC46" s="243">
        <f t="shared" si="51"/>
        <v>0</v>
      </c>
      <c r="CD46" s="243">
        <f t="shared" si="51"/>
        <v>0</v>
      </c>
      <c r="CE46" s="243">
        <f t="shared" si="51"/>
        <v>0</v>
      </c>
      <c r="CF46" s="243">
        <f t="shared" si="51"/>
        <v>0</v>
      </c>
      <c r="CG46" s="243">
        <f t="shared" si="51"/>
        <v>0</v>
      </c>
      <c r="CH46" s="243">
        <f t="shared" si="51"/>
        <v>0</v>
      </c>
      <c r="CI46" s="243">
        <f t="shared" si="51"/>
        <v>0</v>
      </c>
      <c r="CJ46" s="243">
        <f t="shared" si="51"/>
        <v>0</v>
      </c>
      <c r="CK46" s="243">
        <f t="shared" si="51"/>
        <v>0</v>
      </c>
      <c r="CL46" s="243">
        <f t="shared" si="51"/>
        <v>0</v>
      </c>
      <c r="CM46" s="243">
        <f t="shared" si="51"/>
        <v>0</v>
      </c>
      <c r="CN46" s="243">
        <f t="shared" si="51"/>
        <v>0</v>
      </c>
      <c r="CO46" s="243">
        <f t="shared" si="51"/>
        <v>0</v>
      </c>
      <c r="CP46" s="243">
        <f t="shared" si="51"/>
        <v>13039031</v>
      </c>
      <c r="CQ46" s="243">
        <f t="shared" si="51"/>
        <v>19581035</v>
      </c>
      <c r="CR46" s="243">
        <f t="shared" si="51"/>
        <v>677580</v>
      </c>
      <c r="CS46" s="243">
        <f t="shared" si="51"/>
        <v>2531836</v>
      </c>
      <c r="CT46" s="243">
        <f t="shared" si="51"/>
        <v>5280000</v>
      </c>
      <c r="CU46" s="243">
        <f t="shared" si="51"/>
        <v>6092196</v>
      </c>
      <c r="CV46" s="243">
        <f t="shared" si="51"/>
        <v>43180000</v>
      </c>
      <c r="CW46" s="243">
        <f t="shared" si="51"/>
        <v>48550938</v>
      </c>
      <c r="CX46" s="243">
        <f t="shared" si="51"/>
        <v>0</v>
      </c>
      <c r="CY46" s="243">
        <f t="shared" si="51"/>
        <v>0</v>
      </c>
      <c r="CZ46" s="243">
        <f t="shared" si="51"/>
        <v>7000000</v>
      </c>
      <c r="DA46" s="243">
        <f t="shared" si="51"/>
        <v>8510523</v>
      </c>
      <c r="DB46" s="243">
        <f t="shared" si="51"/>
        <v>0</v>
      </c>
      <c r="DC46" s="243">
        <f t="shared" si="51"/>
        <v>415500</v>
      </c>
      <c r="DD46" s="243">
        <f t="shared" si="51"/>
        <v>0</v>
      </c>
      <c r="DE46" s="243">
        <f t="shared" si="51"/>
        <v>0</v>
      </c>
      <c r="DF46" s="243">
        <f t="shared" si="51"/>
        <v>10000000</v>
      </c>
      <c r="DG46" s="243">
        <f t="shared" si="51"/>
        <v>18016000</v>
      </c>
      <c r="DH46" s="243">
        <f t="shared" si="51"/>
        <v>0</v>
      </c>
      <c r="DI46" s="243">
        <f t="shared" si="51"/>
        <v>0</v>
      </c>
      <c r="DJ46" s="243">
        <f t="shared" si="51"/>
        <v>0</v>
      </c>
      <c r="DK46" s="243">
        <f t="shared" si="51"/>
        <v>0</v>
      </c>
      <c r="DL46" s="243">
        <f t="shared" si="51"/>
        <v>0</v>
      </c>
      <c r="DM46" s="243">
        <f t="shared" si="51"/>
        <v>0</v>
      </c>
      <c r="DN46" s="243">
        <f t="shared" si="51"/>
        <v>0</v>
      </c>
      <c r="DO46" s="243">
        <f t="shared" si="51"/>
        <v>0</v>
      </c>
      <c r="DP46" s="243">
        <f t="shared" si="51"/>
        <v>0</v>
      </c>
      <c r="DQ46" s="243">
        <f t="shared" si="51"/>
        <v>0</v>
      </c>
      <c r="DR46" s="243">
        <f t="shared" si="51"/>
        <v>0</v>
      </c>
      <c r="DS46" s="243">
        <f t="shared" si="51"/>
        <v>0</v>
      </c>
      <c r="DT46" s="243">
        <f t="shared" si="51"/>
        <v>0</v>
      </c>
      <c r="DU46" s="243">
        <f t="shared" si="51"/>
        <v>0</v>
      </c>
      <c r="DV46" s="243">
        <f t="shared" si="51"/>
        <v>0</v>
      </c>
      <c r="DW46" s="243">
        <f t="shared" si="51"/>
        <v>16945640</v>
      </c>
      <c r="DX46" s="243">
        <f t="shared" si="51"/>
        <v>65000000</v>
      </c>
      <c r="DY46" s="243">
        <f t="shared" si="51"/>
        <v>0</v>
      </c>
      <c r="DZ46" s="243">
        <f>+DZ30+DZ32+DZ33+DZ35+DZ40+DZ42+DZ45</f>
        <v>0</v>
      </c>
      <c r="EA46" s="243">
        <f>+EA30+EA32+EA33+EA35+EA40+EA42+EA45</f>
        <v>0</v>
      </c>
      <c r="EB46" s="243">
        <f t="shared" si="51"/>
        <v>0</v>
      </c>
      <c r="EC46" s="243">
        <f t="shared" si="51"/>
        <v>64823814</v>
      </c>
      <c r="ED46" s="243">
        <f t="shared" si="51"/>
        <v>65000000</v>
      </c>
      <c r="EE46" s="243">
        <f t="shared" ref="EE46:GR46" si="52">+EE30+EE32+EE33+EE35+EE40+EE42+EE45</f>
        <v>0</v>
      </c>
      <c r="EF46" s="243">
        <f>+EF30+EF32+EF33+EF35+EF40+EF42+EF45</f>
        <v>0</v>
      </c>
      <c r="EG46" s="243">
        <f>+EG30+EG32+EG33+EG35+EG40+EG42+EG45</f>
        <v>0</v>
      </c>
      <c r="EH46" s="243">
        <f t="shared" si="52"/>
        <v>0</v>
      </c>
      <c r="EI46" s="243">
        <f t="shared" si="52"/>
        <v>0</v>
      </c>
      <c r="EJ46" s="243">
        <f t="shared" si="52"/>
        <v>0</v>
      </c>
      <c r="EK46" s="243">
        <f t="shared" si="52"/>
        <v>0</v>
      </c>
      <c r="EL46" s="243">
        <f t="shared" si="52"/>
        <v>0</v>
      </c>
      <c r="EM46" s="243">
        <f t="shared" si="52"/>
        <v>0</v>
      </c>
      <c r="EN46" s="243">
        <f t="shared" si="52"/>
        <v>0</v>
      </c>
      <c r="EO46" s="243">
        <f t="shared" si="52"/>
        <v>0</v>
      </c>
      <c r="EP46" s="243">
        <f t="shared" si="52"/>
        <v>0</v>
      </c>
      <c r="EQ46" s="243">
        <f t="shared" si="52"/>
        <v>0</v>
      </c>
      <c r="ER46" s="243">
        <f t="shared" si="52"/>
        <v>0</v>
      </c>
      <c r="ES46" s="243">
        <f t="shared" si="52"/>
        <v>0</v>
      </c>
      <c r="ET46" s="243">
        <f t="shared" si="52"/>
        <v>0</v>
      </c>
      <c r="EU46" s="243">
        <f t="shared" si="52"/>
        <v>0</v>
      </c>
      <c r="EV46" s="243">
        <f t="shared" si="52"/>
        <v>0</v>
      </c>
      <c r="EW46" s="243">
        <f t="shared" si="52"/>
        <v>0</v>
      </c>
      <c r="EX46" s="243">
        <f t="shared" si="52"/>
        <v>0</v>
      </c>
      <c r="EY46" s="243">
        <f t="shared" si="52"/>
        <v>0</v>
      </c>
      <c r="EZ46" s="243">
        <f t="shared" si="52"/>
        <v>0</v>
      </c>
      <c r="FA46" s="243">
        <f t="shared" si="52"/>
        <v>0</v>
      </c>
      <c r="FB46" s="243">
        <f t="shared" si="52"/>
        <v>0</v>
      </c>
      <c r="FC46" s="243">
        <f t="shared" si="52"/>
        <v>0</v>
      </c>
      <c r="FD46" s="243">
        <f t="shared" si="52"/>
        <v>0</v>
      </c>
      <c r="FE46" s="243">
        <f t="shared" si="52"/>
        <v>0</v>
      </c>
      <c r="FF46" s="243">
        <f t="shared" si="52"/>
        <v>0</v>
      </c>
      <c r="FG46" s="243">
        <f t="shared" si="52"/>
        <v>0</v>
      </c>
      <c r="FH46" s="243">
        <f t="shared" si="52"/>
        <v>0</v>
      </c>
      <c r="FI46" s="243">
        <f t="shared" si="52"/>
        <v>0</v>
      </c>
      <c r="FJ46" s="243">
        <f t="shared" si="52"/>
        <v>0</v>
      </c>
      <c r="FK46" s="243">
        <f t="shared" si="52"/>
        <v>0</v>
      </c>
      <c r="FL46" s="243">
        <f t="shared" si="52"/>
        <v>0</v>
      </c>
      <c r="FM46" s="243">
        <f t="shared" si="52"/>
        <v>0</v>
      </c>
      <c r="FN46" s="243">
        <f t="shared" si="52"/>
        <v>0</v>
      </c>
      <c r="FO46" s="243">
        <f t="shared" si="52"/>
        <v>0</v>
      </c>
      <c r="FP46" s="243">
        <f t="shared" si="52"/>
        <v>0</v>
      </c>
      <c r="FQ46" s="243">
        <f t="shared" si="52"/>
        <v>0</v>
      </c>
      <c r="FR46" s="243">
        <f t="shared" si="52"/>
        <v>0</v>
      </c>
      <c r="FS46" s="243">
        <f t="shared" si="52"/>
        <v>0</v>
      </c>
      <c r="FT46" s="243">
        <f t="shared" si="52"/>
        <v>0</v>
      </c>
      <c r="FU46" s="243">
        <f t="shared" si="52"/>
        <v>0</v>
      </c>
      <c r="FV46" s="243">
        <f t="shared" si="52"/>
        <v>0</v>
      </c>
      <c r="FW46" s="243">
        <f t="shared" si="52"/>
        <v>0</v>
      </c>
      <c r="FX46" s="243">
        <f t="shared" si="52"/>
        <v>0</v>
      </c>
      <c r="FY46" s="243">
        <f t="shared" si="52"/>
        <v>8841120</v>
      </c>
      <c r="FZ46" s="243">
        <f t="shared" si="52"/>
        <v>0</v>
      </c>
      <c r="GA46" s="243">
        <f t="shared" si="52"/>
        <v>7723234</v>
      </c>
      <c r="GB46" s="243">
        <f t="shared" si="52"/>
        <v>0</v>
      </c>
      <c r="GC46" s="243">
        <f t="shared" si="52"/>
        <v>0</v>
      </c>
      <c r="GD46" s="243">
        <f t="shared" si="52"/>
        <v>0</v>
      </c>
      <c r="GE46" s="243">
        <f t="shared" si="52"/>
        <v>0</v>
      </c>
      <c r="GF46" s="243">
        <f t="shared" si="52"/>
        <v>0</v>
      </c>
      <c r="GG46" s="243">
        <f t="shared" si="52"/>
        <v>0</v>
      </c>
      <c r="GH46" s="243">
        <f t="shared" si="52"/>
        <v>0</v>
      </c>
      <c r="GI46" s="243">
        <f t="shared" si="52"/>
        <v>0</v>
      </c>
      <c r="GJ46" s="243">
        <f t="shared" si="52"/>
        <v>0</v>
      </c>
      <c r="GK46" s="243">
        <f t="shared" si="52"/>
        <v>0</v>
      </c>
      <c r="GL46" s="243">
        <f t="shared" si="52"/>
        <v>0</v>
      </c>
      <c r="GM46" s="243">
        <f t="shared" si="52"/>
        <v>0</v>
      </c>
      <c r="GN46" s="243">
        <f t="shared" si="52"/>
        <v>0</v>
      </c>
      <c r="GO46" s="243">
        <f t="shared" si="52"/>
        <v>0</v>
      </c>
      <c r="GP46" s="243">
        <f t="shared" si="52"/>
        <v>0</v>
      </c>
      <c r="GQ46" s="243">
        <f t="shared" si="52"/>
        <v>0</v>
      </c>
      <c r="GR46" s="243">
        <f t="shared" si="52"/>
        <v>0</v>
      </c>
      <c r="GS46" s="243">
        <f t="shared" ref="GS46:HY46" si="53">+GS30+GS32+GS33+GS35+GS40+GS42+GS45</f>
        <v>0</v>
      </c>
      <c r="GT46" s="243">
        <f t="shared" si="53"/>
        <v>0</v>
      </c>
      <c r="GU46" s="243">
        <f t="shared" si="53"/>
        <v>0</v>
      </c>
      <c r="GV46" s="243">
        <f t="shared" si="53"/>
        <v>0</v>
      </c>
      <c r="GW46" s="243">
        <f t="shared" si="53"/>
        <v>0</v>
      </c>
      <c r="GX46" s="243">
        <f t="shared" si="53"/>
        <v>0</v>
      </c>
      <c r="GY46" s="243">
        <f t="shared" si="53"/>
        <v>0</v>
      </c>
      <c r="GZ46" s="243">
        <f t="shared" si="53"/>
        <v>0</v>
      </c>
      <c r="HA46" s="243">
        <f t="shared" si="53"/>
        <v>0</v>
      </c>
      <c r="HB46" s="243">
        <f t="shared" si="53"/>
        <v>0</v>
      </c>
      <c r="HC46" s="243">
        <f t="shared" si="53"/>
        <v>0</v>
      </c>
      <c r="HD46" s="243">
        <f t="shared" si="53"/>
        <v>0</v>
      </c>
      <c r="HE46" s="243">
        <f t="shared" si="53"/>
        <v>0</v>
      </c>
      <c r="HF46" s="243">
        <f t="shared" si="53"/>
        <v>0</v>
      </c>
      <c r="HG46" s="243">
        <f t="shared" si="53"/>
        <v>0</v>
      </c>
      <c r="HH46" s="243">
        <f t="shared" si="53"/>
        <v>0</v>
      </c>
      <c r="HI46" s="243">
        <f t="shared" si="53"/>
        <v>0</v>
      </c>
      <c r="HJ46" s="243">
        <f t="shared" si="53"/>
        <v>0</v>
      </c>
      <c r="HK46" s="243">
        <f t="shared" si="53"/>
        <v>0</v>
      </c>
      <c r="HL46" s="243">
        <f t="shared" si="53"/>
        <v>0</v>
      </c>
      <c r="HM46" s="243">
        <f t="shared" si="53"/>
        <v>0</v>
      </c>
      <c r="HN46" s="243">
        <f t="shared" si="53"/>
        <v>0</v>
      </c>
      <c r="HO46" s="243">
        <f t="shared" si="53"/>
        <v>0</v>
      </c>
      <c r="HP46" s="243">
        <f t="shared" si="53"/>
        <v>0</v>
      </c>
      <c r="HQ46" s="243">
        <f t="shared" si="53"/>
        <v>0</v>
      </c>
      <c r="HR46" s="243">
        <f t="shared" si="53"/>
        <v>0</v>
      </c>
      <c r="HS46" s="243">
        <f t="shared" si="53"/>
        <v>0</v>
      </c>
      <c r="HT46" s="243">
        <f t="shared" si="53"/>
        <v>0</v>
      </c>
      <c r="HU46" s="243">
        <f t="shared" si="53"/>
        <v>0</v>
      </c>
      <c r="HV46" s="243">
        <f t="shared" si="53"/>
        <v>0</v>
      </c>
      <c r="HW46" s="243">
        <f t="shared" si="53"/>
        <v>0</v>
      </c>
      <c r="HX46" s="243">
        <f t="shared" si="53"/>
        <v>0</v>
      </c>
      <c r="HY46" s="243">
        <f t="shared" si="53"/>
        <v>0</v>
      </c>
      <c r="HZ46" s="243">
        <f t="shared" ref="HZ46:II46" si="54">+HZ30+HZ32+HZ33+HZ35+HZ40+HZ42+HZ45</f>
        <v>0</v>
      </c>
      <c r="IA46" s="243">
        <f t="shared" si="54"/>
        <v>0</v>
      </c>
      <c r="IB46" s="243">
        <f t="shared" si="54"/>
        <v>0</v>
      </c>
      <c r="IC46" s="243">
        <f t="shared" si="54"/>
        <v>0</v>
      </c>
      <c r="ID46" s="243">
        <f t="shared" si="54"/>
        <v>0</v>
      </c>
      <c r="IE46" s="243">
        <f t="shared" si="54"/>
        <v>0</v>
      </c>
      <c r="IF46" s="243">
        <f t="shared" si="54"/>
        <v>0</v>
      </c>
      <c r="IG46" s="243">
        <f t="shared" si="54"/>
        <v>0</v>
      </c>
      <c r="IH46" s="243">
        <f t="shared" si="54"/>
        <v>0</v>
      </c>
      <c r="II46" s="243">
        <f t="shared" si="54"/>
        <v>0</v>
      </c>
    </row>
    <row r="47" spans="1:243" s="229" customFormat="1" ht="21.75" customHeight="1" x14ac:dyDescent="0.25">
      <c r="A47" s="222" t="s">
        <v>288</v>
      </c>
      <c r="B47" s="238" t="s">
        <v>113</v>
      </c>
      <c r="C47" s="224"/>
      <c r="D47" s="243">
        <f>+D31+D34+D36+D41+D43+D44</f>
        <v>0</v>
      </c>
      <c r="E47" s="243">
        <f t="shared" ref="E47:BP47" si="55">+E31+E34+E36+E41+E43+E44</f>
        <v>0</v>
      </c>
      <c r="F47" s="243">
        <f t="shared" si="55"/>
        <v>0</v>
      </c>
      <c r="G47" s="243">
        <f t="shared" si="55"/>
        <v>0</v>
      </c>
      <c r="H47" s="243">
        <f t="shared" si="55"/>
        <v>0</v>
      </c>
      <c r="I47" s="243">
        <f t="shared" si="55"/>
        <v>0</v>
      </c>
      <c r="J47" s="243">
        <f t="shared" si="55"/>
        <v>0</v>
      </c>
      <c r="K47" s="243">
        <f t="shared" si="55"/>
        <v>0</v>
      </c>
      <c r="L47" s="243">
        <f t="shared" si="55"/>
        <v>0</v>
      </c>
      <c r="M47" s="243">
        <f t="shared" si="55"/>
        <v>0</v>
      </c>
      <c r="N47" s="243">
        <f t="shared" si="55"/>
        <v>0</v>
      </c>
      <c r="O47" s="243">
        <f t="shared" si="55"/>
        <v>0</v>
      </c>
      <c r="P47" s="243">
        <f t="shared" si="55"/>
        <v>0</v>
      </c>
      <c r="Q47" s="243">
        <f t="shared" si="55"/>
        <v>0</v>
      </c>
      <c r="R47" s="243">
        <f t="shared" si="55"/>
        <v>0</v>
      </c>
      <c r="S47" s="243">
        <f t="shared" si="55"/>
        <v>0</v>
      </c>
      <c r="T47" s="243">
        <f t="shared" si="55"/>
        <v>0</v>
      </c>
      <c r="U47" s="243">
        <f t="shared" si="55"/>
        <v>0</v>
      </c>
      <c r="V47" s="243">
        <f t="shared" si="55"/>
        <v>0</v>
      </c>
      <c r="W47" s="243">
        <f t="shared" si="55"/>
        <v>0</v>
      </c>
      <c r="X47" s="243">
        <f t="shared" si="55"/>
        <v>1498800</v>
      </c>
      <c r="Y47" s="243">
        <f t="shared" si="55"/>
        <v>2489550</v>
      </c>
      <c r="Z47" s="243">
        <f t="shared" si="55"/>
        <v>720079203</v>
      </c>
      <c r="AA47" s="243">
        <f t="shared" si="55"/>
        <v>741863797</v>
      </c>
      <c r="AB47" s="243">
        <f t="shared" si="55"/>
        <v>1259006031</v>
      </c>
      <c r="AC47" s="243">
        <f t="shared" si="55"/>
        <v>1369266221</v>
      </c>
      <c r="AD47" s="243">
        <f t="shared" si="55"/>
        <v>0</v>
      </c>
      <c r="AE47" s="243">
        <f t="shared" si="55"/>
        <v>0</v>
      </c>
      <c r="AF47" s="243">
        <f t="shared" si="55"/>
        <v>0</v>
      </c>
      <c r="AG47" s="243">
        <f t="shared" si="55"/>
        <v>0</v>
      </c>
      <c r="AH47" s="243">
        <f t="shared" si="55"/>
        <v>0</v>
      </c>
      <c r="AI47" s="243">
        <f t="shared" si="55"/>
        <v>0</v>
      </c>
      <c r="AJ47" s="243">
        <f t="shared" si="55"/>
        <v>0</v>
      </c>
      <c r="AK47" s="243">
        <f t="shared" si="55"/>
        <v>0</v>
      </c>
      <c r="AL47" s="243">
        <f t="shared" si="55"/>
        <v>0</v>
      </c>
      <c r="AM47" s="243">
        <f t="shared" si="55"/>
        <v>0</v>
      </c>
      <c r="AN47" s="243">
        <f t="shared" si="55"/>
        <v>0</v>
      </c>
      <c r="AO47" s="243">
        <f t="shared" si="55"/>
        <v>0</v>
      </c>
      <c r="AP47" s="243">
        <f t="shared" si="55"/>
        <v>0</v>
      </c>
      <c r="AQ47" s="243">
        <f t="shared" si="55"/>
        <v>0</v>
      </c>
      <c r="AR47" s="243">
        <f t="shared" si="55"/>
        <v>0</v>
      </c>
      <c r="AS47" s="243">
        <f t="shared" si="55"/>
        <v>0</v>
      </c>
      <c r="AT47" s="243">
        <f t="shared" si="55"/>
        <v>0</v>
      </c>
      <c r="AU47" s="243">
        <f t="shared" si="55"/>
        <v>0</v>
      </c>
      <c r="AV47" s="243">
        <f t="shared" si="55"/>
        <v>0</v>
      </c>
      <c r="AW47" s="243">
        <f t="shared" si="55"/>
        <v>0</v>
      </c>
      <c r="AX47" s="243">
        <f t="shared" si="55"/>
        <v>0</v>
      </c>
      <c r="AY47" s="243">
        <f t="shared" si="55"/>
        <v>0</v>
      </c>
      <c r="AZ47" s="243">
        <f t="shared" si="55"/>
        <v>0</v>
      </c>
      <c r="BA47" s="243">
        <f t="shared" si="55"/>
        <v>0</v>
      </c>
      <c r="BB47" s="243">
        <f t="shared" si="55"/>
        <v>0</v>
      </c>
      <c r="BC47" s="243">
        <f t="shared" si="55"/>
        <v>0</v>
      </c>
      <c r="BD47" s="243">
        <f t="shared" si="55"/>
        <v>0</v>
      </c>
      <c r="BE47" s="243">
        <f t="shared" si="55"/>
        <v>0</v>
      </c>
      <c r="BF47" s="243">
        <f t="shared" si="55"/>
        <v>0</v>
      </c>
      <c r="BG47" s="243">
        <f t="shared" si="55"/>
        <v>0</v>
      </c>
      <c r="BH47" s="243">
        <f t="shared" si="55"/>
        <v>0</v>
      </c>
      <c r="BI47" s="243">
        <f t="shared" si="55"/>
        <v>0</v>
      </c>
      <c r="BJ47" s="243">
        <f t="shared" si="55"/>
        <v>0</v>
      </c>
      <c r="BK47" s="243">
        <f t="shared" si="55"/>
        <v>0</v>
      </c>
      <c r="BL47" s="243">
        <f t="shared" si="55"/>
        <v>0</v>
      </c>
      <c r="BM47" s="243">
        <f t="shared" si="55"/>
        <v>0</v>
      </c>
      <c r="BN47" s="243">
        <f t="shared" si="55"/>
        <v>0</v>
      </c>
      <c r="BO47" s="243">
        <f t="shared" si="55"/>
        <v>0</v>
      </c>
      <c r="BP47" s="243">
        <f t="shared" si="55"/>
        <v>0</v>
      </c>
      <c r="BQ47" s="243">
        <f t="shared" ref="BQ47:ED47" si="56">+BQ31+BQ34+BQ36+BQ41+BQ43+BQ44</f>
        <v>0</v>
      </c>
      <c r="BR47" s="243">
        <f t="shared" si="56"/>
        <v>0</v>
      </c>
      <c r="BS47" s="243">
        <f t="shared" si="56"/>
        <v>0</v>
      </c>
      <c r="BT47" s="243">
        <f t="shared" si="56"/>
        <v>0</v>
      </c>
      <c r="BU47" s="243">
        <f t="shared" si="56"/>
        <v>0</v>
      </c>
      <c r="BV47" s="243">
        <f t="shared" si="56"/>
        <v>0</v>
      </c>
      <c r="BW47" s="243">
        <f t="shared" si="56"/>
        <v>0</v>
      </c>
      <c r="BX47" s="243">
        <f t="shared" si="56"/>
        <v>0</v>
      </c>
      <c r="BY47" s="243">
        <f t="shared" si="56"/>
        <v>0</v>
      </c>
      <c r="BZ47" s="243">
        <f t="shared" si="56"/>
        <v>0</v>
      </c>
      <c r="CA47" s="243">
        <f t="shared" si="56"/>
        <v>0</v>
      </c>
      <c r="CB47" s="243">
        <f t="shared" si="56"/>
        <v>0</v>
      </c>
      <c r="CC47" s="243">
        <f t="shared" si="56"/>
        <v>0</v>
      </c>
      <c r="CD47" s="243">
        <f t="shared" si="56"/>
        <v>0</v>
      </c>
      <c r="CE47" s="243">
        <f t="shared" si="56"/>
        <v>0</v>
      </c>
      <c r="CF47" s="243">
        <f t="shared" si="56"/>
        <v>0</v>
      </c>
      <c r="CG47" s="243">
        <f t="shared" si="56"/>
        <v>0</v>
      </c>
      <c r="CH47" s="243">
        <f t="shared" si="56"/>
        <v>0</v>
      </c>
      <c r="CI47" s="243">
        <f t="shared" si="56"/>
        <v>0</v>
      </c>
      <c r="CJ47" s="243">
        <f t="shared" si="56"/>
        <v>0</v>
      </c>
      <c r="CK47" s="243">
        <f t="shared" si="56"/>
        <v>0</v>
      </c>
      <c r="CL47" s="243">
        <f t="shared" si="56"/>
        <v>0</v>
      </c>
      <c r="CM47" s="243">
        <f t="shared" si="56"/>
        <v>0</v>
      </c>
      <c r="CN47" s="243">
        <f t="shared" si="56"/>
        <v>0</v>
      </c>
      <c r="CO47" s="243">
        <f t="shared" si="56"/>
        <v>0</v>
      </c>
      <c r="CP47" s="243">
        <f t="shared" si="56"/>
        <v>0</v>
      </c>
      <c r="CQ47" s="243">
        <f t="shared" si="56"/>
        <v>0</v>
      </c>
      <c r="CR47" s="243">
        <f t="shared" si="56"/>
        <v>0</v>
      </c>
      <c r="CS47" s="243">
        <f t="shared" si="56"/>
        <v>0</v>
      </c>
      <c r="CT47" s="243">
        <f t="shared" si="56"/>
        <v>0</v>
      </c>
      <c r="CU47" s="243">
        <f t="shared" si="56"/>
        <v>0</v>
      </c>
      <c r="CV47" s="243">
        <f t="shared" si="56"/>
        <v>0</v>
      </c>
      <c r="CW47" s="243">
        <f t="shared" si="56"/>
        <v>0</v>
      </c>
      <c r="CX47" s="243">
        <f t="shared" si="56"/>
        <v>0</v>
      </c>
      <c r="CY47" s="243">
        <f t="shared" si="56"/>
        <v>0</v>
      </c>
      <c r="CZ47" s="243">
        <f t="shared" si="56"/>
        <v>0</v>
      </c>
      <c r="DA47" s="243">
        <f t="shared" si="56"/>
        <v>0</v>
      </c>
      <c r="DB47" s="243">
        <f t="shared" si="56"/>
        <v>0</v>
      </c>
      <c r="DC47" s="243">
        <f t="shared" si="56"/>
        <v>0</v>
      </c>
      <c r="DD47" s="243">
        <f t="shared" si="56"/>
        <v>0</v>
      </c>
      <c r="DE47" s="243">
        <f t="shared" si="56"/>
        <v>0</v>
      </c>
      <c r="DF47" s="243">
        <f t="shared" si="56"/>
        <v>0</v>
      </c>
      <c r="DG47" s="243">
        <f t="shared" si="56"/>
        <v>0</v>
      </c>
      <c r="DH47" s="243">
        <f t="shared" si="56"/>
        <v>0</v>
      </c>
      <c r="DI47" s="243">
        <f t="shared" si="56"/>
        <v>0</v>
      </c>
      <c r="DJ47" s="243">
        <f t="shared" si="56"/>
        <v>0</v>
      </c>
      <c r="DK47" s="243">
        <f t="shared" si="56"/>
        <v>0</v>
      </c>
      <c r="DL47" s="243">
        <f t="shared" si="56"/>
        <v>0</v>
      </c>
      <c r="DM47" s="243">
        <f t="shared" si="56"/>
        <v>0</v>
      </c>
      <c r="DN47" s="243">
        <f t="shared" si="56"/>
        <v>0</v>
      </c>
      <c r="DO47" s="243">
        <f t="shared" si="56"/>
        <v>0</v>
      </c>
      <c r="DP47" s="243">
        <f t="shared" si="56"/>
        <v>0</v>
      </c>
      <c r="DQ47" s="243">
        <f t="shared" si="56"/>
        <v>0</v>
      </c>
      <c r="DR47" s="243">
        <f t="shared" si="56"/>
        <v>0</v>
      </c>
      <c r="DS47" s="243">
        <f t="shared" si="56"/>
        <v>0</v>
      </c>
      <c r="DT47" s="243">
        <f t="shared" si="56"/>
        <v>0</v>
      </c>
      <c r="DU47" s="243">
        <f t="shared" si="56"/>
        <v>0</v>
      </c>
      <c r="DV47" s="243">
        <f t="shared" si="56"/>
        <v>0</v>
      </c>
      <c r="DW47" s="243">
        <f t="shared" si="56"/>
        <v>0</v>
      </c>
      <c r="DX47" s="243">
        <f t="shared" si="56"/>
        <v>0</v>
      </c>
      <c r="DY47" s="243">
        <f t="shared" si="56"/>
        <v>0</v>
      </c>
      <c r="DZ47" s="243">
        <f>+DZ31+DZ34+DZ36+DZ41+DZ43+DZ44</f>
        <v>0</v>
      </c>
      <c r="EA47" s="243">
        <f>+EA31+EA34+EA36+EA41+EA43+EA44</f>
        <v>0</v>
      </c>
      <c r="EB47" s="243">
        <f t="shared" si="56"/>
        <v>0</v>
      </c>
      <c r="EC47" s="243">
        <f t="shared" si="56"/>
        <v>0</v>
      </c>
      <c r="ED47" s="243">
        <f t="shared" si="56"/>
        <v>0</v>
      </c>
      <c r="EE47" s="243">
        <f t="shared" ref="EE47:GR47" si="57">+EE31+EE34+EE36+EE41+EE43+EE44</f>
        <v>0</v>
      </c>
      <c r="EF47" s="243">
        <f>+EF31+EF34+EF36+EF41+EF43+EF44</f>
        <v>0</v>
      </c>
      <c r="EG47" s="243">
        <f>+EG31+EG34+EG36+EG41+EG43+EG44</f>
        <v>0</v>
      </c>
      <c r="EH47" s="243">
        <f t="shared" si="57"/>
        <v>0</v>
      </c>
      <c r="EI47" s="243">
        <f t="shared" si="57"/>
        <v>0</v>
      </c>
      <c r="EJ47" s="243">
        <f t="shared" si="57"/>
        <v>0</v>
      </c>
      <c r="EK47" s="243">
        <f t="shared" si="57"/>
        <v>0</v>
      </c>
      <c r="EL47" s="243">
        <f t="shared" si="57"/>
        <v>0</v>
      </c>
      <c r="EM47" s="243">
        <f t="shared" si="57"/>
        <v>0</v>
      </c>
      <c r="EN47" s="243">
        <f t="shared" si="57"/>
        <v>0</v>
      </c>
      <c r="EO47" s="243">
        <f t="shared" si="57"/>
        <v>0</v>
      </c>
      <c r="EP47" s="243">
        <f t="shared" si="57"/>
        <v>0</v>
      </c>
      <c r="EQ47" s="243">
        <f t="shared" si="57"/>
        <v>0</v>
      </c>
      <c r="ER47" s="243">
        <f t="shared" si="57"/>
        <v>0</v>
      </c>
      <c r="ES47" s="243">
        <f t="shared" si="57"/>
        <v>0</v>
      </c>
      <c r="ET47" s="243">
        <f t="shared" si="57"/>
        <v>0</v>
      </c>
      <c r="EU47" s="243">
        <f t="shared" si="57"/>
        <v>0</v>
      </c>
      <c r="EV47" s="243">
        <f t="shared" si="57"/>
        <v>0</v>
      </c>
      <c r="EW47" s="243">
        <f t="shared" si="57"/>
        <v>0</v>
      </c>
      <c r="EX47" s="243">
        <f t="shared" si="57"/>
        <v>0</v>
      </c>
      <c r="EY47" s="243">
        <f t="shared" si="57"/>
        <v>0</v>
      </c>
      <c r="EZ47" s="243">
        <f t="shared" si="57"/>
        <v>0</v>
      </c>
      <c r="FA47" s="243">
        <f t="shared" si="57"/>
        <v>0</v>
      </c>
      <c r="FB47" s="243">
        <f t="shared" si="57"/>
        <v>0</v>
      </c>
      <c r="FC47" s="243">
        <f t="shared" si="57"/>
        <v>0</v>
      </c>
      <c r="FD47" s="243">
        <f t="shared" si="57"/>
        <v>0</v>
      </c>
      <c r="FE47" s="243">
        <f t="shared" si="57"/>
        <v>0</v>
      </c>
      <c r="FF47" s="243">
        <f t="shared" si="57"/>
        <v>0</v>
      </c>
      <c r="FG47" s="243">
        <f t="shared" si="57"/>
        <v>0</v>
      </c>
      <c r="FH47" s="243">
        <f t="shared" si="57"/>
        <v>0</v>
      </c>
      <c r="FI47" s="243">
        <f t="shared" si="57"/>
        <v>0</v>
      </c>
      <c r="FJ47" s="243">
        <f t="shared" si="57"/>
        <v>0</v>
      </c>
      <c r="FK47" s="243">
        <f t="shared" si="57"/>
        <v>0</v>
      </c>
      <c r="FL47" s="243">
        <f t="shared" si="57"/>
        <v>0</v>
      </c>
      <c r="FM47" s="243">
        <f t="shared" si="57"/>
        <v>0</v>
      </c>
      <c r="FN47" s="243">
        <f t="shared" si="57"/>
        <v>0</v>
      </c>
      <c r="FO47" s="243">
        <f t="shared" si="57"/>
        <v>0</v>
      </c>
      <c r="FP47" s="243">
        <f t="shared" si="57"/>
        <v>0</v>
      </c>
      <c r="FQ47" s="243">
        <f t="shared" si="57"/>
        <v>0</v>
      </c>
      <c r="FR47" s="243">
        <f t="shared" si="57"/>
        <v>0</v>
      </c>
      <c r="FS47" s="243">
        <f t="shared" si="57"/>
        <v>0</v>
      </c>
      <c r="FT47" s="243">
        <f t="shared" si="57"/>
        <v>0</v>
      </c>
      <c r="FU47" s="243">
        <f t="shared" si="57"/>
        <v>0</v>
      </c>
      <c r="FV47" s="243">
        <f t="shared" si="57"/>
        <v>0</v>
      </c>
      <c r="FW47" s="243">
        <f t="shared" si="57"/>
        <v>0</v>
      </c>
      <c r="FX47" s="243">
        <f t="shared" si="57"/>
        <v>0</v>
      </c>
      <c r="FY47" s="243">
        <f t="shared" si="57"/>
        <v>0</v>
      </c>
      <c r="FZ47" s="243">
        <f t="shared" si="57"/>
        <v>0</v>
      </c>
      <c r="GA47" s="243">
        <f t="shared" si="57"/>
        <v>0</v>
      </c>
      <c r="GB47" s="243">
        <f t="shared" si="57"/>
        <v>0</v>
      </c>
      <c r="GC47" s="243">
        <f t="shared" si="57"/>
        <v>0</v>
      </c>
      <c r="GD47" s="243">
        <f t="shared" si="57"/>
        <v>0</v>
      </c>
      <c r="GE47" s="243">
        <f t="shared" si="57"/>
        <v>0</v>
      </c>
      <c r="GF47" s="243">
        <f t="shared" si="57"/>
        <v>0</v>
      </c>
      <c r="GG47" s="243">
        <f t="shared" si="57"/>
        <v>0</v>
      </c>
      <c r="GH47" s="243">
        <f t="shared" si="57"/>
        <v>0</v>
      </c>
      <c r="GI47" s="243">
        <f t="shared" si="57"/>
        <v>0</v>
      </c>
      <c r="GJ47" s="243">
        <f t="shared" si="57"/>
        <v>0</v>
      </c>
      <c r="GK47" s="243">
        <f t="shared" si="57"/>
        <v>0</v>
      </c>
      <c r="GL47" s="243">
        <f t="shared" si="57"/>
        <v>0</v>
      </c>
      <c r="GM47" s="243">
        <f t="shared" si="57"/>
        <v>0</v>
      </c>
      <c r="GN47" s="243">
        <f t="shared" si="57"/>
        <v>0</v>
      </c>
      <c r="GO47" s="243">
        <f t="shared" si="57"/>
        <v>0</v>
      </c>
      <c r="GP47" s="243">
        <f t="shared" si="57"/>
        <v>0</v>
      </c>
      <c r="GQ47" s="243">
        <f t="shared" si="57"/>
        <v>0</v>
      </c>
      <c r="GR47" s="243">
        <f t="shared" si="57"/>
        <v>0</v>
      </c>
      <c r="GS47" s="243">
        <f t="shared" ref="GS47:HY47" si="58">+GS31+GS34+GS36+GS41+GS43+GS44</f>
        <v>0</v>
      </c>
      <c r="GT47" s="243">
        <f t="shared" si="58"/>
        <v>0</v>
      </c>
      <c r="GU47" s="243">
        <f t="shared" si="58"/>
        <v>0</v>
      </c>
      <c r="GV47" s="243">
        <f t="shared" si="58"/>
        <v>0</v>
      </c>
      <c r="GW47" s="243">
        <f t="shared" si="58"/>
        <v>0</v>
      </c>
      <c r="GX47" s="243">
        <f t="shared" si="58"/>
        <v>0</v>
      </c>
      <c r="GY47" s="243">
        <f t="shared" si="58"/>
        <v>0</v>
      </c>
      <c r="GZ47" s="243">
        <f t="shared" si="58"/>
        <v>0</v>
      </c>
      <c r="HA47" s="243">
        <f t="shared" si="58"/>
        <v>0</v>
      </c>
      <c r="HB47" s="243">
        <f t="shared" si="58"/>
        <v>0</v>
      </c>
      <c r="HC47" s="243">
        <f t="shared" si="58"/>
        <v>0</v>
      </c>
      <c r="HD47" s="243">
        <f t="shared" si="58"/>
        <v>0</v>
      </c>
      <c r="HE47" s="243">
        <f t="shared" si="58"/>
        <v>0</v>
      </c>
      <c r="HF47" s="243">
        <f t="shared" si="58"/>
        <v>0</v>
      </c>
      <c r="HG47" s="243">
        <f t="shared" si="58"/>
        <v>49565206</v>
      </c>
      <c r="HH47" s="243">
        <f t="shared" si="58"/>
        <v>0</v>
      </c>
      <c r="HI47" s="243">
        <f t="shared" si="58"/>
        <v>0</v>
      </c>
      <c r="HJ47" s="243">
        <f t="shared" si="58"/>
        <v>0</v>
      </c>
      <c r="HK47" s="243">
        <f t="shared" si="58"/>
        <v>0</v>
      </c>
      <c r="HL47" s="243">
        <f t="shared" si="58"/>
        <v>0</v>
      </c>
      <c r="HM47" s="243">
        <f t="shared" si="58"/>
        <v>0</v>
      </c>
      <c r="HN47" s="243">
        <f t="shared" si="58"/>
        <v>0</v>
      </c>
      <c r="HO47" s="243">
        <f t="shared" si="58"/>
        <v>0</v>
      </c>
      <c r="HP47" s="243">
        <f t="shared" si="58"/>
        <v>0</v>
      </c>
      <c r="HQ47" s="243">
        <f t="shared" si="58"/>
        <v>0</v>
      </c>
      <c r="HR47" s="243">
        <f t="shared" si="58"/>
        <v>0</v>
      </c>
      <c r="HS47" s="243">
        <f t="shared" si="58"/>
        <v>0</v>
      </c>
      <c r="HT47" s="243">
        <f t="shared" si="58"/>
        <v>0</v>
      </c>
      <c r="HU47" s="243">
        <f t="shared" si="58"/>
        <v>0</v>
      </c>
      <c r="HV47" s="243">
        <f t="shared" si="58"/>
        <v>0</v>
      </c>
      <c r="HW47" s="243">
        <f t="shared" si="58"/>
        <v>4690003</v>
      </c>
      <c r="HX47" s="243">
        <f t="shared" si="58"/>
        <v>0</v>
      </c>
      <c r="HY47" s="243">
        <f t="shared" si="58"/>
        <v>0</v>
      </c>
      <c r="HZ47" s="243">
        <f t="shared" ref="HZ47:II47" si="59">+HZ31+HZ34+HZ36+HZ41+HZ43+HZ44</f>
        <v>0</v>
      </c>
      <c r="IA47" s="243">
        <f t="shared" si="59"/>
        <v>0</v>
      </c>
      <c r="IB47" s="243">
        <f t="shared" si="59"/>
        <v>0</v>
      </c>
      <c r="IC47" s="243">
        <f t="shared" si="59"/>
        <v>0</v>
      </c>
      <c r="ID47" s="243">
        <f t="shared" si="59"/>
        <v>0</v>
      </c>
      <c r="IE47" s="243">
        <f t="shared" si="59"/>
        <v>0</v>
      </c>
      <c r="IF47" s="243">
        <f t="shared" si="59"/>
        <v>0</v>
      </c>
      <c r="IG47" s="243">
        <f t="shared" si="59"/>
        <v>0</v>
      </c>
      <c r="IH47" s="243">
        <f t="shared" si="59"/>
        <v>0</v>
      </c>
      <c r="II47" s="243">
        <f t="shared" si="59"/>
        <v>0</v>
      </c>
    </row>
    <row r="48" spans="1:243" s="229" customFormat="1" ht="21.75" customHeight="1" x14ac:dyDescent="0.25">
      <c r="A48" s="222" t="s">
        <v>289</v>
      </c>
      <c r="B48" s="238" t="s">
        <v>334</v>
      </c>
      <c r="C48" s="224"/>
      <c r="D48" s="256">
        <f>+D46+D47</f>
        <v>0</v>
      </c>
      <c r="E48" s="256">
        <f t="shared" ref="E48:BP48" si="60">+E46+E47</f>
        <v>0</v>
      </c>
      <c r="F48" s="256">
        <f t="shared" si="60"/>
        <v>0</v>
      </c>
      <c r="G48" s="256">
        <f t="shared" si="60"/>
        <v>0</v>
      </c>
      <c r="H48" s="256">
        <f t="shared" si="60"/>
        <v>0</v>
      </c>
      <c r="I48" s="256">
        <f t="shared" si="60"/>
        <v>0</v>
      </c>
      <c r="J48" s="256">
        <f t="shared" si="60"/>
        <v>0</v>
      </c>
      <c r="K48" s="256">
        <f t="shared" si="60"/>
        <v>0</v>
      </c>
      <c r="L48" s="256">
        <f t="shared" si="60"/>
        <v>0</v>
      </c>
      <c r="M48" s="256">
        <f t="shared" si="60"/>
        <v>0</v>
      </c>
      <c r="N48" s="256">
        <f t="shared" si="60"/>
        <v>0</v>
      </c>
      <c r="O48" s="256">
        <f t="shared" si="60"/>
        <v>0</v>
      </c>
      <c r="P48" s="256">
        <f t="shared" si="60"/>
        <v>0</v>
      </c>
      <c r="Q48" s="256">
        <f t="shared" si="60"/>
        <v>0</v>
      </c>
      <c r="R48" s="256">
        <f t="shared" si="60"/>
        <v>0</v>
      </c>
      <c r="S48" s="256">
        <f t="shared" si="60"/>
        <v>0</v>
      </c>
      <c r="T48" s="256">
        <f t="shared" si="60"/>
        <v>0</v>
      </c>
      <c r="U48" s="256">
        <f t="shared" si="60"/>
        <v>0</v>
      </c>
      <c r="V48" s="256">
        <f t="shared" si="60"/>
        <v>10000000</v>
      </c>
      <c r="W48" s="256">
        <f t="shared" si="60"/>
        <v>27091495</v>
      </c>
      <c r="X48" s="256">
        <f t="shared" si="60"/>
        <v>1498800</v>
      </c>
      <c r="Y48" s="256">
        <f t="shared" si="60"/>
        <v>2489550</v>
      </c>
      <c r="Z48" s="256">
        <f t="shared" si="60"/>
        <v>898597574</v>
      </c>
      <c r="AA48" s="256">
        <f t="shared" si="60"/>
        <v>929447116</v>
      </c>
      <c r="AB48" s="256">
        <f t="shared" si="60"/>
        <v>3493957077</v>
      </c>
      <c r="AC48" s="256">
        <f t="shared" si="60"/>
        <v>3768288260</v>
      </c>
      <c r="AD48" s="256">
        <f t="shared" si="60"/>
        <v>0</v>
      </c>
      <c r="AE48" s="256">
        <f t="shared" si="60"/>
        <v>0</v>
      </c>
      <c r="AF48" s="256">
        <f t="shared" si="60"/>
        <v>0</v>
      </c>
      <c r="AG48" s="256">
        <f t="shared" si="60"/>
        <v>0</v>
      </c>
      <c r="AH48" s="256">
        <f t="shared" si="60"/>
        <v>0</v>
      </c>
      <c r="AI48" s="256">
        <f t="shared" si="60"/>
        <v>0</v>
      </c>
      <c r="AJ48" s="256">
        <f t="shared" si="60"/>
        <v>0</v>
      </c>
      <c r="AK48" s="256">
        <f t="shared" si="60"/>
        <v>0</v>
      </c>
      <c r="AL48" s="256">
        <f t="shared" si="60"/>
        <v>0</v>
      </c>
      <c r="AM48" s="256">
        <f t="shared" si="60"/>
        <v>0</v>
      </c>
      <c r="AN48" s="256">
        <f t="shared" si="60"/>
        <v>0</v>
      </c>
      <c r="AO48" s="256">
        <f t="shared" si="60"/>
        <v>0</v>
      </c>
      <c r="AP48" s="256">
        <f t="shared" si="60"/>
        <v>0</v>
      </c>
      <c r="AQ48" s="256">
        <f t="shared" si="60"/>
        <v>0</v>
      </c>
      <c r="AR48" s="256">
        <f t="shared" si="60"/>
        <v>0</v>
      </c>
      <c r="AS48" s="256">
        <f t="shared" si="60"/>
        <v>0</v>
      </c>
      <c r="AT48" s="256">
        <f t="shared" si="60"/>
        <v>0</v>
      </c>
      <c r="AU48" s="256">
        <f t="shared" si="60"/>
        <v>0</v>
      </c>
      <c r="AV48" s="256">
        <f t="shared" si="60"/>
        <v>0</v>
      </c>
      <c r="AW48" s="256">
        <f t="shared" si="60"/>
        <v>0</v>
      </c>
      <c r="AX48" s="256">
        <f t="shared" si="60"/>
        <v>0</v>
      </c>
      <c r="AY48" s="256">
        <f t="shared" si="60"/>
        <v>0</v>
      </c>
      <c r="AZ48" s="256">
        <f t="shared" si="60"/>
        <v>0</v>
      </c>
      <c r="BA48" s="256">
        <f t="shared" si="60"/>
        <v>0</v>
      </c>
      <c r="BB48" s="256">
        <f t="shared" si="60"/>
        <v>0</v>
      </c>
      <c r="BC48" s="256">
        <f t="shared" si="60"/>
        <v>0</v>
      </c>
      <c r="BD48" s="256">
        <f t="shared" si="60"/>
        <v>0</v>
      </c>
      <c r="BE48" s="256">
        <f t="shared" si="60"/>
        <v>0</v>
      </c>
      <c r="BF48" s="256">
        <f t="shared" si="60"/>
        <v>0</v>
      </c>
      <c r="BG48" s="256">
        <f t="shared" si="60"/>
        <v>0</v>
      </c>
      <c r="BH48" s="256">
        <f t="shared" si="60"/>
        <v>0</v>
      </c>
      <c r="BI48" s="256">
        <f t="shared" si="60"/>
        <v>0</v>
      </c>
      <c r="BJ48" s="256">
        <f t="shared" si="60"/>
        <v>0</v>
      </c>
      <c r="BK48" s="256">
        <f t="shared" si="60"/>
        <v>0</v>
      </c>
      <c r="BL48" s="256">
        <f t="shared" si="60"/>
        <v>0</v>
      </c>
      <c r="BM48" s="256">
        <f t="shared" si="60"/>
        <v>0</v>
      </c>
      <c r="BN48" s="256">
        <f t="shared" si="60"/>
        <v>0</v>
      </c>
      <c r="BO48" s="256">
        <f t="shared" si="60"/>
        <v>1064000</v>
      </c>
      <c r="BP48" s="256">
        <f t="shared" si="60"/>
        <v>0</v>
      </c>
      <c r="BQ48" s="256">
        <f t="shared" ref="BQ48:ED48" si="61">+BQ46+BQ47</f>
        <v>0</v>
      </c>
      <c r="BR48" s="256">
        <f t="shared" si="61"/>
        <v>0</v>
      </c>
      <c r="BS48" s="256">
        <f t="shared" si="61"/>
        <v>0</v>
      </c>
      <c r="BT48" s="256">
        <f t="shared" si="61"/>
        <v>0</v>
      </c>
      <c r="BU48" s="256">
        <f t="shared" si="61"/>
        <v>0</v>
      </c>
      <c r="BV48" s="256">
        <f t="shared" si="61"/>
        <v>0</v>
      </c>
      <c r="BW48" s="256">
        <f t="shared" si="61"/>
        <v>0</v>
      </c>
      <c r="BX48" s="256">
        <f t="shared" si="61"/>
        <v>31800000</v>
      </c>
      <c r="BY48" s="256">
        <f t="shared" si="61"/>
        <v>47442750</v>
      </c>
      <c r="BZ48" s="256">
        <f t="shared" si="61"/>
        <v>751000</v>
      </c>
      <c r="CA48" s="256">
        <f t="shared" si="61"/>
        <v>3924118</v>
      </c>
      <c r="CB48" s="256">
        <f t="shared" si="61"/>
        <v>0</v>
      </c>
      <c r="CC48" s="256">
        <f t="shared" si="61"/>
        <v>0</v>
      </c>
      <c r="CD48" s="256">
        <f t="shared" si="61"/>
        <v>0</v>
      </c>
      <c r="CE48" s="256">
        <f t="shared" si="61"/>
        <v>0</v>
      </c>
      <c r="CF48" s="256">
        <f t="shared" si="61"/>
        <v>0</v>
      </c>
      <c r="CG48" s="256">
        <f t="shared" si="61"/>
        <v>0</v>
      </c>
      <c r="CH48" s="256">
        <f t="shared" si="61"/>
        <v>0</v>
      </c>
      <c r="CI48" s="256">
        <f t="shared" si="61"/>
        <v>0</v>
      </c>
      <c r="CJ48" s="256">
        <f t="shared" si="61"/>
        <v>0</v>
      </c>
      <c r="CK48" s="256">
        <f t="shared" si="61"/>
        <v>0</v>
      </c>
      <c r="CL48" s="256">
        <f t="shared" si="61"/>
        <v>0</v>
      </c>
      <c r="CM48" s="256">
        <f t="shared" si="61"/>
        <v>0</v>
      </c>
      <c r="CN48" s="256">
        <f t="shared" si="61"/>
        <v>0</v>
      </c>
      <c r="CO48" s="256">
        <f t="shared" si="61"/>
        <v>0</v>
      </c>
      <c r="CP48" s="256">
        <f t="shared" si="61"/>
        <v>13039031</v>
      </c>
      <c r="CQ48" s="256">
        <f t="shared" si="61"/>
        <v>19581035</v>
      </c>
      <c r="CR48" s="256">
        <f t="shared" si="61"/>
        <v>677580</v>
      </c>
      <c r="CS48" s="256">
        <f t="shared" si="61"/>
        <v>2531836</v>
      </c>
      <c r="CT48" s="256">
        <f t="shared" si="61"/>
        <v>5280000</v>
      </c>
      <c r="CU48" s="256">
        <f t="shared" si="61"/>
        <v>6092196</v>
      </c>
      <c r="CV48" s="256">
        <f t="shared" si="61"/>
        <v>43180000</v>
      </c>
      <c r="CW48" s="256">
        <f t="shared" si="61"/>
        <v>48550938</v>
      </c>
      <c r="CX48" s="256">
        <f t="shared" si="61"/>
        <v>0</v>
      </c>
      <c r="CY48" s="256">
        <f t="shared" si="61"/>
        <v>0</v>
      </c>
      <c r="CZ48" s="256">
        <f t="shared" si="61"/>
        <v>7000000</v>
      </c>
      <c r="DA48" s="256">
        <f t="shared" si="61"/>
        <v>8510523</v>
      </c>
      <c r="DB48" s="256">
        <f t="shared" si="61"/>
        <v>0</v>
      </c>
      <c r="DC48" s="256">
        <f t="shared" si="61"/>
        <v>415500</v>
      </c>
      <c r="DD48" s="256">
        <f t="shared" si="61"/>
        <v>0</v>
      </c>
      <c r="DE48" s="256">
        <f t="shared" si="61"/>
        <v>0</v>
      </c>
      <c r="DF48" s="256">
        <f t="shared" si="61"/>
        <v>10000000</v>
      </c>
      <c r="DG48" s="256">
        <f t="shared" si="61"/>
        <v>18016000</v>
      </c>
      <c r="DH48" s="256">
        <f t="shared" si="61"/>
        <v>0</v>
      </c>
      <c r="DI48" s="256">
        <f t="shared" si="61"/>
        <v>0</v>
      </c>
      <c r="DJ48" s="256">
        <f t="shared" si="61"/>
        <v>0</v>
      </c>
      <c r="DK48" s="256">
        <f t="shared" si="61"/>
        <v>0</v>
      </c>
      <c r="DL48" s="256">
        <f t="shared" si="61"/>
        <v>0</v>
      </c>
      <c r="DM48" s="256">
        <f t="shared" si="61"/>
        <v>0</v>
      </c>
      <c r="DN48" s="256">
        <f t="shared" si="61"/>
        <v>0</v>
      </c>
      <c r="DO48" s="256">
        <f t="shared" si="61"/>
        <v>0</v>
      </c>
      <c r="DP48" s="256">
        <f t="shared" si="61"/>
        <v>0</v>
      </c>
      <c r="DQ48" s="256">
        <f t="shared" si="61"/>
        <v>0</v>
      </c>
      <c r="DR48" s="256">
        <f t="shared" si="61"/>
        <v>0</v>
      </c>
      <c r="DS48" s="256">
        <f t="shared" si="61"/>
        <v>0</v>
      </c>
      <c r="DT48" s="256">
        <f t="shared" si="61"/>
        <v>0</v>
      </c>
      <c r="DU48" s="256">
        <f t="shared" si="61"/>
        <v>0</v>
      </c>
      <c r="DV48" s="256">
        <f t="shared" si="61"/>
        <v>0</v>
      </c>
      <c r="DW48" s="256">
        <f t="shared" si="61"/>
        <v>16945640</v>
      </c>
      <c r="DX48" s="256">
        <f t="shared" si="61"/>
        <v>65000000</v>
      </c>
      <c r="DY48" s="256">
        <f t="shared" si="61"/>
        <v>0</v>
      </c>
      <c r="DZ48" s="256">
        <f>+DZ46+DZ47</f>
        <v>0</v>
      </c>
      <c r="EA48" s="256">
        <f>+EA46+EA47</f>
        <v>0</v>
      </c>
      <c r="EB48" s="256">
        <f t="shared" si="61"/>
        <v>0</v>
      </c>
      <c r="EC48" s="256">
        <f t="shared" si="61"/>
        <v>64823814</v>
      </c>
      <c r="ED48" s="256">
        <f t="shared" si="61"/>
        <v>65000000</v>
      </c>
      <c r="EE48" s="256">
        <f t="shared" ref="EE48:GR48" si="62">+EE46+EE47</f>
        <v>0</v>
      </c>
      <c r="EF48" s="256">
        <f>+EF46+EF47</f>
        <v>0</v>
      </c>
      <c r="EG48" s="256">
        <f>+EG46+EG47</f>
        <v>0</v>
      </c>
      <c r="EH48" s="256">
        <f t="shared" si="62"/>
        <v>0</v>
      </c>
      <c r="EI48" s="256">
        <f t="shared" si="62"/>
        <v>0</v>
      </c>
      <c r="EJ48" s="256">
        <f t="shared" si="62"/>
        <v>0</v>
      </c>
      <c r="EK48" s="256">
        <f t="shared" si="62"/>
        <v>0</v>
      </c>
      <c r="EL48" s="256">
        <f t="shared" si="62"/>
        <v>0</v>
      </c>
      <c r="EM48" s="256">
        <f t="shared" si="62"/>
        <v>0</v>
      </c>
      <c r="EN48" s="256">
        <f t="shared" si="62"/>
        <v>0</v>
      </c>
      <c r="EO48" s="256">
        <f t="shared" si="62"/>
        <v>0</v>
      </c>
      <c r="EP48" s="256">
        <f t="shared" si="62"/>
        <v>0</v>
      </c>
      <c r="EQ48" s="256">
        <f t="shared" si="62"/>
        <v>0</v>
      </c>
      <c r="ER48" s="256">
        <f t="shared" si="62"/>
        <v>0</v>
      </c>
      <c r="ES48" s="256">
        <f t="shared" si="62"/>
        <v>0</v>
      </c>
      <c r="ET48" s="256">
        <f t="shared" si="62"/>
        <v>0</v>
      </c>
      <c r="EU48" s="256">
        <f t="shared" si="62"/>
        <v>0</v>
      </c>
      <c r="EV48" s="256">
        <f t="shared" si="62"/>
        <v>0</v>
      </c>
      <c r="EW48" s="256">
        <f t="shared" si="62"/>
        <v>0</v>
      </c>
      <c r="EX48" s="256">
        <f t="shared" si="62"/>
        <v>0</v>
      </c>
      <c r="EY48" s="256">
        <f t="shared" si="62"/>
        <v>0</v>
      </c>
      <c r="EZ48" s="256">
        <f t="shared" si="62"/>
        <v>0</v>
      </c>
      <c r="FA48" s="256">
        <f t="shared" si="62"/>
        <v>0</v>
      </c>
      <c r="FB48" s="256">
        <f t="shared" si="62"/>
        <v>0</v>
      </c>
      <c r="FC48" s="256">
        <f t="shared" si="62"/>
        <v>0</v>
      </c>
      <c r="FD48" s="256">
        <f t="shared" si="62"/>
        <v>0</v>
      </c>
      <c r="FE48" s="256">
        <f t="shared" si="62"/>
        <v>0</v>
      </c>
      <c r="FF48" s="256">
        <f t="shared" si="62"/>
        <v>0</v>
      </c>
      <c r="FG48" s="256">
        <f t="shared" si="62"/>
        <v>0</v>
      </c>
      <c r="FH48" s="256">
        <f t="shared" si="62"/>
        <v>0</v>
      </c>
      <c r="FI48" s="256">
        <f t="shared" si="62"/>
        <v>0</v>
      </c>
      <c r="FJ48" s="256">
        <f t="shared" si="62"/>
        <v>0</v>
      </c>
      <c r="FK48" s="256">
        <f t="shared" si="62"/>
        <v>0</v>
      </c>
      <c r="FL48" s="256">
        <f t="shared" si="62"/>
        <v>0</v>
      </c>
      <c r="FM48" s="256">
        <f t="shared" si="62"/>
        <v>0</v>
      </c>
      <c r="FN48" s="256">
        <f t="shared" si="62"/>
        <v>0</v>
      </c>
      <c r="FO48" s="256">
        <f t="shared" si="62"/>
        <v>0</v>
      </c>
      <c r="FP48" s="256">
        <f t="shared" si="62"/>
        <v>0</v>
      </c>
      <c r="FQ48" s="256">
        <f t="shared" si="62"/>
        <v>0</v>
      </c>
      <c r="FR48" s="256">
        <f t="shared" si="62"/>
        <v>0</v>
      </c>
      <c r="FS48" s="256">
        <f t="shared" si="62"/>
        <v>0</v>
      </c>
      <c r="FT48" s="256">
        <f t="shared" si="62"/>
        <v>0</v>
      </c>
      <c r="FU48" s="256">
        <f t="shared" si="62"/>
        <v>0</v>
      </c>
      <c r="FV48" s="256">
        <f t="shared" si="62"/>
        <v>0</v>
      </c>
      <c r="FW48" s="256">
        <f t="shared" si="62"/>
        <v>0</v>
      </c>
      <c r="FX48" s="256">
        <f t="shared" si="62"/>
        <v>0</v>
      </c>
      <c r="FY48" s="256">
        <f t="shared" si="62"/>
        <v>8841120</v>
      </c>
      <c r="FZ48" s="256">
        <f t="shared" si="62"/>
        <v>0</v>
      </c>
      <c r="GA48" s="256">
        <f t="shared" si="62"/>
        <v>7723234</v>
      </c>
      <c r="GB48" s="256">
        <f t="shared" si="62"/>
        <v>0</v>
      </c>
      <c r="GC48" s="256">
        <f t="shared" si="62"/>
        <v>0</v>
      </c>
      <c r="GD48" s="256">
        <f t="shared" si="62"/>
        <v>0</v>
      </c>
      <c r="GE48" s="256">
        <f t="shared" si="62"/>
        <v>0</v>
      </c>
      <c r="GF48" s="256">
        <f t="shared" si="62"/>
        <v>0</v>
      </c>
      <c r="GG48" s="256">
        <f t="shared" si="62"/>
        <v>0</v>
      </c>
      <c r="GH48" s="256">
        <f t="shared" si="62"/>
        <v>0</v>
      </c>
      <c r="GI48" s="256">
        <f t="shared" si="62"/>
        <v>0</v>
      </c>
      <c r="GJ48" s="256">
        <f t="shared" si="62"/>
        <v>0</v>
      </c>
      <c r="GK48" s="256">
        <f t="shared" si="62"/>
        <v>0</v>
      </c>
      <c r="GL48" s="256">
        <f t="shared" si="62"/>
        <v>0</v>
      </c>
      <c r="GM48" s="256">
        <f t="shared" si="62"/>
        <v>0</v>
      </c>
      <c r="GN48" s="256">
        <f t="shared" si="62"/>
        <v>0</v>
      </c>
      <c r="GO48" s="256">
        <f t="shared" si="62"/>
        <v>0</v>
      </c>
      <c r="GP48" s="256">
        <f t="shared" si="62"/>
        <v>0</v>
      </c>
      <c r="GQ48" s="256">
        <f t="shared" si="62"/>
        <v>0</v>
      </c>
      <c r="GR48" s="256">
        <f t="shared" si="62"/>
        <v>0</v>
      </c>
      <c r="GS48" s="256">
        <f t="shared" ref="GS48:HY48" si="63">+GS46+GS47</f>
        <v>0</v>
      </c>
      <c r="GT48" s="256">
        <f t="shared" si="63"/>
        <v>0</v>
      </c>
      <c r="GU48" s="256">
        <f t="shared" si="63"/>
        <v>0</v>
      </c>
      <c r="GV48" s="256">
        <f t="shared" si="63"/>
        <v>0</v>
      </c>
      <c r="GW48" s="256">
        <f t="shared" si="63"/>
        <v>0</v>
      </c>
      <c r="GX48" s="256">
        <f t="shared" si="63"/>
        <v>0</v>
      </c>
      <c r="GY48" s="256">
        <f t="shared" si="63"/>
        <v>0</v>
      </c>
      <c r="GZ48" s="256">
        <f t="shared" si="63"/>
        <v>0</v>
      </c>
      <c r="HA48" s="256">
        <f t="shared" si="63"/>
        <v>0</v>
      </c>
      <c r="HB48" s="256">
        <f t="shared" si="63"/>
        <v>0</v>
      </c>
      <c r="HC48" s="256">
        <f t="shared" si="63"/>
        <v>0</v>
      </c>
      <c r="HD48" s="256">
        <f t="shared" si="63"/>
        <v>0</v>
      </c>
      <c r="HE48" s="256">
        <f t="shared" si="63"/>
        <v>0</v>
      </c>
      <c r="HF48" s="256">
        <f t="shared" si="63"/>
        <v>0</v>
      </c>
      <c r="HG48" s="256">
        <f t="shared" si="63"/>
        <v>49565206</v>
      </c>
      <c r="HH48" s="256">
        <f t="shared" si="63"/>
        <v>0</v>
      </c>
      <c r="HI48" s="256">
        <f t="shared" si="63"/>
        <v>0</v>
      </c>
      <c r="HJ48" s="256">
        <f t="shared" si="63"/>
        <v>0</v>
      </c>
      <c r="HK48" s="256">
        <f t="shared" si="63"/>
        <v>0</v>
      </c>
      <c r="HL48" s="256">
        <f t="shared" si="63"/>
        <v>0</v>
      </c>
      <c r="HM48" s="256">
        <f t="shared" si="63"/>
        <v>0</v>
      </c>
      <c r="HN48" s="256">
        <f t="shared" si="63"/>
        <v>0</v>
      </c>
      <c r="HO48" s="256">
        <f t="shared" si="63"/>
        <v>0</v>
      </c>
      <c r="HP48" s="256">
        <f t="shared" si="63"/>
        <v>0</v>
      </c>
      <c r="HQ48" s="256">
        <f t="shared" si="63"/>
        <v>0</v>
      </c>
      <c r="HR48" s="256">
        <f t="shared" si="63"/>
        <v>0</v>
      </c>
      <c r="HS48" s="256">
        <f t="shared" si="63"/>
        <v>0</v>
      </c>
      <c r="HT48" s="256">
        <f t="shared" si="63"/>
        <v>0</v>
      </c>
      <c r="HU48" s="256">
        <f t="shared" si="63"/>
        <v>0</v>
      </c>
      <c r="HV48" s="256">
        <f t="shared" si="63"/>
        <v>0</v>
      </c>
      <c r="HW48" s="256">
        <f t="shared" si="63"/>
        <v>4690003</v>
      </c>
      <c r="HX48" s="256">
        <f t="shared" si="63"/>
        <v>0</v>
      </c>
      <c r="HY48" s="256">
        <f t="shared" si="63"/>
        <v>0</v>
      </c>
      <c r="HZ48" s="256">
        <f t="shared" ref="HZ48:II48" si="64">+HZ46+HZ47</f>
        <v>0</v>
      </c>
      <c r="IA48" s="256">
        <f t="shared" si="64"/>
        <v>0</v>
      </c>
      <c r="IB48" s="256">
        <f t="shared" si="64"/>
        <v>0</v>
      </c>
      <c r="IC48" s="256">
        <f t="shared" si="64"/>
        <v>0</v>
      </c>
      <c r="ID48" s="256">
        <f t="shared" si="64"/>
        <v>0</v>
      </c>
      <c r="IE48" s="256">
        <f t="shared" si="64"/>
        <v>0</v>
      </c>
      <c r="IF48" s="256">
        <f t="shared" si="64"/>
        <v>0</v>
      </c>
      <c r="IG48" s="256">
        <f t="shared" si="64"/>
        <v>0</v>
      </c>
      <c r="IH48" s="256">
        <f t="shared" si="64"/>
        <v>0</v>
      </c>
      <c r="II48" s="256">
        <f t="shared" si="64"/>
        <v>0</v>
      </c>
    </row>
    <row r="49" spans="1:243" s="382" customFormat="1" ht="21.75" customHeight="1" x14ac:dyDescent="0.25">
      <c r="A49" s="379" t="s">
        <v>290</v>
      </c>
      <c r="B49" s="380" t="s">
        <v>450</v>
      </c>
      <c r="C49" s="381"/>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v>1</v>
      </c>
      <c r="AK49" s="257">
        <v>1</v>
      </c>
      <c r="AL49" s="257">
        <v>2</v>
      </c>
      <c r="AM49" s="257">
        <v>2</v>
      </c>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v>2</v>
      </c>
      <c r="BY49" s="257">
        <v>2</v>
      </c>
      <c r="BZ49" s="257"/>
      <c r="CA49" s="257"/>
      <c r="CB49" s="257"/>
      <c r="CC49" s="257"/>
      <c r="CD49" s="257"/>
      <c r="CE49" s="257"/>
      <c r="CF49" s="257"/>
      <c r="CG49" s="257"/>
      <c r="CH49" s="257"/>
      <c r="CI49" s="257"/>
      <c r="CJ49" s="257">
        <v>2</v>
      </c>
      <c r="CK49" s="257">
        <v>2</v>
      </c>
      <c r="CL49" s="257">
        <v>3</v>
      </c>
      <c r="CM49" s="257">
        <v>3</v>
      </c>
      <c r="CN49" s="257"/>
      <c r="CO49" s="257"/>
      <c r="CP49" s="257"/>
      <c r="CQ49" s="257"/>
      <c r="CR49" s="257"/>
      <c r="CS49" s="257"/>
      <c r="CT49" s="257">
        <v>2</v>
      </c>
      <c r="CU49" s="257">
        <v>2</v>
      </c>
      <c r="CV49" s="257">
        <v>5</v>
      </c>
      <c r="CW49" s="257">
        <v>5</v>
      </c>
      <c r="CX49" s="257"/>
      <c r="CY49" s="257"/>
      <c r="CZ49" s="257">
        <v>1</v>
      </c>
      <c r="DA49" s="257">
        <v>1</v>
      </c>
      <c r="DB49" s="257"/>
      <c r="DC49" s="257"/>
      <c r="DD49" s="257"/>
      <c r="DE49" s="257"/>
      <c r="DF49" s="257">
        <v>7</v>
      </c>
      <c r="DG49" s="257">
        <v>7</v>
      </c>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row>
    <row r="50" spans="1:243" s="229" customFormat="1" ht="21.75" customHeight="1" x14ac:dyDescent="0.25">
      <c r="A50" s="222" t="s">
        <v>291</v>
      </c>
      <c r="B50" s="238" t="s">
        <v>1357</v>
      </c>
      <c r="C50" s="224"/>
      <c r="D50" s="257">
        <v>188000000</v>
      </c>
      <c r="E50" s="257">
        <f>188000000-10000000-4465300-277398-5047000-1482802-12848000</f>
        <v>153879500</v>
      </c>
      <c r="F50" s="257">
        <f>+'6.sz. Beruházások'!Y35+'6.sz. Beruházások'!Y31+'6.sz. Beruházások'!Y33</f>
        <v>50000000</v>
      </c>
      <c r="G50" s="257">
        <v>50000000</v>
      </c>
      <c r="H50" s="257"/>
      <c r="I50" s="257"/>
      <c r="J50" s="257"/>
      <c r="K50" s="257"/>
      <c r="L50" s="257"/>
      <c r="M50" s="257"/>
      <c r="N50" s="257"/>
      <c r="O50" s="257"/>
      <c r="P50" s="257">
        <f>+'6.sz. Beruházások'!Y65</f>
        <v>52000000</v>
      </c>
      <c r="Q50" s="257">
        <v>52000000</v>
      </c>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f>+'6.sz. Beruházások'!Y89+'6.sz. Beruházások'!Y92</f>
        <v>10000000</v>
      </c>
      <c r="BU50" s="257">
        <v>10000000</v>
      </c>
      <c r="BV50" s="257"/>
      <c r="BW50" s="257"/>
      <c r="BX50" s="257">
        <f>+'6.sz. Beruházások'!Y99</f>
        <v>20000000</v>
      </c>
      <c r="BY50" s="257">
        <v>20000000</v>
      </c>
      <c r="BZ50" s="257"/>
      <c r="CA50" s="257"/>
      <c r="CB50" s="257"/>
      <c r="CC50" s="257"/>
      <c r="CD50" s="257">
        <f>+'6.sz. Beruházások'!Y74</f>
        <v>600000000</v>
      </c>
      <c r="CE50" s="257">
        <v>600000000</v>
      </c>
      <c r="CF50" s="257"/>
      <c r="CG50" s="257"/>
      <c r="CH50" s="257"/>
      <c r="CI50" s="257"/>
      <c r="CJ50" s="257"/>
      <c r="CK50" s="257"/>
      <c r="CL50" s="257"/>
      <c r="CM50" s="257"/>
      <c r="CN50" s="257"/>
      <c r="CO50" s="257"/>
      <c r="CP50" s="257"/>
      <c r="CQ50" s="257"/>
      <c r="CR50" s="257"/>
      <c r="CS50" s="257"/>
      <c r="CT50" s="257"/>
      <c r="CU50" s="257"/>
      <c r="CV50" s="257"/>
      <c r="CW50" s="257"/>
      <c r="CX50" s="257"/>
      <c r="CY50" s="257"/>
      <c r="CZ50" s="257"/>
      <c r="DA50" s="257"/>
      <c r="DB50" s="257"/>
      <c r="DC50" s="257"/>
      <c r="DD50" s="257"/>
      <c r="DE50" s="257"/>
      <c r="DF50" s="243"/>
      <c r="DG50" s="243"/>
      <c r="DH50" s="257"/>
      <c r="DI50" s="257"/>
      <c r="DJ50" s="257"/>
      <c r="DK50" s="257"/>
      <c r="DL50" s="257"/>
      <c r="DM50" s="257"/>
      <c r="DN50" s="257"/>
      <c r="DO50" s="257"/>
      <c r="DP50" s="257"/>
      <c r="DQ50" s="257"/>
      <c r="DR50" s="257"/>
      <c r="DS50" s="257"/>
      <c r="DT50" s="257"/>
      <c r="DU50" s="257"/>
      <c r="DV50" s="257"/>
      <c r="DW50" s="257"/>
      <c r="DX50" s="257"/>
      <c r="DY50" s="257"/>
      <c r="DZ50" s="257"/>
      <c r="EA50" s="257"/>
      <c r="EB50" s="257"/>
      <c r="EC50" s="257"/>
      <c r="ED50" s="257"/>
      <c r="EE50" s="257"/>
      <c r="EF50" s="257"/>
      <c r="EG50" s="257"/>
      <c r="EH50" s="257"/>
      <c r="EI50" s="257"/>
      <c r="EJ50" s="257"/>
      <c r="EK50" s="257"/>
      <c r="EL50" s="257"/>
      <c r="EM50" s="257"/>
      <c r="EN50" s="257"/>
      <c r="EO50" s="257"/>
      <c r="EP50" s="257"/>
      <c r="EQ50" s="257"/>
      <c r="ER50" s="257"/>
      <c r="ES50" s="257"/>
      <c r="ET50" s="257"/>
      <c r="EU50" s="257"/>
      <c r="EV50" s="257"/>
      <c r="EW50" s="257"/>
      <c r="EX50" s="257"/>
      <c r="EY50" s="257"/>
      <c r="EZ50" s="257"/>
      <c r="FA50" s="257"/>
      <c r="FB50" s="257"/>
      <c r="FC50" s="257"/>
      <c r="FD50" s="257"/>
      <c r="FE50" s="257"/>
      <c r="FF50" s="257">
        <f>+'8.sz.Tartalékok'!E74</f>
        <v>20000000</v>
      </c>
      <c r="FG50" s="257">
        <v>20000000</v>
      </c>
      <c r="FH50" s="257"/>
      <c r="FI50" s="257"/>
      <c r="FJ50" s="257"/>
      <c r="FK50" s="257"/>
      <c r="FL50" s="257"/>
      <c r="FM50" s="257"/>
      <c r="FN50" s="257"/>
      <c r="FO50" s="257"/>
      <c r="FP50" s="257"/>
      <c r="FQ50" s="257"/>
      <c r="FR50" s="257"/>
      <c r="FS50" s="257"/>
      <c r="FT50" s="257"/>
      <c r="FU50" s="257"/>
      <c r="FV50" s="257"/>
      <c r="FW50" s="257"/>
      <c r="FX50" s="257"/>
      <c r="FY50" s="257"/>
      <c r="FZ50" s="257"/>
      <c r="GA50" s="257"/>
      <c r="GB50" s="257"/>
      <c r="GC50" s="257"/>
      <c r="GD50" s="257"/>
      <c r="GE50" s="257"/>
      <c r="GF50" s="257"/>
      <c r="GG50" s="257"/>
      <c r="GH50" s="257"/>
      <c r="GI50" s="257"/>
      <c r="GJ50" s="257"/>
      <c r="GK50" s="257"/>
      <c r="GL50" s="257"/>
      <c r="GM50" s="257"/>
      <c r="GN50" s="257"/>
      <c r="GO50" s="257"/>
      <c r="GP50" s="257"/>
      <c r="GQ50" s="257"/>
      <c r="GR50" s="257"/>
      <c r="GS50" s="257"/>
      <c r="GT50" s="257"/>
      <c r="GU50" s="257"/>
      <c r="GV50" s="257"/>
      <c r="GW50" s="257"/>
      <c r="GX50" s="257"/>
      <c r="GY50" s="257"/>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c r="IB50" s="257"/>
      <c r="IC50" s="257"/>
      <c r="ID50" s="257"/>
      <c r="IE50" s="257"/>
      <c r="IF50" s="257"/>
      <c r="IG50" s="257"/>
      <c r="IH50" s="257"/>
      <c r="II50" s="257"/>
    </row>
    <row r="51" spans="1:243" x14ac:dyDescent="0.25">
      <c r="A51" s="218"/>
      <c r="D51" s="227">
        <f>SUM(D50:D50)</f>
        <v>188000000</v>
      </c>
      <c r="E51" s="227"/>
      <c r="F51" s="227">
        <f>SUM(F50:F50)</f>
        <v>50000000</v>
      </c>
      <c r="G51" s="227"/>
      <c r="H51" s="227"/>
      <c r="I51" s="227"/>
      <c r="J51" s="227"/>
      <c r="K51" s="227"/>
      <c r="L51" s="227"/>
      <c r="M51" s="227"/>
      <c r="N51" s="227"/>
      <c r="O51" s="227"/>
      <c r="P51" s="227">
        <f>SUM(P50:P50)</f>
        <v>52000000</v>
      </c>
      <c r="Q51" s="227"/>
      <c r="R51" s="227">
        <f>SUM(R50:R50)</f>
        <v>0</v>
      </c>
      <c r="S51" s="227"/>
      <c r="T51" s="227">
        <f>SUM(T50:T50)</f>
        <v>0</v>
      </c>
      <c r="U51" s="227"/>
      <c r="V51" s="227"/>
      <c r="W51" s="227"/>
      <c r="X51" s="227"/>
      <c r="Y51" s="227"/>
      <c r="Z51" s="227"/>
      <c r="AA51" s="227"/>
      <c r="AB51" s="227"/>
      <c r="AC51" s="227"/>
      <c r="AD51" s="227"/>
      <c r="AE51" s="227"/>
      <c r="AF51" s="227"/>
      <c r="AG51" s="227"/>
      <c r="AH51" s="258"/>
      <c r="AI51" s="258"/>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58"/>
      <c r="DU51" s="258"/>
      <c r="DV51" s="227"/>
      <c r="DW51" s="227"/>
      <c r="DX51" s="227"/>
      <c r="DY51" s="227"/>
      <c r="DZ51" s="227"/>
      <c r="EA51" s="227"/>
      <c r="EB51" s="227"/>
      <c r="EC51" s="227"/>
      <c r="ED51" s="227"/>
      <c r="EE51" s="227"/>
      <c r="EF51" s="227"/>
      <c r="EG51" s="227"/>
      <c r="EH51" s="227"/>
      <c r="EI51" s="227"/>
      <c r="EJ51" s="227"/>
      <c r="EK51" s="227"/>
      <c r="EL51" s="258"/>
      <c r="EM51" s="258"/>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371"/>
      <c r="FK51" s="371"/>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58"/>
      <c r="GK51" s="258"/>
      <c r="GL51" s="258"/>
      <c r="GM51" s="258"/>
      <c r="GN51" s="258"/>
      <c r="GO51" s="258"/>
      <c r="GP51" s="258"/>
      <c r="GQ51" s="258"/>
      <c r="GR51" s="258"/>
      <c r="GS51" s="258"/>
      <c r="GT51" s="258"/>
      <c r="GU51" s="258"/>
      <c r="GV51" s="258"/>
      <c r="GW51" s="258"/>
      <c r="GX51" s="258"/>
      <c r="GY51" s="258"/>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row>
    <row r="52" spans="1:243" x14ac:dyDescent="0.25">
      <c r="A52" s="218"/>
      <c r="D52" s="227">
        <f>+D30+D32+D33+D35+D38</f>
        <v>0</v>
      </c>
      <c r="E52" s="227"/>
      <c r="F52" s="227">
        <f>+F30+F32+F33+F35+F38</f>
        <v>0</v>
      </c>
      <c r="G52" s="227"/>
      <c r="H52" s="227"/>
      <c r="I52" s="227"/>
      <c r="J52" s="227"/>
      <c r="K52" s="227"/>
      <c r="L52" s="227"/>
      <c r="M52" s="227"/>
      <c r="N52" s="227"/>
      <c r="O52" s="227"/>
      <c r="P52" s="227">
        <f>+P30+P32+P33+P35+P38</f>
        <v>0</v>
      </c>
      <c r="Q52" s="227"/>
      <c r="R52" s="227">
        <f>+R30+R32+R33+R35+R38</f>
        <v>0</v>
      </c>
      <c r="S52" s="227"/>
      <c r="T52" s="227">
        <f>+T30+T32+T33+T35+T38</f>
        <v>0</v>
      </c>
      <c r="U52" s="227"/>
      <c r="V52" s="227"/>
      <c r="W52" s="227"/>
      <c r="X52" s="227"/>
      <c r="Y52" s="227"/>
      <c r="Z52" s="227"/>
      <c r="AA52" s="227"/>
      <c r="AB52" s="227"/>
      <c r="AC52" s="227"/>
      <c r="AD52" s="227"/>
      <c r="AE52" s="227"/>
      <c r="AF52" s="227"/>
      <c r="AG52" s="227"/>
      <c r="AH52" s="258"/>
      <c r="AI52" s="258"/>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58"/>
      <c r="DU52" s="258"/>
      <c r="DV52" s="227"/>
      <c r="DW52" s="227"/>
      <c r="DX52" s="227"/>
      <c r="DY52" s="227"/>
      <c r="DZ52" s="227"/>
      <c r="EA52" s="227"/>
      <c r="EB52" s="227"/>
      <c r="EC52" s="227"/>
      <c r="ED52" s="227"/>
      <c r="EE52" s="227"/>
      <c r="EF52" s="227"/>
      <c r="EG52" s="227"/>
      <c r="EH52" s="227"/>
      <c r="EI52" s="227"/>
      <c r="EJ52" s="227"/>
      <c r="EK52" s="227"/>
      <c r="EL52" s="258"/>
      <c r="EM52" s="258"/>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58"/>
      <c r="GK52" s="258"/>
      <c r="GL52" s="258"/>
      <c r="GM52" s="258"/>
      <c r="GN52" s="258"/>
      <c r="GO52" s="258"/>
      <c r="GP52" s="258"/>
      <c r="GQ52" s="258"/>
      <c r="GR52" s="258"/>
      <c r="GS52" s="258"/>
      <c r="GT52" s="258"/>
      <c r="GU52" s="258"/>
      <c r="GV52" s="258"/>
      <c r="GW52" s="258"/>
      <c r="GX52" s="258"/>
      <c r="GY52" s="258"/>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row>
    <row r="53" spans="1:243" x14ac:dyDescent="0.25">
      <c r="A53" s="218"/>
      <c r="D53" s="227">
        <f>+D46</f>
        <v>0</v>
      </c>
      <c r="E53" s="227"/>
      <c r="F53" s="227">
        <f>+F46</f>
        <v>0</v>
      </c>
      <c r="G53" s="227"/>
      <c r="H53" s="227"/>
      <c r="I53" s="227"/>
      <c r="J53" s="227"/>
      <c r="K53" s="227"/>
      <c r="L53" s="227"/>
      <c r="M53" s="227"/>
      <c r="N53" s="227"/>
      <c r="O53" s="227"/>
      <c r="P53" s="227">
        <f>+P46</f>
        <v>0</v>
      </c>
      <c r="Q53" s="227"/>
      <c r="R53" s="227">
        <f>+R46</f>
        <v>0</v>
      </c>
      <c r="S53" s="227"/>
      <c r="T53" s="227">
        <f>+T46</f>
        <v>0</v>
      </c>
      <c r="U53" s="227"/>
      <c r="V53" s="227"/>
      <c r="W53" s="227"/>
      <c r="X53" s="227"/>
      <c r="Y53" s="227"/>
      <c r="Z53" s="227"/>
      <c r="AA53" s="227"/>
      <c r="AB53" s="227"/>
      <c r="AC53" s="227"/>
      <c r="AD53" s="227"/>
      <c r="AE53" s="227"/>
      <c r="AF53" s="227"/>
      <c r="AG53" s="227"/>
      <c r="AH53" s="258"/>
      <c r="AI53" s="258"/>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58"/>
      <c r="DU53" s="258"/>
      <c r="DV53" s="227"/>
      <c r="DW53" s="227"/>
      <c r="DX53" s="227"/>
      <c r="DY53" s="227"/>
      <c r="DZ53" s="227"/>
      <c r="EA53" s="227"/>
      <c r="EB53" s="227"/>
      <c r="EC53" s="227"/>
      <c r="ED53" s="227"/>
      <c r="EE53" s="227"/>
      <c r="EF53" s="227"/>
      <c r="EG53" s="227"/>
      <c r="EH53" s="227"/>
      <c r="EI53" s="227"/>
      <c r="EJ53" s="227"/>
      <c r="EK53" s="227"/>
      <c r="EL53" s="258"/>
      <c r="EM53" s="258"/>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58"/>
      <c r="GK53" s="258"/>
      <c r="GL53" s="258"/>
      <c r="GM53" s="258"/>
      <c r="GN53" s="258"/>
      <c r="GO53" s="258"/>
      <c r="GP53" s="258"/>
      <c r="GQ53" s="258"/>
      <c r="GR53" s="258"/>
      <c r="GS53" s="258"/>
      <c r="GT53" s="258"/>
      <c r="GU53" s="258"/>
      <c r="GV53" s="258"/>
      <c r="GW53" s="258"/>
      <c r="GX53" s="258"/>
      <c r="GY53" s="258"/>
      <c r="GZ53" s="227"/>
      <c r="HA53" s="227"/>
      <c r="HB53" s="227"/>
      <c r="HC53" s="227"/>
      <c r="HD53" s="227"/>
      <c r="HE53" s="227"/>
      <c r="HF53" s="227"/>
      <c r="HG53" s="227"/>
      <c r="HH53" s="227"/>
      <c r="HI53" s="227"/>
      <c r="HJ53" s="227"/>
      <c r="HK53" s="227"/>
      <c r="HL53" s="227"/>
      <c r="HM53" s="227"/>
      <c r="HN53" s="227"/>
      <c r="HO53" s="227"/>
      <c r="HP53" s="227"/>
      <c r="HQ53" s="227"/>
      <c r="HR53" s="227"/>
      <c r="HS53" s="227"/>
      <c r="HT53" s="227"/>
      <c r="HU53" s="227"/>
      <c r="HV53" s="227"/>
      <c r="HW53" s="227"/>
      <c r="HX53" s="227"/>
      <c r="HY53" s="227" t="e">
        <f>+'3. sz.Városi szintű összesen'!#REF!</f>
        <v>#REF!</v>
      </c>
      <c r="HZ53" s="227"/>
      <c r="IA53" s="227"/>
      <c r="IB53" s="227"/>
      <c r="IC53" s="227"/>
      <c r="ID53" s="227"/>
      <c r="IE53" s="227"/>
      <c r="IF53" s="227"/>
      <c r="IG53" s="227"/>
      <c r="IH53" s="227"/>
      <c r="II53" s="227"/>
    </row>
    <row r="54" spans="1:243" x14ac:dyDescent="0.25">
      <c r="A54" s="218"/>
      <c r="D54" s="227">
        <f>+D52-D53</f>
        <v>0</v>
      </c>
      <c r="E54" s="227"/>
      <c r="F54" s="227">
        <f>+F52-F53</f>
        <v>0</v>
      </c>
      <c r="G54" s="227"/>
      <c r="H54" s="227"/>
      <c r="I54" s="227"/>
      <c r="J54" s="227"/>
      <c r="K54" s="227"/>
      <c r="L54" s="227"/>
      <c r="M54" s="227"/>
      <c r="N54" s="227"/>
      <c r="O54" s="227"/>
      <c r="P54" s="227">
        <f>+P52-P53</f>
        <v>0</v>
      </c>
      <c r="Q54" s="227"/>
      <c r="R54" s="227">
        <f>+R52-R53</f>
        <v>0</v>
      </c>
      <c r="S54" s="227"/>
      <c r="T54" s="227">
        <f>+T52-T53</f>
        <v>0</v>
      </c>
      <c r="U54" s="227"/>
      <c r="V54" s="227"/>
      <c r="W54" s="227"/>
      <c r="X54" s="227"/>
      <c r="Y54" s="227"/>
      <c r="Z54" s="227"/>
      <c r="AA54" s="227"/>
      <c r="AB54" s="227"/>
      <c r="AC54" s="227"/>
      <c r="AD54" s="227"/>
      <c r="AE54" s="227"/>
      <c r="AF54" s="227"/>
      <c r="AG54" s="227"/>
      <c r="AH54" s="258"/>
      <c r="AI54" s="258"/>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58"/>
      <c r="DU54" s="258"/>
      <c r="DV54" s="227"/>
      <c r="DW54" s="227"/>
      <c r="DX54" s="227"/>
      <c r="DY54" s="227"/>
      <c r="DZ54" s="227"/>
      <c r="EA54" s="227"/>
      <c r="EB54" s="227"/>
      <c r="EC54" s="227"/>
      <c r="ED54" s="227"/>
      <c r="EE54" s="227"/>
      <c r="EF54" s="227"/>
      <c r="EG54" s="227"/>
      <c r="EH54" s="227"/>
      <c r="EI54" s="227"/>
      <c r="EJ54" s="227"/>
      <c r="EK54" s="227"/>
      <c r="EL54" s="258"/>
      <c r="EM54" s="258"/>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58"/>
      <c r="GK54" s="258"/>
      <c r="GL54" s="258"/>
      <c r="GM54" s="258"/>
      <c r="GN54" s="258"/>
      <c r="GO54" s="258"/>
      <c r="GP54" s="258"/>
      <c r="GQ54" s="258"/>
      <c r="GR54" s="258"/>
      <c r="GS54" s="258"/>
      <c r="GT54" s="258"/>
      <c r="GU54" s="258"/>
      <c r="GV54" s="258"/>
      <c r="GW54" s="258"/>
      <c r="GX54" s="258"/>
      <c r="GY54" s="258"/>
      <c r="GZ54" s="227"/>
      <c r="HA54" s="227"/>
      <c r="HB54" s="227"/>
      <c r="HC54" s="227"/>
      <c r="HD54" s="227"/>
      <c r="HE54" s="227"/>
      <c r="HF54" s="227"/>
      <c r="HG54" s="227"/>
      <c r="HH54" s="227"/>
      <c r="HI54" s="227"/>
      <c r="HJ54" s="227"/>
      <c r="HK54" s="227"/>
      <c r="HL54" s="227"/>
      <c r="HM54" s="227"/>
      <c r="HN54" s="227"/>
      <c r="HO54" s="227"/>
      <c r="HP54" s="227"/>
      <c r="HQ54" s="227"/>
      <c r="HR54" s="227"/>
      <c r="HS54" s="227"/>
      <c r="HT54" s="227"/>
      <c r="HU54" s="227"/>
      <c r="HV54" s="227"/>
      <c r="HW54" s="227"/>
      <c r="HX54" s="227"/>
      <c r="HY54" s="241"/>
      <c r="HZ54" s="241"/>
      <c r="IA54" s="241"/>
      <c r="IB54" s="241"/>
      <c r="IC54" s="241"/>
      <c r="ID54" s="241"/>
      <c r="IE54" s="241"/>
      <c r="IF54" s="241"/>
      <c r="IG54" s="241"/>
      <c r="IH54" s="241"/>
      <c r="II54" s="241"/>
    </row>
    <row r="55" spans="1:243" x14ac:dyDescent="0.25">
      <c r="A55" s="218"/>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58"/>
      <c r="AI55" s="258"/>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58"/>
      <c r="DU55" s="258"/>
      <c r="DV55" s="227"/>
      <c r="DW55" s="227"/>
      <c r="DX55" s="227"/>
      <c r="DY55" s="227"/>
      <c r="DZ55" s="227"/>
      <c r="EA55" s="227"/>
      <c r="EB55" s="227"/>
      <c r="EC55" s="227"/>
      <c r="ED55" s="227"/>
      <c r="EE55" s="227"/>
      <c r="EF55" s="227"/>
      <c r="EG55" s="227"/>
      <c r="EH55" s="227"/>
      <c r="EI55" s="227"/>
      <c r="EJ55" s="227"/>
      <c r="EK55" s="227"/>
      <c r="EL55" s="258"/>
      <c r="EM55" s="258"/>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58"/>
      <c r="GK55" s="258"/>
      <c r="GL55" s="258"/>
      <c r="GM55" s="258"/>
      <c r="GN55" s="258"/>
      <c r="GO55" s="258"/>
      <c r="GP55" s="258"/>
      <c r="GQ55" s="258"/>
      <c r="GR55" s="258"/>
      <c r="GS55" s="258"/>
      <c r="GT55" s="258"/>
      <c r="GU55" s="258"/>
      <c r="GV55" s="258"/>
      <c r="GW55" s="258"/>
      <c r="GX55" s="258"/>
      <c r="GY55" s="258"/>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row>
    <row r="56" spans="1:243" x14ac:dyDescent="0.25">
      <c r="A56" s="218"/>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58"/>
      <c r="AI56" s="258"/>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c r="DK56" s="227"/>
      <c r="DL56" s="227"/>
      <c r="DM56" s="227"/>
      <c r="DN56" s="227"/>
      <c r="DO56" s="227"/>
      <c r="DP56" s="227"/>
      <c r="DQ56" s="227"/>
      <c r="DR56" s="227"/>
      <c r="DS56" s="227"/>
      <c r="DT56" s="258"/>
      <c r="DU56" s="258"/>
      <c r="DV56" s="227"/>
      <c r="DW56" s="227"/>
      <c r="DX56" s="227"/>
      <c r="DY56" s="227"/>
      <c r="DZ56" s="227"/>
      <c r="EA56" s="227"/>
      <c r="EB56" s="227"/>
      <c r="EC56" s="227"/>
      <c r="ED56" s="227"/>
      <c r="EE56" s="227"/>
      <c r="EF56" s="227"/>
      <c r="EG56" s="227"/>
      <c r="EH56" s="227"/>
      <c r="EI56" s="227"/>
      <c r="EJ56" s="227"/>
      <c r="EK56" s="227"/>
      <c r="EL56" s="258"/>
      <c r="EM56" s="258"/>
      <c r="EN56" s="227"/>
      <c r="EO56" s="227"/>
      <c r="EP56" s="227"/>
      <c r="EQ56" s="227"/>
      <c r="ER56" s="227"/>
      <c r="ES56" s="227"/>
      <c r="ET56" s="227"/>
      <c r="EU56" s="227"/>
      <c r="EV56" s="227"/>
      <c r="EW56" s="227"/>
      <c r="EX56" s="227"/>
      <c r="EY56" s="227"/>
      <c r="EZ56" s="227"/>
      <c r="FA56" s="227"/>
      <c r="FB56" s="227"/>
      <c r="FC56" s="227"/>
      <c r="FD56" s="227"/>
      <c r="FE56" s="227"/>
      <c r="FF56" s="227"/>
      <c r="FG56" s="227"/>
      <c r="FH56" s="227"/>
      <c r="FI56" s="227"/>
      <c r="FJ56" s="227"/>
      <c r="FK56" s="227"/>
      <c r="FL56" s="227"/>
      <c r="FM56" s="227"/>
      <c r="FN56" s="227"/>
      <c r="FO56" s="227"/>
      <c r="FP56" s="227"/>
      <c r="FQ56" s="227"/>
      <c r="FR56" s="227"/>
      <c r="FS56" s="227"/>
      <c r="FT56" s="227"/>
      <c r="FU56" s="227"/>
      <c r="FV56" s="227"/>
      <c r="FW56" s="227"/>
      <c r="FX56" s="227"/>
      <c r="FY56" s="227"/>
      <c r="FZ56" s="227"/>
      <c r="GA56" s="227"/>
      <c r="GB56" s="227"/>
      <c r="GC56" s="227"/>
      <c r="GD56" s="227"/>
      <c r="GE56" s="227"/>
      <c r="GF56" s="227"/>
      <c r="GG56" s="227"/>
      <c r="GH56" s="227"/>
      <c r="GI56" s="227"/>
      <c r="GJ56" s="258"/>
      <c r="GK56" s="258"/>
      <c r="GL56" s="258"/>
      <c r="GM56" s="258"/>
      <c r="GN56" s="258"/>
      <c r="GO56" s="258"/>
      <c r="GP56" s="258"/>
      <c r="GQ56" s="258"/>
      <c r="GR56" s="258"/>
      <c r="GS56" s="258"/>
      <c r="GT56" s="258"/>
      <c r="GU56" s="258"/>
      <c r="GV56" s="258"/>
      <c r="GW56" s="258"/>
      <c r="GX56" s="258"/>
      <c r="GY56" s="258"/>
      <c r="GZ56" s="227"/>
      <c r="HA56" s="227"/>
      <c r="HB56" s="227"/>
      <c r="HC56" s="227"/>
      <c r="HD56" s="227"/>
      <c r="HE56" s="227"/>
      <c r="HF56" s="227"/>
      <c r="HG56" s="227"/>
      <c r="HH56" s="227"/>
      <c r="HI56" s="227"/>
      <c r="HJ56" s="227"/>
      <c r="HK56" s="227"/>
      <c r="HL56" s="227"/>
      <c r="HM56" s="227"/>
      <c r="HN56" s="227"/>
      <c r="HO56" s="227"/>
      <c r="HP56" s="227"/>
      <c r="HQ56" s="227"/>
      <c r="HR56" s="227"/>
      <c r="HS56" s="227"/>
      <c r="HT56" s="227"/>
      <c r="HU56" s="227"/>
      <c r="HV56" s="227"/>
      <c r="HW56" s="227"/>
      <c r="HX56" s="227"/>
    </row>
    <row r="61" spans="1:243" x14ac:dyDescent="0.25">
      <c r="A61" s="218"/>
    </row>
  </sheetData>
  <mergeCells count="245">
    <mergeCell ref="IF5:IF6"/>
    <mergeCell ref="IG5:IG6"/>
    <mergeCell ref="IH5:IH6"/>
    <mergeCell ref="II5:II6"/>
    <mergeCell ref="HZ5:HZ6"/>
    <mergeCell ref="IA5:IA6"/>
    <mergeCell ref="IB5:IB6"/>
    <mergeCell ref="IC5:IC6"/>
    <mergeCell ref="HQ5:HQ6"/>
    <mergeCell ref="ID5:ID6"/>
    <mergeCell ref="IE5:IE6"/>
    <mergeCell ref="GV5:GV6"/>
    <mergeCell ref="HB5:HB6"/>
    <mergeCell ref="HS5:HS6"/>
    <mergeCell ref="HU5:HU6"/>
    <mergeCell ref="HW5:HW6"/>
    <mergeCell ref="HY5:HY6"/>
    <mergeCell ref="HR5:HR6"/>
    <mergeCell ref="HV5:HV6"/>
    <mergeCell ref="HX5:HX6"/>
    <mergeCell ref="HT5:HT6"/>
    <mergeCell ref="HP5:HP6"/>
    <mergeCell ref="GX5:GX6"/>
    <mergeCell ref="GM5:GM6"/>
    <mergeCell ref="GO5:GO6"/>
    <mergeCell ref="GQ5:GQ6"/>
    <mergeCell ref="GS5:GS6"/>
    <mergeCell ref="GR5:GR6"/>
    <mergeCell ref="GH5:GH6"/>
    <mergeCell ref="HM5:HM6"/>
    <mergeCell ref="HO5:HO6"/>
    <mergeCell ref="HL5:HL6"/>
    <mergeCell ref="HN5:HN6"/>
    <mergeCell ref="HD5:HD6"/>
    <mergeCell ref="HF5:HF6"/>
    <mergeCell ref="HH5:HH6"/>
    <mergeCell ref="GZ5:GZ6"/>
    <mergeCell ref="GU5:GU6"/>
    <mergeCell ref="GW5:GW6"/>
    <mergeCell ref="GY5:GY6"/>
    <mergeCell ref="HA5:HA6"/>
    <mergeCell ref="HC5:HC6"/>
    <mergeCell ref="HE5:HE6"/>
    <mergeCell ref="HG5:HG6"/>
    <mergeCell ref="HI5:HI6"/>
    <mergeCell ref="HK5:HK6"/>
    <mergeCell ref="HJ5:HJ6"/>
    <mergeCell ref="CU5:CU6"/>
    <mergeCell ref="CW5:CW6"/>
    <mergeCell ref="CY5:CY6"/>
    <mergeCell ref="DA5:DA6"/>
    <mergeCell ref="DC5:DC6"/>
    <mergeCell ref="DE5:DE6"/>
    <mergeCell ref="CX5:CX6"/>
    <mergeCell ref="FK5:FK6"/>
    <mergeCell ref="FM5:FM6"/>
    <mergeCell ref="CZ5:CZ6"/>
    <mergeCell ref="DB5:DB6"/>
    <mergeCell ref="ET5:ET6"/>
    <mergeCell ref="DV5:DV6"/>
    <mergeCell ref="DX5:DX6"/>
    <mergeCell ref="EB5:EB6"/>
    <mergeCell ref="EL5:EL6"/>
    <mergeCell ref="EN5:EN6"/>
    <mergeCell ref="DL5:DL6"/>
    <mergeCell ref="EJ5:EJ6"/>
    <mergeCell ref="ED5:ED6"/>
    <mergeCell ref="EP5:EP6"/>
    <mergeCell ref="EH5:EH6"/>
    <mergeCell ref="DN5:DN6"/>
    <mergeCell ref="DT5:DT6"/>
    <mergeCell ref="CG5:CG6"/>
    <mergeCell ref="CI5:CI6"/>
    <mergeCell ref="CK5:CK6"/>
    <mergeCell ref="CM5:CM6"/>
    <mergeCell ref="CJ5:CJ6"/>
    <mergeCell ref="CL5:CL6"/>
    <mergeCell ref="CO5:CO6"/>
    <mergeCell ref="CQ5:CQ6"/>
    <mergeCell ref="CS5:CS6"/>
    <mergeCell ref="CP5:CP6"/>
    <mergeCell ref="CR5:CR6"/>
    <mergeCell ref="CH5:CH6"/>
    <mergeCell ref="BO5:BO6"/>
    <mergeCell ref="BQ5:BQ6"/>
    <mergeCell ref="BS5:BS6"/>
    <mergeCell ref="BU5:BU6"/>
    <mergeCell ref="BW5:BW6"/>
    <mergeCell ref="BY5:BY6"/>
    <mergeCell ref="CA5:CA6"/>
    <mergeCell ref="CC5:CC6"/>
    <mergeCell ref="CE5:CE6"/>
    <mergeCell ref="BZ5:BZ6"/>
    <mergeCell ref="CD5:CD6"/>
    <mergeCell ref="BA5:BA6"/>
    <mergeCell ref="BC5:BC6"/>
    <mergeCell ref="W5:W6"/>
    <mergeCell ref="Y5:Y6"/>
    <mergeCell ref="AJ5:AJ6"/>
    <mergeCell ref="AL5:AL6"/>
    <mergeCell ref="E5:E6"/>
    <mergeCell ref="G5:G6"/>
    <mergeCell ref="I5:I6"/>
    <mergeCell ref="K5:K6"/>
    <mergeCell ref="M5:M6"/>
    <mergeCell ref="O5:O6"/>
    <mergeCell ref="Q5:Q6"/>
    <mergeCell ref="S5:S6"/>
    <mergeCell ref="U5:U6"/>
    <mergeCell ref="AC5:AC6"/>
    <mergeCell ref="AE5:AE6"/>
    <mergeCell ref="AG5:AG6"/>
    <mergeCell ref="AI5:AI6"/>
    <mergeCell ref="AK5:AK6"/>
    <mergeCell ref="AM5:AM6"/>
    <mergeCell ref="AB5:AB6"/>
    <mergeCell ref="AN5:AN6"/>
    <mergeCell ref="AD5:AD6"/>
    <mergeCell ref="A2:C2"/>
    <mergeCell ref="A3:A6"/>
    <mergeCell ref="B3:C3"/>
    <mergeCell ref="B4:C4"/>
    <mergeCell ref="B5:C5"/>
    <mergeCell ref="D5:D6"/>
    <mergeCell ref="AQ5:AQ6"/>
    <mergeCell ref="AS5:AS6"/>
    <mergeCell ref="AU5:AU6"/>
    <mergeCell ref="AF5:AF6"/>
    <mergeCell ref="AH5:AH6"/>
    <mergeCell ref="BL5:BL6"/>
    <mergeCell ref="J5:J6"/>
    <mergeCell ref="T5:T6"/>
    <mergeCell ref="F5:F6"/>
    <mergeCell ref="P5:P6"/>
    <mergeCell ref="R5:R6"/>
    <mergeCell ref="H5:H6"/>
    <mergeCell ref="AZ5:AZ6"/>
    <mergeCell ref="BF5:BF6"/>
    <mergeCell ref="BH5:BH6"/>
    <mergeCell ref="AR5:AR6"/>
    <mergeCell ref="AT5:AT6"/>
    <mergeCell ref="AO5:AO6"/>
    <mergeCell ref="BD5:BD6"/>
    <mergeCell ref="AV5:AV6"/>
    <mergeCell ref="AX5:AX6"/>
    <mergeCell ref="L5:L6"/>
    <mergeCell ref="N5:N6"/>
    <mergeCell ref="V5:V6"/>
    <mergeCell ref="X5:X6"/>
    <mergeCell ref="Z5:Z6"/>
    <mergeCell ref="AA5:AA6"/>
    <mergeCell ref="AW5:AW6"/>
    <mergeCell ref="AY5:AY6"/>
    <mergeCell ref="GP5:GP6"/>
    <mergeCell ref="DG5:DG6"/>
    <mergeCell ref="DI5:DI6"/>
    <mergeCell ref="DK5:DK6"/>
    <mergeCell ref="EE5:EE6"/>
    <mergeCell ref="EI5:EI6"/>
    <mergeCell ref="EY5:EY6"/>
    <mergeCell ref="FA5:FA6"/>
    <mergeCell ref="FC5:FC6"/>
    <mergeCell ref="FE5:FE6"/>
    <mergeCell ref="FG5:FG6"/>
    <mergeCell ref="FI5:FI6"/>
    <mergeCell ref="EK5:EK6"/>
    <mergeCell ref="EX5:EX6"/>
    <mergeCell ref="FV5:FV6"/>
    <mergeCell ref="FR5:FR6"/>
    <mergeCell ref="EC5:EC6"/>
    <mergeCell ref="DP5:DP6"/>
    <mergeCell ref="DJ5:DJ6"/>
    <mergeCell ref="DR5:DR6"/>
    <mergeCell ref="DH5:DH6"/>
    <mergeCell ref="GK5:GK6"/>
    <mergeCell ref="EA5:EA6"/>
    <mergeCell ref="EF5:EF6"/>
    <mergeCell ref="BN5:BN6"/>
    <mergeCell ref="BP5:BP6"/>
    <mergeCell ref="CN5:CN6"/>
    <mergeCell ref="EW5:EW6"/>
    <mergeCell ref="EO5:EO6"/>
    <mergeCell ref="ES5:ES6"/>
    <mergeCell ref="BJ5:BJ6"/>
    <mergeCell ref="AP5:AP6"/>
    <mergeCell ref="BB5:BB6"/>
    <mergeCell ref="BE5:BE6"/>
    <mergeCell ref="BG5:BG6"/>
    <mergeCell ref="BI5:BI6"/>
    <mergeCell ref="BK5:BK6"/>
    <mergeCell ref="BM5:BM6"/>
    <mergeCell ref="ER5:ER6"/>
    <mergeCell ref="DD5:DD6"/>
    <mergeCell ref="DF5:DF6"/>
    <mergeCell ref="CV5:CV6"/>
    <mergeCell ref="CB5:CB6"/>
    <mergeCell ref="CF5:CF6"/>
    <mergeCell ref="BR5:BR6"/>
    <mergeCell ref="BT5:BT6"/>
    <mergeCell ref="BV5:BV6"/>
    <mergeCell ref="BX5:BX6"/>
    <mergeCell ref="CT5:CT6"/>
    <mergeCell ref="GT5:GT6"/>
    <mergeCell ref="GN5:GN6"/>
    <mergeCell ref="GB5:GB6"/>
    <mergeCell ref="EM5:EM6"/>
    <mergeCell ref="DW5:DW6"/>
    <mergeCell ref="DY5:DY6"/>
    <mergeCell ref="DU5:DU6"/>
    <mergeCell ref="EU5:EU6"/>
    <mergeCell ref="EQ5:EQ6"/>
    <mergeCell ref="EV5:EV6"/>
    <mergeCell ref="EZ5:EZ6"/>
    <mergeCell ref="GG5:GG6"/>
    <mergeCell ref="GI5:GI6"/>
    <mergeCell ref="FB5:FB6"/>
    <mergeCell ref="FF5:FF6"/>
    <mergeCell ref="FH5:FH6"/>
    <mergeCell ref="FD5:FD6"/>
    <mergeCell ref="FZ5:FZ6"/>
    <mergeCell ref="FL5:FL6"/>
    <mergeCell ref="FN5:FN6"/>
    <mergeCell ref="GL5:GL6"/>
    <mergeCell ref="FO5:FO6"/>
    <mergeCell ref="DZ5:DZ6"/>
    <mergeCell ref="EG5:EG6"/>
    <mergeCell ref="DM5:DM6"/>
    <mergeCell ref="FP5:FP6"/>
    <mergeCell ref="GJ5:GJ6"/>
    <mergeCell ref="FJ5:FJ6"/>
    <mergeCell ref="FT5:FT6"/>
    <mergeCell ref="FX5:FX6"/>
    <mergeCell ref="GD5:GD6"/>
    <mergeCell ref="DS5:DS6"/>
    <mergeCell ref="DO5:DO6"/>
    <mergeCell ref="FQ5:FQ6"/>
    <mergeCell ref="FS5:FS6"/>
    <mergeCell ref="FU5:FU6"/>
    <mergeCell ref="FW5:FW6"/>
    <mergeCell ref="FY5:FY6"/>
    <mergeCell ref="GA5:GA6"/>
    <mergeCell ref="GC5:GC6"/>
    <mergeCell ref="GE5:GE6"/>
    <mergeCell ref="DQ5:DQ6"/>
    <mergeCell ref="GF5:GF6"/>
  </mergeCells>
  <phoneticPr fontId="45" type="noConversion"/>
  <printOptions horizontalCentered="1" verticalCentered="1"/>
  <pageMargins left="0.19685039370078741" right="0.19685039370078741" top="0" bottom="0" header="0.51181102362204722" footer="0.51181102362204722"/>
  <pageSetup paperSize="9" scale="55" fitToHeight="0" orientation="portrait" r:id="rId1"/>
  <headerFooter alignWithMargins="0">
    <oddHeader>&amp;C2022. évi költségvetés&amp;R&amp;A</oddHeader>
    <oddFooter>&amp;C&amp;P/&amp;N</oddFooter>
  </headerFooter>
  <colBreaks count="59" manualBreakCount="59">
    <brk id="7" max="49" man="1"/>
    <brk id="11" max="49" man="1"/>
    <brk id="15" max="49" man="1"/>
    <brk id="19" max="49" man="1"/>
    <brk id="23" max="49" man="1"/>
    <brk id="27" max="49" man="1"/>
    <brk id="31" max="49" man="1"/>
    <brk id="35" max="49" man="1"/>
    <brk id="39" max="49" man="1"/>
    <brk id="43" max="49" man="1"/>
    <brk id="47" max="49" man="1"/>
    <brk id="51" max="49" man="1"/>
    <brk id="55" max="49" man="1"/>
    <brk id="59" max="49" man="1"/>
    <brk id="63" max="49" man="1"/>
    <brk id="67" max="49" man="1"/>
    <brk id="71" max="49" man="1"/>
    <brk id="75" max="49" man="1"/>
    <brk id="79" max="49" man="1"/>
    <brk id="83" max="49" man="1"/>
    <brk id="87" max="49" man="1"/>
    <brk id="91" max="49" man="1"/>
    <brk id="95" max="49" man="1"/>
    <brk id="99" max="49" man="1"/>
    <brk id="103" max="49" man="1"/>
    <brk id="107" max="49" man="1"/>
    <brk id="111" max="49" man="1"/>
    <brk id="115" max="49" man="1"/>
    <brk id="119" max="49" man="1"/>
    <brk id="123" max="49" man="1"/>
    <brk id="127" max="49" man="1"/>
    <brk id="131" max="49" man="1"/>
    <brk id="135" max="49" man="1"/>
    <brk id="139" max="49" man="1"/>
    <brk id="143" max="49" man="1"/>
    <brk id="147" max="49" man="1"/>
    <brk id="151" max="49" man="1"/>
    <brk id="155" max="49" man="1"/>
    <brk id="159" max="49" man="1"/>
    <brk id="163" max="49" man="1"/>
    <brk id="167" max="49" man="1"/>
    <brk id="171" max="49" man="1"/>
    <brk id="175" max="49" man="1"/>
    <brk id="179" max="49" man="1"/>
    <brk id="183" max="49" man="1"/>
    <brk id="187" max="49" man="1"/>
    <brk id="191" max="49" man="1"/>
    <brk id="195" max="49" man="1"/>
    <brk id="199" max="49" man="1"/>
    <brk id="203" max="49" man="1"/>
    <brk id="207" max="49" man="1"/>
    <brk id="211" max="49" man="1"/>
    <brk id="215" max="49" man="1"/>
    <brk id="219" max="49" man="1"/>
    <brk id="223" max="49" man="1"/>
    <brk id="227" max="49" man="1"/>
    <brk id="231" max="49" man="1"/>
    <brk id="235" max="49" man="1"/>
    <brk id="239"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1"/>
  <sheetViews>
    <sheetView view="pageBreakPreview" zoomScale="80" zoomScaleNormal="80" zoomScaleSheetLayoutView="80" workbookViewId="0">
      <pane xSplit="3" ySplit="8" topLeftCell="K42" activePane="bottomRight" state="frozen"/>
      <selection pane="topRight" activeCell="D1" sqref="D1"/>
      <selection pane="bottomLeft" activeCell="A8" sqref="A8"/>
      <selection pane="bottomRight" activeCell="B6" sqref="B6:C6"/>
    </sheetView>
  </sheetViews>
  <sheetFormatPr defaultRowHeight="12.75" x14ac:dyDescent="0.2"/>
  <cols>
    <col min="1" max="1" width="6" customWidth="1"/>
    <col min="2" max="2" width="65.42578125" customWidth="1"/>
    <col min="4" max="4" width="19" customWidth="1"/>
    <col min="5" max="5" width="17.7109375" customWidth="1"/>
    <col min="6" max="6" width="19.28515625" customWidth="1"/>
    <col min="7" max="7" width="18" customWidth="1"/>
    <col min="8" max="8" width="18.85546875" customWidth="1"/>
    <col min="9" max="9" width="16.140625" customWidth="1"/>
    <col min="10" max="10" width="18.5703125" customWidth="1"/>
    <col min="11" max="11" width="17.42578125" customWidth="1"/>
    <col min="12" max="12" width="19" customWidth="1"/>
    <col min="13" max="13" width="17.42578125" customWidth="1"/>
    <col min="14" max="14" width="18.85546875" customWidth="1"/>
    <col min="15" max="15" width="17.42578125" customWidth="1"/>
    <col min="16" max="16" width="19" customWidth="1"/>
    <col min="17" max="17" width="17.42578125" customWidth="1"/>
    <col min="18" max="18" width="18.85546875" customWidth="1"/>
    <col min="19" max="19" width="17.5703125" customWidth="1"/>
    <col min="20" max="20" width="20.5703125" customWidth="1"/>
    <col min="21" max="21" width="21.28515625" customWidth="1"/>
  </cols>
  <sheetData>
    <row r="1" spans="1:21" ht="15.75" x14ac:dyDescent="0.25">
      <c r="A1" s="314"/>
      <c r="B1" s="314"/>
      <c r="C1" s="314"/>
      <c r="D1" s="314"/>
      <c r="E1" s="314"/>
      <c r="F1" s="314"/>
      <c r="G1" s="1520" t="s">
        <v>444</v>
      </c>
      <c r="H1" s="314"/>
      <c r="I1" s="314"/>
      <c r="J1" s="314"/>
      <c r="K1" s="1520" t="s">
        <v>444</v>
      </c>
      <c r="L1" s="314"/>
      <c r="M1" s="314"/>
      <c r="N1" s="314"/>
      <c r="O1" s="1520" t="s">
        <v>444</v>
      </c>
      <c r="P1" s="1520"/>
      <c r="Q1" s="1520"/>
      <c r="R1" s="314"/>
      <c r="S1" s="1520" t="s">
        <v>444</v>
      </c>
      <c r="T1" s="314"/>
      <c r="U1" s="1520" t="s">
        <v>444</v>
      </c>
    </row>
    <row r="2" spans="1:21" ht="33.75" customHeight="1" x14ac:dyDescent="0.2">
      <c r="A2" s="742"/>
      <c r="B2" s="743"/>
      <c r="C2" s="744"/>
      <c r="D2" s="1685" t="s">
        <v>1625</v>
      </c>
      <c r="E2" s="1686"/>
      <c r="F2" s="1686"/>
      <c r="G2" s="1686"/>
      <c r="H2" s="1685" t="s">
        <v>1625</v>
      </c>
      <c r="I2" s="1686"/>
      <c r="J2" s="1686"/>
      <c r="K2" s="1686"/>
      <c r="L2" s="1685" t="s">
        <v>1625</v>
      </c>
      <c r="M2" s="1685"/>
      <c r="N2" s="1685"/>
      <c r="O2" s="1685"/>
      <c r="P2" s="1687" t="s">
        <v>1625</v>
      </c>
      <c r="Q2" s="1688"/>
      <c r="R2" s="1688"/>
      <c r="S2" s="1689"/>
      <c r="T2" s="1687" t="s">
        <v>1625</v>
      </c>
      <c r="U2" s="1689"/>
    </row>
    <row r="3" spans="1:21" ht="39.75" customHeight="1" x14ac:dyDescent="0.2">
      <c r="A3" s="1678" t="s">
        <v>136</v>
      </c>
      <c r="B3" s="1679"/>
      <c r="C3" s="168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c r="T3" s="1554" t="s">
        <v>279</v>
      </c>
      <c r="U3" s="1554" t="s">
        <v>1512</v>
      </c>
    </row>
    <row r="4" spans="1:21" ht="118.5" customHeight="1" x14ac:dyDescent="0.2">
      <c r="A4" s="1683" t="s">
        <v>192</v>
      </c>
      <c r="B4" s="1681" t="s">
        <v>250</v>
      </c>
      <c r="C4" s="1681"/>
      <c r="D4" s="1557" t="s">
        <v>493</v>
      </c>
      <c r="E4" s="1557" t="s">
        <v>493</v>
      </c>
      <c r="F4" s="201" t="s">
        <v>597</v>
      </c>
      <c r="G4" s="201" t="s">
        <v>597</v>
      </c>
      <c r="H4" s="201" t="s">
        <v>597</v>
      </c>
      <c r="I4" s="201" t="s">
        <v>597</v>
      </c>
      <c r="J4" s="62" t="s">
        <v>598</v>
      </c>
      <c r="K4" s="62" t="s">
        <v>598</v>
      </c>
      <c r="L4" s="1549" t="s">
        <v>184</v>
      </c>
      <c r="M4" s="1549" t="s">
        <v>184</v>
      </c>
      <c r="N4" s="201" t="s">
        <v>597</v>
      </c>
      <c r="O4" s="201" t="s">
        <v>597</v>
      </c>
      <c r="P4" s="1549" t="s">
        <v>3506</v>
      </c>
      <c r="Q4" s="1549" t="s">
        <v>3506</v>
      </c>
      <c r="R4" s="201" t="s">
        <v>597</v>
      </c>
      <c r="S4" s="201" t="s">
        <v>597</v>
      </c>
      <c r="T4" s="1690" t="s">
        <v>138</v>
      </c>
      <c r="U4" s="1690" t="s">
        <v>138</v>
      </c>
    </row>
    <row r="5" spans="1:21" ht="26.25" customHeight="1" x14ac:dyDescent="0.2">
      <c r="A5" s="1683"/>
      <c r="B5" s="1681" t="s">
        <v>11</v>
      </c>
      <c r="C5" s="1681"/>
      <c r="D5" s="1557" t="s">
        <v>228</v>
      </c>
      <c r="E5" s="1557" t="s">
        <v>228</v>
      </c>
      <c r="F5" s="1557" t="s">
        <v>228</v>
      </c>
      <c r="G5" s="1557" t="s">
        <v>228</v>
      </c>
      <c r="H5" s="1557" t="s">
        <v>228</v>
      </c>
      <c r="I5" s="1557" t="s">
        <v>228</v>
      </c>
      <c r="J5" s="62" t="s">
        <v>229</v>
      </c>
      <c r="K5" s="62" t="s">
        <v>229</v>
      </c>
      <c r="L5" s="1557" t="s">
        <v>228</v>
      </c>
      <c r="M5" s="1557" t="s">
        <v>228</v>
      </c>
      <c r="N5" s="1557" t="s">
        <v>228</v>
      </c>
      <c r="O5" s="1557" t="s">
        <v>228</v>
      </c>
      <c r="P5" s="1557" t="s">
        <v>228</v>
      </c>
      <c r="Q5" s="1557" t="s">
        <v>228</v>
      </c>
      <c r="R5" s="1557" t="s">
        <v>228</v>
      </c>
      <c r="S5" s="1557" t="s">
        <v>228</v>
      </c>
      <c r="T5" s="1691"/>
      <c r="U5" s="1691"/>
    </row>
    <row r="6" spans="1:21" ht="20.25" customHeight="1" x14ac:dyDescent="0.2">
      <c r="A6" s="1683"/>
      <c r="B6" s="1634" t="s">
        <v>741</v>
      </c>
      <c r="C6" s="1634"/>
      <c r="D6" s="1682" t="s">
        <v>405</v>
      </c>
      <c r="E6" s="1682" t="s">
        <v>1622</v>
      </c>
      <c r="F6" s="1682" t="s">
        <v>596</v>
      </c>
      <c r="G6" s="1682" t="s">
        <v>1623</v>
      </c>
      <c r="H6" s="1682" t="s">
        <v>595</v>
      </c>
      <c r="I6" s="1682" t="s">
        <v>595</v>
      </c>
      <c r="J6" s="1682" t="s">
        <v>594</v>
      </c>
      <c r="K6" s="1682" t="s">
        <v>1624</v>
      </c>
      <c r="L6" s="1657" t="s">
        <v>614</v>
      </c>
      <c r="M6" s="1657" t="s">
        <v>614</v>
      </c>
      <c r="N6" s="1684" t="s">
        <v>2841</v>
      </c>
      <c r="O6" s="1684" t="s">
        <v>2841</v>
      </c>
      <c r="P6" s="1657" t="s">
        <v>3509</v>
      </c>
      <c r="Q6" s="1657" t="s">
        <v>3510</v>
      </c>
      <c r="R6" s="1682" t="s">
        <v>176</v>
      </c>
      <c r="S6" s="1682" t="s">
        <v>176</v>
      </c>
      <c r="T6" s="1691"/>
      <c r="U6" s="1691"/>
    </row>
    <row r="7" spans="1:21" ht="81.75" customHeight="1" x14ac:dyDescent="0.2">
      <c r="A7" s="1683"/>
      <c r="B7" s="1556" t="s">
        <v>193</v>
      </c>
      <c r="C7" s="202" t="s">
        <v>251</v>
      </c>
      <c r="D7" s="1682"/>
      <c r="E7" s="1682"/>
      <c r="F7" s="1682"/>
      <c r="G7" s="1682"/>
      <c r="H7" s="1682"/>
      <c r="I7" s="1682"/>
      <c r="J7" s="1682"/>
      <c r="K7" s="1682"/>
      <c r="L7" s="1657"/>
      <c r="M7" s="1657"/>
      <c r="N7" s="1684"/>
      <c r="O7" s="1684"/>
      <c r="P7" s="1657"/>
      <c r="Q7" s="1657"/>
      <c r="R7" s="1682"/>
      <c r="S7" s="1682"/>
      <c r="T7" s="1692"/>
      <c r="U7" s="1692"/>
    </row>
    <row r="8" spans="1:21" ht="15.75" x14ac:dyDescent="0.2">
      <c r="A8" s="200" t="s">
        <v>194</v>
      </c>
      <c r="B8" s="199" t="s">
        <v>195</v>
      </c>
      <c r="C8" s="199" t="s">
        <v>196</v>
      </c>
      <c r="D8" s="929" t="s">
        <v>197</v>
      </c>
      <c r="E8" s="929" t="s">
        <v>198</v>
      </c>
      <c r="F8" s="929" t="s">
        <v>199</v>
      </c>
      <c r="G8" s="929" t="s">
        <v>200</v>
      </c>
      <c r="H8" s="929" t="s">
        <v>201</v>
      </c>
      <c r="I8" s="929" t="s">
        <v>202</v>
      </c>
      <c r="J8" s="929" t="s">
        <v>203</v>
      </c>
      <c r="K8" s="929" t="s">
        <v>204</v>
      </c>
      <c r="L8" s="929" t="s">
        <v>231</v>
      </c>
      <c r="M8" s="929" t="s">
        <v>232</v>
      </c>
      <c r="N8" s="929" t="s">
        <v>233</v>
      </c>
      <c r="O8" s="929" t="s">
        <v>234</v>
      </c>
      <c r="P8" s="929" t="s">
        <v>235</v>
      </c>
      <c r="Q8" s="929" t="s">
        <v>236</v>
      </c>
      <c r="R8" s="929" t="s">
        <v>237</v>
      </c>
      <c r="S8" s="929" t="s">
        <v>238</v>
      </c>
      <c r="T8" s="929" t="s">
        <v>239</v>
      </c>
      <c r="U8" s="929" t="s">
        <v>266</v>
      </c>
    </row>
    <row r="9" spans="1:21" ht="21" customHeight="1" x14ac:dyDescent="0.2">
      <c r="A9" s="266" t="s">
        <v>194</v>
      </c>
      <c r="B9" s="267" t="s">
        <v>335</v>
      </c>
      <c r="C9" s="268" t="s">
        <v>205</v>
      </c>
      <c r="D9" s="269"/>
      <c r="E9" s="269"/>
      <c r="F9" s="269">
        <v>11148000</v>
      </c>
      <c r="G9" s="269">
        <f>11148000-275000+275000-250000+250000-684786+400000+250000+375000+400000-250000+250000+1278239+250000+1858286-250000+250000+1896000+250000+1896000+250000+1896000+1525000+250000+1896000+850000+1896000+550000</f>
        <v>28429739</v>
      </c>
      <c r="H9" s="269">
        <v>53608768</v>
      </c>
      <c r="I9" s="269">
        <f>53608768+7824000+700000-1528239-1858286-2146000-2146000-6071000+2400000-374949+374949-3240941+494941-2461613-7824000</f>
        <v>37751630</v>
      </c>
      <c r="J9" s="269"/>
      <c r="K9" s="269"/>
      <c r="L9" s="269"/>
      <c r="M9" s="269"/>
      <c r="N9" s="269"/>
      <c r="O9" s="269"/>
      <c r="P9" s="269"/>
      <c r="Q9" s="269">
        <v>7824000</v>
      </c>
      <c r="R9" s="269"/>
      <c r="S9" s="269"/>
      <c r="T9" s="269">
        <f>D9+F9+H9+J9+L9+R9+N9</f>
        <v>64756768</v>
      </c>
      <c r="U9" s="269">
        <f>E9+G9+I9+K9+M9+S9+O9+Q9</f>
        <v>74005369</v>
      </c>
    </row>
    <row r="10" spans="1:21" ht="21" customHeight="1" x14ac:dyDescent="0.2">
      <c r="A10" s="266" t="s">
        <v>195</v>
      </c>
      <c r="B10" s="270" t="s">
        <v>206</v>
      </c>
      <c r="C10" s="268" t="s">
        <v>207</v>
      </c>
      <c r="D10" s="269"/>
      <c r="E10" s="269"/>
      <c r="F10" s="269">
        <v>1589520</v>
      </c>
      <c r="G10" s="269">
        <f>1589520+48750+52000+197175+246480+493480+246480+269360</f>
        <v>3143245</v>
      </c>
      <c r="H10" s="269">
        <f>7370840+220000</f>
        <v>7590840</v>
      </c>
      <c r="I10" s="269">
        <f>7370840+220000+1017120+91000-197175-246480-493480-246480-269360-1017120</f>
        <v>6228865</v>
      </c>
      <c r="J10" s="269"/>
      <c r="K10" s="269"/>
      <c r="L10" s="269"/>
      <c r="M10" s="269"/>
      <c r="N10" s="269"/>
      <c r="O10" s="269"/>
      <c r="P10" s="269"/>
      <c r="Q10" s="269">
        <v>1017120</v>
      </c>
      <c r="R10" s="269"/>
      <c r="S10" s="269"/>
      <c r="T10" s="269">
        <f t="shared" ref="T10:T51" si="0">D10+F10+H10+J10+L10+R10+N10</f>
        <v>9180360</v>
      </c>
      <c r="U10" s="269">
        <f>E10+G10+I10+K10+M10+S10+O10+Q10</f>
        <v>10389230</v>
      </c>
    </row>
    <row r="11" spans="1:21" ht="21" customHeight="1" x14ac:dyDescent="0.2">
      <c r="A11" s="266" t="s">
        <v>196</v>
      </c>
      <c r="B11" s="270" t="s">
        <v>336</v>
      </c>
      <c r="C11" s="268" t="s">
        <v>208</v>
      </c>
      <c r="D11" s="269">
        <v>144500</v>
      </c>
      <c r="E11" s="269">
        <f>144500-144500</f>
        <v>0</v>
      </c>
      <c r="F11" s="269">
        <f>+(44297710+2190750)+291430+122674</f>
        <v>46902564</v>
      </c>
      <c r="G11" s="269">
        <f>+(44297710+2190750)+291430+122674+34786-9098+9098-200000+200000+241826+60000+16200+1-300000+300000-500000+500000-200000+200000+4+510000+137700-510000-137700+427500+15613-100000+100000-1098337</f>
        <v>46600157</v>
      </c>
      <c r="H11" s="269">
        <f>+(18908950)+11430+221190</f>
        <v>19141570</v>
      </c>
      <c r="I11" s="269">
        <f>+(18908950)+11430+221190+142161+2339-30000+30000+370000+99900+604000+163080-300000+300000+170047+1000000+270000-400000+400000+428120+1181102+318898+407854+110120-407626</f>
        <v>24001565</v>
      </c>
      <c r="J11" s="269">
        <v>469900</v>
      </c>
      <c r="K11" s="269">
        <v>469900</v>
      </c>
      <c r="L11" s="269"/>
      <c r="M11" s="269"/>
      <c r="N11" s="269"/>
      <c r="O11" s="269">
        <f>275591+74409-1+1</f>
        <v>350000</v>
      </c>
      <c r="P11" s="269"/>
      <c r="Q11" s="269"/>
      <c r="R11" s="269">
        <v>635000</v>
      </c>
      <c r="S11" s="269">
        <f>635000-481793-130452</f>
        <v>22755</v>
      </c>
      <c r="T11" s="269">
        <f t="shared" si="0"/>
        <v>67293534</v>
      </c>
      <c r="U11" s="269">
        <f t="shared" ref="U11:U51" si="1">E11+G11+I11+K11+M11+S11+O11</f>
        <v>71444377</v>
      </c>
    </row>
    <row r="12" spans="1:21" ht="21" customHeight="1" x14ac:dyDescent="0.2">
      <c r="A12" s="188" t="s">
        <v>197</v>
      </c>
      <c r="B12" s="195" t="s">
        <v>337</v>
      </c>
      <c r="C12" s="190" t="s">
        <v>209</v>
      </c>
      <c r="D12" s="186"/>
      <c r="E12" s="186"/>
      <c r="F12" s="186"/>
      <c r="G12" s="186"/>
      <c r="H12" s="186"/>
      <c r="I12" s="186"/>
      <c r="J12" s="186"/>
      <c r="K12" s="186"/>
      <c r="L12" s="186"/>
      <c r="M12" s="186"/>
      <c r="N12" s="186"/>
      <c r="O12" s="186"/>
      <c r="P12" s="186"/>
      <c r="Q12" s="186"/>
      <c r="R12" s="186"/>
      <c r="S12" s="186"/>
      <c r="T12" s="269">
        <f t="shared" si="0"/>
        <v>0</v>
      </c>
      <c r="U12" s="269">
        <f t="shared" si="1"/>
        <v>0</v>
      </c>
    </row>
    <row r="13" spans="1:21" ht="21" customHeight="1" x14ac:dyDescent="0.2">
      <c r="A13" s="188" t="s">
        <v>198</v>
      </c>
      <c r="B13" s="195" t="s">
        <v>240</v>
      </c>
      <c r="C13" s="190" t="s">
        <v>210</v>
      </c>
      <c r="D13" s="186">
        <f t="shared" ref="D13:S13" si="2">SUM(D14:D16)</f>
        <v>0</v>
      </c>
      <c r="E13" s="186">
        <f t="shared" si="2"/>
        <v>11154291</v>
      </c>
      <c r="F13" s="186">
        <f t="shared" si="2"/>
        <v>0</v>
      </c>
      <c r="G13" s="186">
        <f t="shared" si="2"/>
        <v>0</v>
      </c>
      <c r="H13" s="186">
        <f t="shared" si="2"/>
        <v>0</v>
      </c>
      <c r="I13" s="186">
        <f t="shared" si="2"/>
        <v>0</v>
      </c>
      <c r="J13" s="186">
        <f t="shared" si="2"/>
        <v>0</v>
      </c>
      <c r="K13" s="186">
        <f t="shared" si="2"/>
        <v>0</v>
      </c>
      <c r="L13" s="186">
        <f t="shared" si="2"/>
        <v>0</v>
      </c>
      <c r="M13" s="186">
        <f t="shared" si="2"/>
        <v>0</v>
      </c>
      <c r="N13" s="186">
        <f t="shared" si="2"/>
        <v>0</v>
      </c>
      <c r="O13" s="186">
        <f>SUM(O14:O16)</f>
        <v>0</v>
      </c>
      <c r="P13" s="186">
        <f>SUM(P14:P16)</f>
        <v>0</v>
      </c>
      <c r="Q13" s="186">
        <f>SUM(Q14:Q16)</f>
        <v>0</v>
      </c>
      <c r="R13" s="186">
        <f t="shared" si="2"/>
        <v>0</v>
      </c>
      <c r="S13" s="186">
        <f t="shared" si="2"/>
        <v>0</v>
      </c>
      <c r="T13" s="269">
        <f t="shared" si="0"/>
        <v>0</v>
      </c>
      <c r="U13" s="269">
        <f t="shared" si="1"/>
        <v>11154291</v>
      </c>
    </row>
    <row r="14" spans="1:21" ht="21" customHeight="1" x14ac:dyDescent="0.2">
      <c r="A14" s="188" t="s">
        <v>199</v>
      </c>
      <c r="B14" s="197" t="s">
        <v>125</v>
      </c>
      <c r="C14" s="190"/>
      <c r="D14" s="186"/>
      <c r="E14" s="186"/>
      <c r="F14" s="186"/>
      <c r="G14" s="186"/>
      <c r="H14" s="186"/>
      <c r="I14" s="186"/>
      <c r="J14" s="186"/>
      <c r="K14" s="186"/>
      <c r="L14" s="186"/>
      <c r="M14" s="186"/>
      <c r="N14" s="186"/>
      <c r="O14" s="186"/>
      <c r="P14" s="186"/>
      <c r="Q14" s="186"/>
      <c r="R14" s="186"/>
      <c r="S14" s="186"/>
      <c r="T14" s="269">
        <f t="shared" si="0"/>
        <v>0</v>
      </c>
      <c r="U14" s="269">
        <f t="shared" si="1"/>
        <v>0</v>
      </c>
    </row>
    <row r="15" spans="1:21" ht="21" customHeight="1" x14ac:dyDescent="0.2">
      <c r="A15" s="188" t="s">
        <v>200</v>
      </c>
      <c r="B15" s="197" t="s">
        <v>115</v>
      </c>
      <c r="C15" s="192"/>
      <c r="D15" s="186"/>
      <c r="E15" s="186"/>
      <c r="F15" s="186"/>
      <c r="G15" s="186"/>
      <c r="H15" s="186"/>
      <c r="I15" s="186"/>
      <c r="J15" s="186"/>
      <c r="K15" s="186"/>
      <c r="L15" s="186"/>
      <c r="M15" s="186"/>
      <c r="N15" s="186"/>
      <c r="O15" s="186"/>
      <c r="P15" s="186"/>
      <c r="Q15" s="186"/>
      <c r="R15" s="186"/>
      <c r="S15" s="186"/>
      <c r="T15" s="269">
        <f t="shared" si="0"/>
        <v>0</v>
      </c>
      <c r="U15" s="269">
        <f t="shared" si="1"/>
        <v>0</v>
      </c>
    </row>
    <row r="16" spans="1:21" ht="21" customHeight="1" x14ac:dyDescent="0.2">
      <c r="A16" s="188" t="s">
        <v>201</v>
      </c>
      <c r="B16" s="92" t="s">
        <v>565</v>
      </c>
      <c r="C16" s="192"/>
      <c r="D16" s="186"/>
      <c r="E16" s="186">
        <v>11154291</v>
      </c>
      <c r="F16" s="186"/>
      <c r="G16" s="186"/>
      <c r="H16" s="186"/>
      <c r="I16" s="186"/>
      <c r="J16" s="186"/>
      <c r="K16" s="186"/>
      <c r="L16" s="186"/>
      <c r="M16" s="186"/>
      <c r="N16" s="186"/>
      <c r="O16" s="186"/>
      <c r="P16" s="186"/>
      <c r="Q16" s="186"/>
      <c r="R16" s="186"/>
      <c r="S16" s="186"/>
      <c r="T16" s="269">
        <f t="shared" si="0"/>
        <v>0</v>
      </c>
      <c r="U16" s="269">
        <f t="shared" si="1"/>
        <v>11154291</v>
      </c>
    </row>
    <row r="17" spans="1:21" ht="21" customHeight="1" x14ac:dyDescent="0.2">
      <c r="A17" s="188" t="s">
        <v>202</v>
      </c>
      <c r="B17" s="194" t="s">
        <v>247</v>
      </c>
      <c r="C17" s="190" t="s">
        <v>211</v>
      </c>
      <c r="D17" s="186"/>
      <c r="E17" s="186"/>
      <c r="F17" s="186">
        <f>+'6.sz. Beruházások'!E176</f>
        <v>1130300</v>
      </c>
      <c r="G17" s="186">
        <f>1130300+360000+97200-50744+50744+510000+137700-27893+27893-71048+71048</f>
        <v>2235200</v>
      </c>
      <c r="H17" s="269">
        <f>+'6.sz. Beruházások'!E177</f>
        <v>5148517</v>
      </c>
      <c r="I17" s="269">
        <f>5148517-200000+200000-19685+19685</f>
        <v>5148517</v>
      </c>
      <c r="J17" s="186">
        <f>+'6.sz. Beruházások'!E178</f>
        <v>127000</v>
      </c>
      <c r="K17" s="186">
        <v>127000</v>
      </c>
      <c r="L17" s="186"/>
      <c r="M17" s="186"/>
      <c r="N17" s="186"/>
      <c r="O17" s="186"/>
      <c r="P17" s="186"/>
      <c r="Q17" s="186"/>
      <c r="R17" s="186"/>
      <c r="S17" s="186"/>
      <c r="T17" s="269">
        <f t="shared" si="0"/>
        <v>6405817</v>
      </c>
      <c r="U17" s="269">
        <f t="shared" si="1"/>
        <v>7510717</v>
      </c>
    </row>
    <row r="18" spans="1:21" ht="21" customHeight="1" x14ac:dyDescent="0.2">
      <c r="A18" s="188" t="s">
        <v>203</v>
      </c>
      <c r="B18" s="195" t="s">
        <v>338</v>
      </c>
      <c r="C18" s="190" t="s">
        <v>212</v>
      </c>
      <c r="D18" s="186"/>
      <c r="E18" s="186"/>
      <c r="F18" s="186"/>
      <c r="G18" s="186"/>
      <c r="H18" s="186"/>
      <c r="I18" s="186"/>
      <c r="J18" s="186"/>
      <c r="K18" s="186"/>
      <c r="L18" s="186"/>
      <c r="M18" s="186"/>
      <c r="N18" s="186"/>
      <c r="O18" s="186"/>
      <c r="P18" s="186"/>
      <c r="Q18" s="186"/>
      <c r="R18" s="186"/>
      <c r="S18" s="186"/>
      <c r="T18" s="269">
        <f t="shared" si="0"/>
        <v>0</v>
      </c>
      <c r="U18" s="269">
        <f t="shared" si="1"/>
        <v>0</v>
      </c>
    </row>
    <row r="19" spans="1:21" ht="21" customHeight="1" x14ac:dyDescent="0.2">
      <c r="A19" s="188" t="s">
        <v>204</v>
      </c>
      <c r="B19" s="195" t="s">
        <v>241</v>
      </c>
      <c r="C19" s="190" t="s">
        <v>213</v>
      </c>
      <c r="D19" s="186"/>
      <c r="E19" s="186"/>
      <c r="F19" s="186"/>
      <c r="G19" s="186"/>
      <c r="H19" s="186"/>
      <c r="I19" s="186"/>
      <c r="J19" s="186"/>
      <c r="K19" s="186"/>
      <c r="L19" s="186"/>
      <c r="M19" s="186"/>
      <c r="N19" s="186"/>
      <c r="O19" s="186"/>
      <c r="P19" s="186"/>
      <c r="Q19" s="186"/>
      <c r="R19" s="186"/>
      <c r="S19" s="186"/>
      <c r="T19" s="269">
        <f t="shared" si="0"/>
        <v>0</v>
      </c>
      <c r="U19" s="269">
        <f t="shared" si="1"/>
        <v>0</v>
      </c>
    </row>
    <row r="20" spans="1:21" ht="21" customHeight="1" x14ac:dyDescent="0.2">
      <c r="A20" s="188" t="s">
        <v>231</v>
      </c>
      <c r="B20" s="197" t="s">
        <v>124</v>
      </c>
      <c r="C20" s="190"/>
      <c r="D20" s="186"/>
      <c r="E20" s="186"/>
      <c r="F20" s="186"/>
      <c r="G20" s="186"/>
      <c r="H20" s="186"/>
      <c r="I20" s="186"/>
      <c r="J20" s="186"/>
      <c r="K20" s="186"/>
      <c r="L20" s="186"/>
      <c r="M20" s="186"/>
      <c r="N20" s="186"/>
      <c r="O20" s="186"/>
      <c r="P20" s="186"/>
      <c r="Q20" s="186"/>
      <c r="R20" s="186"/>
      <c r="S20" s="186"/>
      <c r="T20" s="269">
        <f t="shared" si="0"/>
        <v>0</v>
      </c>
      <c r="U20" s="269">
        <f t="shared" si="1"/>
        <v>0</v>
      </c>
    </row>
    <row r="21" spans="1:21" ht="21" customHeight="1" x14ac:dyDescent="0.2">
      <c r="A21" s="188" t="s">
        <v>232</v>
      </c>
      <c r="B21" s="194" t="s">
        <v>242</v>
      </c>
      <c r="C21" s="190" t="s">
        <v>214</v>
      </c>
      <c r="D21" s="189">
        <f>+D9+D10+D11+D12+D13+D17+D18+D19</f>
        <v>144500</v>
      </c>
      <c r="E21" s="189">
        <f t="shared" ref="E21:S21" si="3">+E9+E10+E11+E12+E13+E17+E18+E19</f>
        <v>11154291</v>
      </c>
      <c r="F21" s="189">
        <f t="shared" si="3"/>
        <v>60770384</v>
      </c>
      <c r="G21" s="189">
        <f t="shared" si="3"/>
        <v>80408341</v>
      </c>
      <c r="H21" s="189">
        <f t="shared" si="3"/>
        <v>85489695</v>
      </c>
      <c r="I21" s="189">
        <f t="shared" si="3"/>
        <v>73130577</v>
      </c>
      <c r="J21" s="189">
        <f t="shared" si="3"/>
        <v>596900</v>
      </c>
      <c r="K21" s="189">
        <f t="shared" si="3"/>
        <v>596900</v>
      </c>
      <c r="L21" s="189">
        <f t="shared" si="3"/>
        <v>0</v>
      </c>
      <c r="M21" s="189">
        <f t="shared" si="3"/>
        <v>0</v>
      </c>
      <c r="N21" s="189">
        <f>+N9+N10+N11+N12+N13+N17+N18+N19</f>
        <v>0</v>
      </c>
      <c r="O21" s="189">
        <f>+O9+O10+O11+O12+O13+O17+O18+O19</f>
        <v>350000</v>
      </c>
      <c r="P21" s="189">
        <f>+P9+P10+P11+P12+P13+P17+P18+P19</f>
        <v>0</v>
      </c>
      <c r="Q21" s="189">
        <f>+Q9+Q10+Q11+Q12+Q13+Q17+Q18+Q19</f>
        <v>8841120</v>
      </c>
      <c r="R21" s="189">
        <f t="shared" si="3"/>
        <v>635000</v>
      </c>
      <c r="S21" s="189">
        <f t="shared" si="3"/>
        <v>22755</v>
      </c>
      <c r="T21" s="338">
        <f t="shared" si="0"/>
        <v>147636479</v>
      </c>
      <c r="U21" s="338">
        <f>E21+G21+I21+K21+M21+S21+O21+Q21</f>
        <v>174503984</v>
      </c>
    </row>
    <row r="22" spans="1:21" ht="21" customHeight="1" x14ac:dyDescent="0.2">
      <c r="A22" s="188" t="s">
        <v>233</v>
      </c>
      <c r="B22" s="194" t="s">
        <v>227</v>
      </c>
      <c r="C22" s="190" t="s">
        <v>223</v>
      </c>
      <c r="D22" s="189">
        <f>SUM(D23:D26)</f>
        <v>0</v>
      </c>
      <c r="E22" s="189">
        <f t="shared" ref="E22:S22" si="4">SUM(E23:E26)</f>
        <v>0</v>
      </c>
      <c r="F22" s="189">
        <f t="shared" si="4"/>
        <v>0</v>
      </c>
      <c r="G22" s="189">
        <f t="shared" si="4"/>
        <v>0</v>
      </c>
      <c r="H22" s="189">
        <f t="shared" si="4"/>
        <v>0</v>
      </c>
      <c r="I22" s="189">
        <f t="shared" si="4"/>
        <v>0</v>
      </c>
      <c r="J22" s="189">
        <f t="shared" si="4"/>
        <v>0</v>
      </c>
      <c r="K22" s="189">
        <f t="shared" si="4"/>
        <v>0</v>
      </c>
      <c r="L22" s="189">
        <f t="shared" si="4"/>
        <v>0</v>
      </c>
      <c r="M22" s="189">
        <f t="shared" si="4"/>
        <v>0</v>
      </c>
      <c r="N22" s="189">
        <f>SUM(N23:N26)</f>
        <v>0</v>
      </c>
      <c r="O22" s="189">
        <f>SUM(O23:O26)</f>
        <v>0</v>
      </c>
      <c r="P22" s="189">
        <f>SUM(P23:P26)</f>
        <v>0</v>
      </c>
      <c r="Q22" s="189">
        <f>SUM(Q23:Q26)</f>
        <v>0</v>
      </c>
      <c r="R22" s="189">
        <f t="shared" si="4"/>
        <v>0</v>
      </c>
      <c r="S22" s="189">
        <f t="shared" si="4"/>
        <v>0</v>
      </c>
      <c r="T22" s="338">
        <f t="shared" si="0"/>
        <v>0</v>
      </c>
      <c r="U22" s="338">
        <f t="shared" si="1"/>
        <v>0</v>
      </c>
    </row>
    <row r="23" spans="1:21" ht="21" customHeight="1" x14ac:dyDescent="0.2">
      <c r="A23" s="188" t="s">
        <v>234</v>
      </c>
      <c r="B23" s="94" t="s">
        <v>182</v>
      </c>
      <c r="C23" s="192"/>
      <c r="D23" s="186"/>
      <c r="E23" s="186"/>
      <c r="F23" s="186"/>
      <c r="G23" s="186"/>
      <c r="H23" s="186"/>
      <c r="I23" s="186"/>
      <c r="J23" s="186"/>
      <c r="K23" s="186"/>
      <c r="L23" s="186"/>
      <c r="M23" s="186"/>
      <c r="N23" s="186"/>
      <c r="O23" s="186"/>
      <c r="P23" s="186"/>
      <c r="Q23" s="186"/>
      <c r="R23" s="186"/>
      <c r="S23" s="186"/>
      <c r="T23" s="269">
        <f t="shared" si="0"/>
        <v>0</v>
      </c>
      <c r="U23" s="269">
        <f t="shared" si="1"/>
        <v>0</v>
      </c>
    </row>
    <row r="24" spans="1:21" ht="21" customHeight="1" x14ac:dyDescent="0.2">
      <c r="A24" s="188" t="s">
        <v>235</v>
      </c>
      <c r="B24" s="193" t="s">
        <v>569</v>
      </c>
      <c r="C24" s="192"/>
      <c r="D24" s="186"/>
      <c r="E24" s="186"/>
      <c r="F24" s="186"/>
      <c r="G24" s="186"/>
      <c r="H24" s="186"/>
      <c r="I24" s="186"/>
      <c r="J24" s="186"/>
      <c r="K24" s="186"/>
      <c r="L24" s="186"/>
      <c r="M24" s="186"/>
      <c r="N24" s="186"/>
      <c r="O24" s="186"/>
      <c r="P24" s="186"/>
      <c r="Q24" s="186"/>
      <c r="R24" s="186"/>
      <c r="S24" s="186"/>
      <c r="T24" s="269">
        <f t="shared" si="0"/>
        <v>0</v>
      </c>
      <c r="U24" s="269">
        <f t="shared" si="1"/>
        <v>0</v>
      </c>
    </row>
    <row r="25" spans="1:21" ht="21" customHeight="1" x14ac:dyDescent="0.2">
      <c r="A25" s="188" t="s">
        <v>236</v>
      </c>
      <c r="B25" s="193" t="s">
        <v>570</v>
      </c>
      <c r="C25" s="192"/>
      <c r="D25" s="186"/>
      <c r="E25" s="186"/>
      <c r="F25" s="186"/>
      <c r="G25" s="186"/>
      <c r="H25" s="186"/>
      <c r="I25" s="186"/>
      <c r="J25" s="186"/>
      <c r="K25" s="186"/>
      <c r="L25" s="186"/>
      <c r="M25" s="186"/>
      <c r="N25" s="186"/>
      <c r="O25" s="186"/>
      <c r="P25" s="186"/>
      <c r="Q25" s="186"/>
      <c r="R25" s="186"/>
      <c r="S25" s="186"/>
      <c r="T25" s="269">
        <f t="shared" si="0"/>
        <v>0</v>
      </c>
      <c r="U25" s="269">
        <f t="shared" si="1"/>
        <v>0</v>
      </c>
    </row>
    <row r="26" spans="1:21" ht="21" customHeight="1" x14ac:dyDescent="0.2">
      <c r="A26" s="188" t="s">
        <v>237</v>
      </c>
      <c r="B26" s="193" t="s">
        <v>126</v>
      </c>
      <c r="C26" s="192"/>
      <c r="D26" s="186"/>
      <c r="E26" s="186"/>
      <c r="F26" s="186"/>
      <c r="G26" s="186"/>
      <c r="H26" s="186"/>
      <c r="I26" s="186"/>
      <c r="J26" s="186"/>
      <c r="K26" s="186"/>
      <c r="L26" s="186"/>
      <c r="M26" s="186"/>
      <c r="N26" s="186"/>
      <c r="O26" s="186"/>
      <c r="P26" s="186"/>
      <c r="Q26" s="186"/>
      <c r="R26" s="186"/>
      <c r="S26" s="186"/>
      <c r="T26" s="269">
        <f t="shared" si="0"/>
        <v>0</v>
      </c>
      <c r="U26" s="269">
        <f t="shared" si="1"/>
        <v>0</v>
      </c>
    </row>
    <row r="27" spans="1:21" ht="21" customHeight="1" x14ac:dyDescent="0.2">
      <c r="A27" s="188" t="s">
        <v>238</v>
      </c>
      <c r="B27" s="236" t="s">
        <v>847</v>
      </c>
      <c r="C27" s="192"/>
      <c r="D27" s="186"/>
      <c r="E27" s="186"/>
      <c r="F27" s="186"/>
      <c r="G27" s="186"/>
      <c r="H27" s="186"/>
      <c r="I27" s="186"/>
      <c r="J27" s="186"/>
      <c r="K27" s="186"/>
      <c r="L27" s="186"/>
      <c r="M27" s="186"/>
      <c r="N27" s="186"/>
      <c r="O27" s="186"/>
      <c r="P27" s="186"/>
      <c r="Q27" s="186"/>
      <c r="R27" s="186"/>
      <c r="S27" s="186"/>
      <c r="T27" s="269">
        <f t="shared" si="0"/>
        <v>0</v>
      </c>
      <c r="U27" s="269">
        <f t="shared" si="1"/>
        <v>0</v>
      </c>
    </row>
    <row r="28" spans="1:21" ht="21" customHeight="1" x14ac:dyDescent="0.2">
      <c r="A28" s="188" t="s">
        <v>239</v>
      </c>
      <c r="B28" s="191" t="s">
        <v>32</v>
      </c>
      <c r="C28" s="190"/>
      <c r="D28" s="189">
        <f>+D9+D10+D11+D12+D13+D23+D24</f>
        <v>144500</v>
      </c>
      <c r="E28" s="189">
        <f t="shared" ref="E28:S28" si="5">+E9+E10+E11+E12+E13+E23+E24</f>
        <v>11154291</v>
      </c>
      <c r="F28" s="189">
        <f t="shared" si="5"/>
        <v>59640084</v>
      </c>
      <c r="G28" s="189">
        <f t="shared" si="5"/>
        <v>78173141</v>
      </c>
      <c r="H28" s="189">
        <f t="shared" si="5"/>
        <v>80341178</v>
      </c>
      <c r="I28" s="189">
        <f t="shared" si="5"/>
        <v>67982060</v>
      </c>
      <c r="J28" s="189">
        <f t="shared" si="5"/>
        <v>469900</v>
      </c>
      <c r="K28" s="189">
        <f t="shared" si="5"/>
        <v>469900</v>
      </c>
      <c r="L28" s="189">
        <f t="shared" si="5"/>
        <v>0</v>
      </c>
      <c r="M28" s="189">
        <f t="shared" si="5"/>
        <v>0</v>
      </c>
      <c r="N28" s="189">
        <f>+N9+N10+N11+N12+N13+N23+N24</f>
        <v>0</v>
      </c>
      <c r="O28" s="189">
        <f>+O9+O10+O11+O12+O13+O23+O24</f>
        <v>350000</v>
      </c>
      <c r="P28" s="189">
        <f>+P9+P10+P11+P12+P13+P23+P24</f>
        <v>0</v>
      </c>
      <c r="Q28" s="189">
        <f>+Q9+Q10+Q11+Q12+Q13+Q23+Q24</f>
        <v>8841120</v>
      </c>
      <c r="R28" s="189">
        <f t="shared" si="5"/>
        <v>635000</v>
      </c>
      <c r="S28" s="189">
        <f t="shared" si="5"/>
        <v>22755</v>
      </c>
      <c r="T28" s="338">
        <f t="shared" si="0"/>
        <v>141230662</v>
      </c>
      <c r="U28" s="338">
        <f>E28+G28+I28+K28+M28+S28+O28+Q28</f>
        <v>166993267</v>
      </c>
    </row>
    <row r="29" spans="1:21" ht="21" customHeight="1" x14ac:dyDescent="0.2">
      <c r="A29" s="188" t="s">
        <v>266</v>
      </c>
      <c r="B29" s="191" t="s">
        <v>33</v>
      </c>
      <c r="C29" s="190"/>
      <c r="D29" s="189">
        <f>+D17+D18+D19+D25+D26</f>
        <v>0</v>
      </c>
      <c r="E29" s="189">
        <f t="shared" ref="E29:S29" si="6">+E17+E18+E19+E25+E26</f>
        <v>0</v>
      </c>
      <c r="F29" s="189">
        <f t="shared" si="6"/>
        <v>1130300</v>
      </c>
      <c r="G29" s="189">
        <f t="shared" si="6"/>
        <v>2235200</v>
      </c>
      <c r="H29" s="189">
        <f t="shared" si="6"/>
        <v>5148517</v>
      </c>
      <c r="I29" s="189">
        <f t="shared" si="6"/>
        <v>5148517</v>
      </c>
      <c r="J29" s="189">
        <f t="shared" si="6"/>
        <v>127000</v>
      </c>
      <c r="K29" s="189">
        <f t="shared" si="6"/>
        <v>127000</v>
      </c>
      <c r="L29" s="189">
        <f t="shared" si="6"/>
        <v>0</v>
      </c>
      <c r="M29" s="189">
        <f t="shared" si="6"/>
        <v>0</v>
      </c>
      <c r="N29" s="189">
        <f>+N17+N18+N19+N25+N26</f>
        <v>0</v>
      </c>
      <c r="O29" s="189">
        <f>+O17+O18+O19+O25+O26</f>
        <v>0</v>
      </c>
      <c r="P29" s="189">
        <f>+P17+P18+P19+P25+P26</f>
        <v>0</v>
      </c>
      <c r="Q29" s="189">
        <f>+Q17+Q18+Q19+Q25+Q26</f>
        <v>0</v>
      </c>
      <c r="R29" s="189">
        <f t="shared" si="6"/>
        <v>0</v>
      </c>
      <c r="S29" s="189">
        <f t="shared" si="6"/>
        <v>0</v>
      </c>
      <c r="T29" s="338">
        <f t="shared" si="0"/>
        <v>6405817</v>
      </c>
      <c r="U29" s="338">
        <f>E29+G29+I29+K29+M29+S29+O29</f>
        <v>7510717</v>
      </c>
    </row>
    <row r="30" spans="1:21" ht="21" customHeight="1" x14ac:dyDescent="0.2">
      <c r="A30" s="188" t="s">
        <v>267</v>
      </c>
      <c r="B30" s="191" t="s">
        <v>333</v>
      </c>
      <c r="C30" s="190" t="s">
        <v>31</v>
      </c>
      <c r="D30" s="189">
        <f>SUM(D28:D29)</f>
        <v>144500</v>
      </c>
      <c r="E30" s="189">
        <f t="shared" ref="E30:S30" si="7">SUM(E28:E29)</f>
        <v>11154291</v>
      </c>
      <c r="F30" s="189">
        <f t="shared" si="7"/>
        <v>60770384</v>
      </c>
      <c r="G30" s="189">
        <f t="shared" si="7"/>
        <v>80408341</v>
      </c>
      <c r="H30" s="189">
        <f t="shared" si="7"/>
        <v>85489695</v>
      </c>
      <c r="I30" s="189">
        <f t="shared" si="7"/>
        <v>73130577</v>
      </c>
      <c r="J30" s="189">
        <f t="shared" si="7"/>
        <v>596900</v>
      </c>
      <c r="K30" s="189">
        <f t="shared" si="7"/>
        <v>596900</v>
      </c>
      <c r="L30" s="189">
        <f t="shared" si="7"/>
        <v>0</v>
      </c>
      <c r="M30" s="189">
        <f t="shared" si="7"/>
        <v>0</v>
      </c>
      <c r="N30" s="189">
        <f>SUM(N28:N29)</f>
        <v>0</v>
      </c>
      <c r="O30" s="189">
        <f>SUM(O28:O29)</f>
        <v>350000</v>
      </c>
      <c r="P30" s="189">
        <f>SUM(P28:P29)</f>
        <v>0</v>
      </c>
      <c r="Q30" s="189">
        <f>SUM(Q28:Q29)</f>
        <v>8841120</v>
      </c>
      <c r="R30" s="189">
        <f t="shared" si="7"/>
        <v>635000</v>
      </c>
      <c r="S30" s="189">
        <f t="shared" si="7"/>
        <v>22755</v>
      </c>
      <c r="T30" s="338">
        <f t="shared" si="0"/>
        <v>147636479</v>
      </c>
      <c r="U30" s="338">
        <f>E30+G30+I30+K30+M30+S30+O30+Q30</f>
        <v>174503984</v>
      </c>
    </row>
    <row r="31" spans="1:21" ht="21" customHeight="1" x14ac:dyDescent="0.2">
      <c r="A31" s="188" t="s">
        <v>268</v>
      </c>
      <c r="B31" s="196" t="s">
        <v>52</v>
      </c>
      <c r="C31" s="194" t="s">
        <v>215</v>
      </c>
      <c r="D31" s="186"/>
      <c r="E31" s="186"/>
      <c r="F31" s="186"/>
      <c r="G31" s="186"/>
      <c r="H31" s="186"/>
      <c r="I31" s="186"/>
      <c r="J31" s="186"/>
      <c r="K31" s="186"/>
      <c r="L31" s="186"/>
      <c r="M31" s="186"/>
      <c r="N31" s="186"/>
      <c r="O31" s="186">
        <v>350000</v>
      </c>
      <c r="P31" s="186"/>
      <c r="Q31" s="186"/>
      <c r="R31" s="186"/>
      <c r="S31" s="186"/>
      <c r="T31" s="269">
        <f t="shared" si="0"/>
        <v>0</v>
      </c>
      <c r="U31" s="269">
        <f t="shared" si="1"/>
        <v>350000</v>
      </c>
    </row>
    <row r="32" spans="1:21" ht="21" customHeight="1" x14ac:dyDescent="0.2">
      <c r="A32" s="188" t="s">
        <v>269</v>
      </c>
      <c r="B32" s="196" t="s">
        <v>226</v>
      </c>
      <c r="C32" s="194" t="s">
        <v>216</v>
      </c>
      <c r="D32" s="186"/>
      <c r="E32" s="186"/>
      <c r="F32" s="186"/>
      <c r="G32" s="186"/>
      <c r="H32" s="186"/>
      <c r="I32" s="186"/>
      <c r="J32" s="186"/>
      <c r="K32" s="186"/>
      <c r="L32" s="186"/>
      <c r="M32" s="186"/>
      <c r="N32" s="186"/>
      <c r="O32" s="186"/>
      <c r="P32" s="186"/>
      <c r="Q32" s="186"/>
      <c r="R32" s="186"/>
      <c r="S32" s="186"/>
      <c r="T32" s="269">
        <f t="shared" si="0"/>
        <v>0</v>
      </c>
      <c r="U32" s="269">
        <f t="shared" si="1"/>
        <v>0</v>
      </c>
    </row>
    <row r="33" spans="1:21" ht="21" customHeight="1" x14ac:dyDescent="0.2">
      <c r="A33" s="188" t="s">
        <v>270</v>
      </c>
      <c r="B33" s="196" t="s">
        <v>225</v>
      </c>
      <c r="C33" s="194" t="s">
        <v>217</v>
      </c>
      <c r="D33" s="186"/>
      <c r="E33" s="186"/>
      <c r="F33" s="186"/>
      <c r="G33" s="186"/>
      <c r="H33" s="186"/>
      <c r="I33" s="186"/>
      <c r="J33" s="186"/>
      <c r="K33" s="186"/>
      <c r="L33" s="186"/>
      <c r="M33" s="186"/>
      <c r="N33" s="186"/>
      <c r="O33" s="186"/>
      <c r="P33" s="186"/>
      <c r="Q33" s="186"/>
      <c r="R33" s="186"/>
      <c r="S33" s="186"/>
      <c r="T33" s="269">
        <f t="shared" si="0"/>
        <v>0</v>
      </c>
      <c r="U33" s="269">
        <f t="shared" si="1"/>
        <v>0</v>
      </c>
    </row>
    <row r="34" spans="1:21" ht="21" customHeight="1" x14ac:dyDescent="0.2">
      <c r="A34" s="188" t="s">
        <v>271</v>
      </c>
      <c r="B34" s="195" t="s">
        <v>0</v>
      </c>
      <c r="C34" s="194" t="s">
        <v>218</v>
      </c>
      <c r="D34" s="186"/>
      <c r="E34" s="186"/>
      <c r="F34" s="269">
        <v>5080000</v>
      </c>
      <c r="G34" s="269">
        <f>5080000+241826+1+4-541074-559985+3628</f>
        <v>4224400</v>
      </c>
      <c r="H34" s="269">
        <v>5148600</v>
      </c>
      <c r="I34" s="269">
        <f>5148600+142161+2339+170047+1000000+270000+428120+1500000+335323+182651-603831+504200-307898-97</f>
        <v>8771615</v>
      </c>
      <c r="J34" s="186"/>
      <c r="K34" s="186"/>
      <c r="L34" s="186">
        <v>144500</v>
      </c>
      <c r="M34" s="186">
        <f>144500-142161-2339</f>
        <v>0</v>
      </c>
      <c r="N34" s="186"/>
      <c r="O34" s="186"/>
      <c r="P34" s="186"/>
      <c r="Q34" s="186"/>
      <c r="R34" s="186">
        <v>635000</v>
      </c>
      <c r="S34" s="186">
        <f>635000-130946-482205</f>
        <v>21849</v>
      </c>
      <c r="T34" s="269">
        <f t="shared" si="0"/>
        <v>11008100</v>
      </c>
      <c r="U34" s="269">
        <f t="shared" si="1"/>
        <v>13017864</v>
      </c>
    </row>
    <row r="35" spans="1:21" ht="21" customHeight="1" x14ac:dyDescent="0.2">
      <c r="A35" s="188" t="s">
        <v>272</v>
      </c>
      <c r="B35" s="196" t="s">
        <v>248</v>
      </c>
      <c r="C35" s="194" t="s">
        <v>219</v>
      </c>
      <c r="D35" s="186"/>
      <c r="E35" s="186"/>
      <c r="F35" s="186"/>
      <c r="G35" s="186"/>
      <c r="H35" s="186"/>
      <c r="I35" s="186"/>
      <c r="J35" s="186"/>
      <c r="K35" s="186"/>
      <c r="L35" s="186"/>
      <c r="M35" s="186"/>
      <c r="N35" s="186"/>
      <c r="O35" s="186"/>
      <c r="P35" s="186"/>
      <c r="Q35" s="186"/>
      <c r="R35" s="186"/>
      <c r="S35" s="186"/>
      <c r="T35" s="269">
        <f t="shared" si="0"/>
        <v>0</v>
      </c>
      <c r="U35" s="269">
        <f t="shared" si="1"/>
        <v>0</v>
      </c>
    </row>
    <row r="36" spans="1:21" ht="21" customHeight="1" x14ac:dyDescent="0.2">
      <c r="A36" s="188" t="s">
        <v>273</v>
      </c>
      <c r="B36" s="196" t="s">
        <v>243</v>
      </c>
      <c r="C36" s="194" t="s">
        <v>220</v>
      </c>
      <c r="D36" s="186"/>
      <c r="E36" s="186"/>
      <c r="F36" s="186"/>
      <c r="G36" s="186"/>
      <c r="H36" s="186"/>
      <c r="I36" s="186"/>
      <c r="J36" s="186"/>
      <c r="K36" s="186"/>
      <c r="L36" s="186"/>
      <c r="M36" s="186"/>
      <c r="N36" s="186"/>
      <c r="O36" s="186"/>
      <c r="P36" s="186"/>
      <c r="Q36" s="186"/>
      <c r="R36" s="186"/>
      <c r="S36" s="186"/>
      <c r="T36" s="269">
        <f t="shared" si="0"/>
        <v>0</v>
      </c>
      <c r="U36" s="269">
        <f t="shared" si="1"/>
        <v>0</v>
      </c>
    </row>
    <row r="37" spans="1:21" ht="21" customHeight="1" x14ac:dyDescent="0.2">
      <c r="A37" s="188" t="s">
        <v>274</v>
      </c>
      <c r="B37" s="196" t="s">
        <v>244</v>
      </c>
      <c r="C37" s="194" t="s">
        <v>221</v>
      </c>
      <c r="D37" s="186"/>
      <c r="E37" s="186"/>
      <c r="F37" s="186"/>
      <c r="G37" s="186"/>
      <c r="H37" s="186"/>
      <c r="I37" s="186"/>
      <c r="J37" s="186"/>
      <c r="K37" s="186"/>
      <c r="L37" s="186"/>
      <c r="M37" s="186"/>
      <c r="N37" s="186"/>
      <c r="O37" s="186"/>
      <c r="P37" s="186"/>
      <c r="Q37" s="186"/>
      <c r="R37" s="186"/>
      <c r="S37" s="186"/>
      <c r="T37" s="269">
        <f t="shared" si="0"/>
        <v>0</v>
      </c>
      <c r="U37" s="269">
        <f t="shared" si="1"/>
        <v>0</v>
      </c>
    </row>
    <row r="38" spans="1:21" ht="21" customHeight="1" x14ac:dyDescent="0.2">
      <c r="A38" s="188" t="s">
        <v>275</v>
      </c>
      <c r="B38" s="195" t="s">
        <v>245</v>
      </c>
      <c r="C38" s="194" t="s">
        <v>222</v>
      </c>
      <c r="D38" s="189">
        <f>+D31+D32+D33+D34+D35+D36+D37</f>
        <v>0</v>
      </c>
      <c r="E38" s="189">
        <f t="shared" ref="E38:S38" si="8">+E31+E32+E33+E34+E35+E36+E37</f>
        <v>0</v>
      </c>
      <c r="F38" s="189">
        <f t="shared" si="8"/>
        <v>5080000</v>
      </c>
      <c r="G38" s="189">
        <f t="shared" si="8"/>
        <v>4224400</v>
      </c>
      <c r="H38" s="189">
        <f t="shared" si="8"/>
        <v>5148600</v>
      </c>
      <c r="I38" s="189">
        <f t="shared" si="8"/>
        <v>8771615</v>
      </c>
      <c r="J38" s="189">
        <f t="shared" si="8"/>
        <v>0</v>
      </c>
      <c r="K38" s="189">
        <f t="shared" si="8"/>
        <v>0</v>
      </c>
      <c r="L38" s="189">
        <f t="shared" si="8"/>
        <v>144500</v>
      </c>
      <c r="M38" s="189">
        <f t="shared" si="8"/>
        <v>0</v>
      </c>
      <c r="N38" s="189">
        <f>+N31+N32+N33+N34+N35+N36+N37</f>
        <v>0</v>
      </c>
      <c r="O38" s="189">
        <f>+O31+O32+O33+O34+O35+O36+O37</f>
        <v>350000</v>
      </c>
      <c r="P38" s="189"/>
      <c r="Q38" s="189"/>
      <c r="R38" s="189">
        <f t="shared" si="8"/>
        <v>635000</v>
      </c>
      <c r="S38" s="189">
        <f t="shared" si="8"/>
        <v>21849</v>
      </c>
      <c r="T38" s="338">
        <f t="shared" si="0"/>
        <v>11008100</v>
      </c>
      <c r="U38" s="338">
        <f t="shared" si="1"/>
        <v>13367864</v>
      </c>
    </row>
    <row r="39" spans="1:21" ht="21.75" customHeight="1" x14ac:dyDescent="0.2">
      <c r="A39" s="188" t="s">
        <v>276</v>
      </c>
      <c r="B39" s="194" t="s">
        <v>246</v>
      </c>
      <c r="C39" s="190" t="s">
        <v>224</v>
      </c>
      <c r="D39" s="189">
        <f>SUM(D41:D45)</f>
        <v>136628379</v>
      </c>
      <c r="E39" s="189">
        <f>SUM(E41:E45)</f>
        <v>161136120</v>
      </c>
      <c r="F39" s="189">
        <f t="shared" ref="F39:S39" si="9">SUM(F41:F45)</f>
        <v>0</v>
      </c>
      <c r="G39" s="189">
        <f t="shared" si="9"/>
        <v>0</v>
      </c>
      <c r="H39" s="189">
        <f t="shared" si="9"/>
        <v>0</v>
      </c>
      <c r="I39" s="189">
        <f t="shared" si="9"/>
        <v>0</v>
      </c>
      <c r="J39" s="189">
        <f t="shared" si="9"/>
        <v>0</v>
      </c>
      <c r="K39" s="189">
        <f t="shared" si="9"/>
        <v>0</v>
      </c>
      <c r="L39" s="189">
        <f t="shared" si="9"/>
        <v>0</v>
      </c>
      <c r="M39" s="189">
        <f t="shared" si="9"/>
        <v>0</v>
      </c>
      <c r="N39" s="189">
        <f>SUM(N41:N45)</f>
        <v>0</v>
      </c>
      <c r="O39" s="189">
        <f>SUM(O41:O45)</f>
        <v>0</v>
      </c>
      <c r="P39" s="189"/>
      <c r="Q39" s="189"/>
      <c r="R39" s="189">
        <f t="shared" si="9"/>
        <v>0</v>
      </c>
      <c r="S39" s="189">
        <f t="shared" si="9"/>
        <v>0</v>
      </c>
      <c r="T39" s="338">
        <f t="shared" si="0"/>
        <v>136628379</v>
      </c>
      <c r="U39" s="338">
        <f t="shared" si="1"/>
        <v>161136120</v>
      </c>
    </row>
    <row r="40" spans="1:21" ht="21.75" customHeight="1" x14ac:dyDescent="0.2">
      <c r="A40" s="188" t="s">
        <v>277</v>
      </c>
      <c r="B40" s="94" t="s">
        <v>593</v>
      </c>
      <c r="C40" s="190"/>
      <c r="D40" s="186"/>
      <c r="E40" s="186"/>
      <c r="F40" s="186"/>
      <c r="G40" s="186"/>
      <c r="H40" s="186"/>
      <c r="I40" s="186"/>
      <c r="J40" s="186"/>
      <c r="K40" s="186"/>
      <c r="L40" s="186"/>
      <c r="M40" s="186"/>
      <c r="N40" s="186"/>
      <c r="O40" s="186"/>
      <c r="P40" s="186"/>
      <c r="Q40" s="186"/>
      <c r="R40" s="186"/>
      <c r="S40" s="186"/>
      <c r="T40" s="269">
        <f t="shared" si="0"/>
        <v>0</v>
      </c>
      <c r="U40" s="269">
        <f t="shared" si="1"/>
        <v>0</v>
      </c>
    </row>
    <row r="41" spans="1:21" ht="21.75" customHeight="1" x14ac:dyDescent="0.2">
      <c r="A41" s="188" t="s">
        <v>278</v>
      </c>
      <c r="B41" s="193" t="s">
        <v>882</v>
      </c>
      <c r="C41" s="192"/>
      <c r="D41" s="186">
        <f>302860+343864</f>
        <v>646724</v>
      </c>
      <c r="E41" s="186">
        <f>302860+343864+11154291</f>
        <v>11801015</v>
      </c>
      <c r="F41" s="186"/>
      <c r="G41" s="186"/>
      <c r="H41" s="186"/>
      <c r="I41" s="186"/>
      <c r="J41" s="186"/>
      <c r="K41" s="186"/>
      <c r="L41" s="186"/>
      <c r="M41" s="186"/>
      <c r="N41" s="186"/>
      <c r="O41" s="186"/>
      <c r="P41" s="186"/>
      <c r="Q41" s="186"/>
      <c r="R41" s="186"/>
      <c r="S41" s="186"/>
      <c r="T41" s="269">
        <f t="shared" si="0"/>
        <v>646724</v>
      </c>
      <c r="U41" s="269">
        <f t="shared" si="1"/>
        <v>11801015</v>
      </c>
    </row>
    <row r="42" spans="1:21" ht="21.75" customHeight="1" x14ac:dyDescent="0.2">
      <c r="A42" s="188" t="s">
        <v>282</v>
      </c>
      <c r="B42" s="193" t="s">
        <v>883</v>
      </c>
      <c r="C42" s="192"/>
      <c r="D42" s="186">
        <v>3148267</v>
      </c>
      <c r="E42" s="186">
        <f>3148267</f>
        <v>3148267</v>
      </c>
      <c r="F42" s="186"/>
      <c r="G42" s="186"/>
      <c r="H42" s="186"/>
      <c r="I42" s="186"/>
      <c r="J42" s="186"/>
      <c r="K42" s="186"/>
      <c r="L42" s="186"/>
      <c r="M42" s="186"/>
      <c r="N42" s="186"/>
      <c r="O42" s="186"/>
      <c r="P42" s="186"/>
      <c r="Q42" s="186"/>
      <c r="R42" s="186"/>
      <c r="S42" s="186"/>
      <c r="T42" s="269">
        <f t="shared" si="0"/>
        <v>3148267</v>
      </c>
      <c r="U42" s="269">
        <f t="shared" si="1"/>
        <v>3148267</v>
      </c>
    </row>
    <row r="43" spans="1:21" ht="21.75" customHeight="1" x14ac:dyDescent="0.2">
      <c r="A43" s="188" t="s">
        <v>283</v>
      </c>
      <c r="B43" s="193" t="s">
        <v>554</v>
      </c>
      <c r="C43" s="192"/>
      <c r="D43" s="186">
        <f>T28-T31-T33-T34-T36-T41</f>
        <v>129575838</v>
      </c>
      <c r="E43" s="186">
        <f>U28-U31-U33-U34-U36-U41</f>
        <v>141824388</v>
      </c>
      <c r="F43" s="186"/>
      <c r="G43" s="186"/>
      <c r="H43" s="186"/>
      <c r="I43" s="186"/>
      <c r="J43" s="186"/>
      <c r="K43" s="186"/>
      <c r="L43" s="186"/>
      <c r="M43" s="186"/>
      <c r="N43" s="186"/>
      <c r="O43" s="186"/>
      <c r="P43" s="186"/>
      <c r="Q43" s="186"/>
      <c r="R43" s="186"/>
      <c r="S43" s="186"/>
      <c r="T43" s="269">
        <f t="shared" si="0"/>
        <v>129575838</v>
      </c>
      <c r="U43" s="269">
        <f t="shared" si="1"/>
        <v>141824388</v>
      </c>
    </row>
    <row r="44" spans="1:21" ht="21.75" customHeight="1" x14ac:dyDescent="0.2">
      <c r="A44" s="188" t="s">
        <v>284</v>
      </c>
      <c r="B44" s="193" t="s">
        <v>555</v>
      </c>
      <c r="C44" s="192"/>
      <c r="D44" s="186">
        <f>T29-T32-T35-T37-T42</f>
        <v>3257550</v>
      </c>
      <c r="E44" s="186">
        <f>U29-U32-U35-U37-U42</f>
        <v>4362450</v>
      </c>
      <c r="F44" s="186"/>
      <c r="G44" s="186"/>
      <c r="H44" s="186"/>
      <c r="I44" s="186"/>
      <c r="J44" s="186"/>
      <c r="K44" s="186"/>
      <c r="L44" s="186"/>
      <c r="M44" s="186"/>
      <c r="N44" s="186"/>
      <c r="O44" s="186"/>
      <c r="P44" s="186"/>
      <c r="Q44" s="186"/>
      <c r="R44" s="186"/>
      <c r="S44" s="186"/>
      <c r="T44" s="269">
        <f t="shared" si="0"/>
        <v>3257550</v>
      </c>
      <c r="U44" s="269">
        <f t="shared" si="1"/>
        <v>4362450</v>
      </c>
    </row>
    <row r="45" spans="1:21" ht="21.75" customHeight="1" x14ac:dyDescent="0.2">
      <c r="A45" s="188" t="s">
        <v>285</v>
      </c>
      <c r="B45" s="94" t="s">
        <v>592</v>
      </c>
      <c r="C45" s="192"/>
      <c r="D45" s="186"/>
      <c r="E45" s="186"/>
      <c r="F45" s="186"/>
      <c r="G45" s="186"/>
      <c r="H45" s="186"/>
      <c r="I45" s="186"/>
      <c r="J45" s="186"/>
      <c r="K45" s="186"/>
      <c r="L45" s="186"/>
      <c r="M45" s="186"/>
      <c r="N45" s="186"/>
      <c r="O45" s="186"/>
      <c r="P45" s="186"/>
      <c r="Q45" s="186"/>
      <c r="R45" s="186"/>
      <c r="S45" s="186"/>
      <c r="T45" s="269">
        <f t="shared" si="0"/>
        <v>0</v>
      </c>
      <c r="U45" s="269">
        <f t="shared" si="1"/>
        <v>0</v>
      </c>
    </row>
    <row r="46" spans="1:21" ht="21.75" customHeight="1" x14ac:dyDescent="0.2">
      <c r="A46" s="188" t="s">
        <v>286</v>
      </c>
      <c r="B46" s="236" t="s">
        <v>846</v>
      </c>
      <c r="C46" s="192"/>
      <c r="D46" s="186"/>
      <c r="E46" s="186"/>
      <c r="F46" s="186"/>
      <c r="G46" s="186"/>
      <c r="H46" s="186"/>
      <c r="I46" s="186"/>
      <c r="J46" s="186"/>
      <c r="K46" s="186"/>
      <c r="L46" s="186"/>
      <c r="M46" s="186"/>
      <c r="N46" s="186"/>
      <c r="O46" s="186"/>
      <c r="P46" s="186"/>
      <c r="Q46" s="186"/>
      <c r="R46" s="186"/>
      <c r="S46" s="186"/>
      <c r="T46" s="269">
        <f t="shared" si="0"/>
        <v>0</v>
      </c>
      <c r="U46" s="269">
        <f t="shared" si="1"/>
        <v>0</v>
      </c>
    </row>
    <row r="47" spans="1:21" ht="21.75" customHeight="1" x14ac:dyDescent="0.2">
      <c r="A47" s="188" t="s">
        <v>287</v>
      </c>
      <c r="B47" s="191" t="s">
        <v>112</v>
      </c>
      <c r="C47" s="190"/>
      <c r="D47" s="189">
        <f>+D31+D33+D34+D36+D41+D43</f>
        <v>130222562</v>
      </c>
      <c r="E47" s="189">
        <f t="shared" ref="E47:S47" si="10">+E31+E33+E34+E36+E41+E43</f>
        <v>153625403</v>
      </c>
      <c r="F47" s="189">
        <f t="shared" si="10"/>
        <v>5080000</v>
      </c>
      <c r="G47" s="189">
        <f t="shared" si="10"/>
        <v>4224400</v>
      </c>
      <c r="H47" s="189">
        <f t="shared" si="10"/>
        <v>5148600</v>
      </c>
      <c r="I47" s="189">
        <f t="shared" si="10"/>
        <v>8771615</v>
      </c>
      <c r="J47" s="189">
        <f t="shared" si="10"/>
        <v>0</v>
      </c>
      <c r="K47" s="189">
        <f t="shared" si="10"/>
        <v>0</v>
      </c>
      <c r="L47" s="189">
        <f t="shared" si="10"/>
        <v>144500</v>
      </c>
      <c r="M47" s="189">
        <f t="shared" si="10"/>
        <v>0</v>
      </c>
      <c r="N47" s="189">
        <f>+N31+N33+N34+N36+N41+N43</f>
        <v>0</v>
      </c>
      <c r="O47" s="189">
        <f>+O31+O33+O34+O36+O41+O43</f>
        <v>350000</v>
      </c>
      <c r="P47" s="189">
        <f>+P31+P33+P34+P36+P41+P43</f>
        <v>0</v>
      </c>
      <c r="Q47" s="189">
        <f>+Q31+Q33+Q34+Q36+Q41+Q43</f>
        <v>0</v>
      </c>
      <c r="R47" s="189">
        <f t="shared" si="10"/>
        <v>635000</v>
      </c>
      <c r="S47" s="189">
        <f t="shared" si="10"/>
        <v>21849</v>
      </c>
      <c r="T47" s="338">
        <f t="shared" si="0"/>
        <v>141230662</v>
      </c>
      <c r="U47" s="338">
        <f t="shared" si="1"/>
        <v>166993267</v>
      </c>
    </row>
    <row r="48" spans="1:21" ht="21.75" customHeight="1" x14ac:dyDescent="0.2">
      <c r="A48" s="188" t="s">
        <v>288</v>
      </c>
      <c r="B48" s="191" t="s">
        <v>113</v>
      </c>
      <c r="C48" s="190"/>
      <c r="D48" s="189">
        <f>+D32+D35+D37+D42+D429+D45+D44</f>
        <v>6405817</v>
      </c>
      <c r="E48" s="189">
        <f t="shared" ref="E48:S48" si="11">+E32+E35+E37+E42+E429+E45+E44</f>
        <v>7510717</v>
      </c>
      <c r="F48" s="189">
        <f t="shared" si="11"/>
        <v>0</v>
      </c>
      <c r="G48" s="189">
        <f t="shared" si="11"/>
        <v>0</v>
      </c>
      <c r="H48" s="189">
        <f t="shared" si="11"/>
        <v>0</v>
      </c>
      <c r="I48" s="189">
        <f t="shared" si="11"/>
        <v>0</v>
      </c>
      <c r="J48" s="189">
        <f t="shared" si="11"/>
        <v>0</v>
      </c>
      <c r="K48" s="189">
        <f t="shared" si="11"/>
        <v>0</v>
      </c>
      <c r="L48" s="189">
        <f t="shared" si="11"/>
        <v>0</v>
      </c>
      <c r="M48" s="189">
        <f t="shared" si="11"/>
        <v>0</v>
      </c>
      <c r="N48" s="189">
        <f>+N32+N35+N37+N42+N429+N45+N44</f>
        <v>0</v>
      </c>
      <c r="O48" s="189">
        <f>+O32+O35+O37+O42+O429+O45+O44</f>
        <v>0</v>
      </c>
      <c r="P48" s="189">
        <f>+P32+P35+P37+P42+P429+P45+P44</f>
        <v>0</v>
      </c>
      <c r="Q48" s="189">
        <f>+Q32+Q35+Q37+Q42+Q429+Q45+Q44</f>
        <v>0</v>
      </c>
      <c r="R48" s="189">
        <f t="shared" si="11"/>
        <v>0</v>
      </c>
      <c r="S48" s="189">
        <f t="shared" si="11"/>
        <v>0</v>
      </c>
      <c r="T48" s="338">
        <f t="shared" si="0"/>
        <v>6405817</v>
      </c>
      <c r="U48" s="338">
        <f t="shared" si="1"/>
        <v>7510717</v>
      </c>
    </row>
    <row r="49" spans="1:21" ht="21.75" customHeight="1" x14ac:dyDescent="0.2">
      <c r="A49" s="188" t="s">
        <v>289</v>
      </c>
      <c r="B49" s="191" t="s">
        <v>334</v>
      </c>
      <c r="C49" s="190"/>
      <c r="D49" s="189">
        <f>+D47+D48</f>
        <v>136628379</v>
      </c>
      <c r="E49" s="189">
        <f t="shared" ref="E49:S49" si="12">+E47+E48</f>
        <v>161136120</v>
      </c>
      <c r="F49" s="189">
        <f t="shared" si="12"/>
        <v>5080000</v>
      </c>
      <c r="G49" s="189">
        <f t="shared" si="12"/>
        <v>4224400</v>
      </c>
      <c r="H49" s="189">
        <f t="shared" si="12"/>
        <v>5148600</v>
      </c>
      <c r="I49" s="189">
        <f t="shared" si="12"/>
        <v>8771615</v>
      </c>
      <c r="J49" s="189">
        <f t="shared" si="12"/>
        <v>0</v>
      </c>
      <c r="K49" s="189">
        <f t="shared" si="12"/>
        <v>0</v>
      </c>
      <c r="L49" s="189">
        <f t="shared" si="12"/>
        <v>144500</v>
      </c>
      <c r="M49" s="189">
        <f t="shared" si="12"/>
        <v>0</v>
      </c>
      <c r="N49" s="189">
        <f>+N47+N48</f>
        <v>0</v>
      </c>
      <c r="O49" s="189">
        <f>+O47+O48</f>
        <v>350000</v>
      </c>
      <c r="P49" s="189">
        <f>+P47+P48</f>
        <v>0</v>
      </c>
      <c r="Q49" s="189">
        <f>+Q47+Q48</f>
        <v>0</v>
      </c>
      <c r="R49" s="189">
        <f t="shared" si="12"/>
        <v>635000</v>
      </c>
      <c r="S49" s="189">
        <f t="shared" si="12"/>
        <v>21849</v>
      </c>
      <c r="T49" s="338">
        <f t="shared" si="0"/>
        <v>147636479</v>
      </c>
      <c r="U49" s="338">
        <f>E49+G49+I49+K49+M49+S49+O49</f>
        <v>174503984</v>
      </c>
    </row>
    <row r="50" spans="1:21" ht="21.75" customHeight="1" x14ac:dyDescent="0.2">
      <c r="A50" s="188" t="s">
        <v>290</v>
      </c>
      <c r="B50" s="380" t="s">
        <v>450</v>
      </c>
      <c r="C50" s="187"/>
      <c r="D50" s="186"/>
      <c r="E50" s="186"/>
      <c r="F50" s="186">
        <v>1</v>
      </c>
      <c r="G50" s="186">
        <v>4</v>
      </c>
      <c r="H50" s="186">
        <v>10</v>
      </c>
      <c r="I50" s="186">
        <v>7</v>
      </c>
      <c r="J50" s="186">
        <v>0</v>
      </c>
      <c r="K50" s="186"/>
      <c r="L50" s="186"/>
      <c r="M50" s="186"/>
      <c r="N50" s="186"/>
      <c r="O50" s="186"/>
      <c r="P50" s="186"/>
      <c r="Q50" s="186"/>
      <c r="R50" s="186">
        <v>0</v>
      </c>
      <c r="S50" s="186"/>
      <c r="T50" s="269">
        <f t="shared" si="0"/>
        <v>11</v>
      </c>
      <c r="U50" s="269">
        <f t="shared" si="1"/>
        <v>11</v>
      </c>
    </row>
    <row r="51" spans="1:21" ht="21.75" customHeight="1" x14ac:dyDescent="0.2">
      <c r="A51" s="188" t="s">
        <v>291</v>
      </c>
      <c r="B51" s="48" t="s">
        <v>1357</v>
      </c>
      <c r="C51" s="187"/>
      <c r="D51" s="186"/>
      <c r="E51" s="186"/>
      <c r="F51" s="186"/>
      <c r="G51" s="186"/>
      <c r="H51" s="186"/>
      <c r="I51" s="186"/>
      <c r="J51" s="186"/>
      <c r="K51" s="186"/>
      <c r="L51" s="186"/>
      <c r="M51" s="186"/>
      <c r="N51" s="186"/>
      <c r="O51" s="186"/>
      <c r="P51" s="186"/>
      <c r="Q51" s="186"/>
      <c r="R51" s="186"/>
      <c r="S51" s="186"/>
      <c r="T51" s="269">
        <f t="shared" si="0"/>
        <v>0</v>
      </c>
      <c r="U51" s="269">
        <f t="shared" si="1"/>
        <v>0</v>
      </c>
    </row>
  </sheetData>
  <mergeCells count="28">
    <mergeCell ref="T2:U2"/>
    <mergeCell ref="S6:S7"/>
    <mergeCell ref="U4:U7"/>
    <mergeCell ref="T4:T7"/>
    <mergeCell ref="R6:R7"/>
    <mergeCell ref="N6:N7"/>
    <mergeCell ref="O6:O7"/>
    <mergeCell ref="P6:P7"/>
    <mergeCell ref="Q6:Q7"/>
    <mergeCell ref="D2:G2"/>
    <mergeCell ref="H2:K2"/>
    <mergeCell ref="I6:I7"/>
    <mergeCell ref="K6:K7"/>
    <mergeCell ref="M6:M7"/>
    <mergeCell ref="L2:O2"/>
    <mergeCell ref="H6:H7"/>
    <mergeCell ref="P2:S2"/>
    <mergeCell ref="A3:C3"/>
    <mergeCell ref="B5:C5"/>
    <mergeCell ref="L6:L7"/>
    <mergeCell ref="B6:C6"/>
    <mergeCell ref="F6:F7"/>
    <mergeCell ref="E6:E7"/>
    <mergeCell ref="G6:G7"/>
    <mergeCell ref="D6:D7"/>
    <mergeCell ref="J6:J7"/>
    <mergeCell ref="A4:A7"/>
    <mergeCell ref="B4:C4"/>
  </mergeCells>
  <printOptions horizontalCentered="1" verticalCentered="1"/>
  <pageMargins left="0.31496062992125984" right="0.31496062992125984" top="0.15748031496062992" bottom="0.15748031496062992" header="0.31496062992125984" footer="0.31496062992125984"/>
  <pageSetup paperSize="9" scale="50" orientation="portrait" r:id="rId1"/>
  <headerFooter>
    <oddHeader>&amp;C2022. évi költségvetés 
&amp;R&amp;A</oddHeader>
    <oddFooter>&amp;C&amp;P/&amp;N</oddFooter>
  </headerFooter>
  <colBreaks count="4" manualBreakCount="4">
    <brk id="7" max="50" man="1"/>
    <brk id="11" max="50" man="1"/>
    <brk id="15" max="50" man="1"/>
    <brk id="19" max="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1"/>
  <sheetViews>
    <sheetView view="pageBreakPreview" zoomScale="80" zoomScaleNormal="70" zoomScaleSheetLayoutView="80" workbookViewId="0">
      <pane xSplit="3" ySplit="8" topLeftCell="G9" activePane="bottomRight" state="frozen"/>
      <selection pane="topRight" activeCell="D1" sqref="D1"/>
      <selection pane="bottomLeft" activeCell="A8" sqref="A8"/>
      <selection pane="bottomRight" activeCell="G11" sqref="G11"/>
    </sheetView>
  </sheetViews>
  <sheetFormatPr defaultRowHeight="12.75" x14ac:dyDescent="0.2"/>
  <cols>
    <col min="1" max="1" width="6.5703125" customWidth="1"/>
    <col min="2" max="2" width="70.5703125" bestFit="1" customWidth="1"/>
    <col min="4" max="4" width="19.28515625" customWidth="1"/>
    <col min="5" max="5" width="17.7109375" customWidth="1"/>
    <col min="6" max="6" width="19.28515625" customWidth="1"/>
    <col min="7" max="7" width="17.85546875" customWidth="1"/>
    <col min="8" max="13" width="18.140625" customWidth="1"/>
    <col min="14" max="14" width="22.42578125" customWidth="1"/>
    <col min="15" max="15" width="23" customWidth="1"/>
    <col min="16" max="17" width="18.85546875" customWidth="1"/>
    <col min="18" max="18" width="20.5703125" customWidth="1"/>
    <col min="19" max="19" width="21.5703125" customWidth="1"/>
  </cols>
  <sheetData>
    <row r="1" spans="1:20" ht="15.75" x14ac:dyDescent="0.2">
      <c r="A1" s="314"/>
      <c r="B1" s="314"/>
      <c r="C1" s="314"/>
      <c r="D1" s="314"/>
      <c r="E1" s="314"/>
      <c r="F1" s="314"/>
      <c r="G1" s="1498" t="s">
        <v>444</v>
      </c>
      <c r="H1" s="314"/>
      <c r="I1" s="314"/>
      <c r="J1" s="314"/>
      <c r="K1" s="1498" t="s">
        <v>444</v>
      </c>
      <c r="L1" s="314"/>
      <c r="M1" s="314"/>
      <c r="N1" s="314"/>
      <c r="O1" s="1498" t="s">
        <v>444</v>
      </c>
      <c r="P1" s="314"/>
      <c r="Q1" s="314"/>
      <c r="R1" s="314"/>
      <c r="S1" s="1498" t="s">
        <v>444</v>
      </c>
    </row>
    <row r="2" spans="1:20" ht="39.75" customHeight="1" x14ac:dyDescent="0.2">
      <c r="A2" s="742"/>
      <c r="B2" s="743"/>
      <c r="C2" s="745"/>
      <c r="D2" s="1682" t="s">
        <v>1629</v>
      </c>
      <c r="E2" s="1682"/>
      <c r="F2" s="1682"/>
      <c r="G2" s="1682"/>
      <c r="H2" s="1682" t="s">
        <v>1629</v>
      </c>
      <c r="I2" s="1682"/>
      <c r="J2" s="1682"/>
      <c r="K2" s="1682"/>
      <c r="L2" s="1682" t="s">
        <v>1629</v>
      </c>
      <c r="M2" s="1682"/>
      <c r="N2" s="1682"/>
      <c r="O2" s="1682"/>
      <c r="P2" s="1682" t="s">
        <v>1629</v>
      </c>
      <c r="Q2" s="1682"/>
      <c r="R2" s="1682"/>
      <c r="S2" s="1682"/>
    </row>
    <row r="3" spans="1:20" ht="40.5" customHeight="1" x14ac:dyDescent="0.2">
      <c r="A3" s="1678" t="s">
        <v>136</v>
      </c>
      <c r="B3" s="1679"/>
      <c r="C3" s="168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row>
    <row r="4" spans="1:20" ht="124.5" customHeight="1" x14ac:dyDescent="0.2">
      <c r="A4" s="1683" t="s">
        <v>192</v>
      </c>
      <c r="B4" s="1681" t="s">
        <v>250</v>
      </c>
      <c r="C4" s="1681"/>
      <c r="D4" s="1555" t="s">
        <v>501</v>
      </c>
      <c r="E4" s="1555" t="s">
        <v>501</v>
      </c>
      <c r="F4" s="1555" t="s">
        <v>492</v>
      </c>
      <c r="G4" s="1555" t="s">
        <v>492</v>
      </c>
      <c r="H4" s="1555" t="s">
        <v>492</v>
      </c>
      <c r="I4" s="1555" t="s">
        <v>492</v>
      </c>
      <c r="J4" s="337" t="s">
        <v>342</v>
      </c>
      <c r="K4" s="337" t="s">
        <v>342</v>
      </c>
      <c r="L4" s="1555" t="s">
        <v>341</v>
      </c>
      <c r="M4" s="1555" t="s">
        <v>341</v>
      </c>
      <c r="N4" s="1555" t="s">
        <v>341</v>
      </c>
      <c r="O4" s="1555" t="s">
        <v>341</v>
      </c>
      <c r="P4" s="1555" t="s">
        <v>341</v>
      </c>
      <c r="Q4" s="1555" t="s">
        <v>341</v>
      </c>
      <c r="R4" s="1692" t="s">
        <v>138</v>
      </c>
      <c r="S4" s="1692" t="s">
        <v>138</v>
      </c>
    </row>
    <row r="5" spans="1:20" ht="27" customHeight="1" x14ac:dyDescent="0.2">
      <c r="A5" s="1683"/>
      <c r="B5" s="1681" t="s">
        <v>11</v>
      </c>
      <c r="C5" s="1681"/>
      <c r="D5" s="1557" t="s">
        <v>228</v>
      </c>
      <c r="E5" s="1557" t="s">
        <v>228</v>
      </c>
      <c r="F5" s="1557" t="s">
        <v>228</v>
      </c>
      <c r="G5" s="1557" t="s">
        <v>228</v>
      </c>
      <c r="H5" s="1557" t="s">
        <v>228</v>
      </c>
      <c r="I5" s="1557" t="s">
        <v>228</v>
      </c>
      <c r="J5" s="1557" t="s">
        <v>228</v>
      </c>
      <c r="K5" s="1557" t="s">
        <v>228</v>
      </c>
      <c r="L5" s="201" t="s">
        <v>228</v>
      </c>
      <c r="M5" s="201" t="s">
        <v>228</v>
      </c>
      <c r="N5" s="201" t="s">
        <v>228</v>
      </c>
      <c r="O5" s="201" t="s">
        <v>228</v>
      </c>
      <c r="P5" s="201" t="s">
        <v>228</v>
      </c>
      <c r="Q5" s="201" t="s">
        <v>228</v>
      </c>
      <c r="R5" s="1693"/>
      <c r="S5" s="1693"/>
    </row>
    <row r="6" spans="1:20" ht="23.25" customHeight="1" x14ac:dyDescent="0.2">
      <c r="A6" s="1683"/>
      <c r="B6" s="1634" t="s">
        <v>741</v>
      </c>
      <c r="C6" s="1634"/>
      <c r="D6" s="1682" t="s">
        <v>408</v>
      </c>
      <c r="E6" s="1682" t="s">
        <v>355</v>
      </c>
      <c r="F6" s="1682" t="s">
        <v>600</v>
      </c>
      <c r="G6" s="1682" t="s">
        <v>600</v>
      </c>
      <c r="H6" s="1682" t="s">
        <v>599</v>
      </c>
      <c r="I6" s="1682" t="s">
        <v>1626</v>
      </c>
      <c r="J6" s="1682" t="s">
        <v>653</v>
      </c>
      <c r="K6" s="1682" t="s">
        <v>653</v>
      </c>
      <c r="L6" s="1694" t="s">
        <v>886</v>
      </c>
      <c r="M6" s="1694" t="s">
        <v>1627</v>
      </c>
      <c r="N6" s="1672" t="s">
        <v>1268</v>
      </c>
      <c r="O6" s="1672" t="s">
        <v>1628</v>
      </c>
      <c r="P6" s="1696" t="s">
        <v>515</v>
      </c>
      <c r="Q6" s="1696" t="s">
        <v>515</v>
      </c>
      <c r="R6" s="1693"/>
      <c r="S6" s="1693"/>
    </row>
    <row r="7" spans="1:20" ht="111.75" customHeight="1" x14ac:dyDescent="0.2">
      <c r="A7" s="1683"/>
      <c r="B7" s="1556" t="s">
        <v>193</v>
      </c>
      <c r="C7" s="202" t="s">
        <v>251</v>
      </c>
      <c r="D7" s="1682"/>
      <c r="E7" s="1682"/>
      <c r="F7" s="1682"/>
      <c r="G7" s="1682"/>
      <c r="H7" s="1682"/>
      <c r="I7" s="1682"/>
      <c r="J7" s="1682"/>
      <c r="K7" s="1682"/>
      <c r="L7" s="1695"/>
      <c r="M7" s="1695"/>
      <c r="N7" s="1673"/>
      <c r="O7" s="1673"/>
      <c r="P7" s="1697"/>
      <c r="Q7" s="1697"/>
      <c r="R7" s="1693"/>
      <c r="S7" s="1693"/>
    </row>
    <row r="8" spans="1:20" ht="15.75" x14ac:dyDescent="0.2">
      <c r="A8" s="200" t="s">
        <v>194</v>
      </c>
      <c r="B8" s="199" t="s">
        <v>195</v>
      </c>
      <c r="C8" s="199" t="s">
        <v>196</v>
      </c>
      <c r="D8" s="362" t="s">
        <v>197</v>
      </c>
      <c r="E8" s="362" t="s">
        <v>198</v>
      </c>
      <c r="F8" s="362" t="s">
        <v>199</v>
      </c>
      <c r="G8" s="362" t="s">
        <v>200</v>
      </c>
      <c r="H8" s="362" t="s">
        <v>201</v>
      </c>
      <c r="I8" s="362" t="s">
        <v>202</v>
      </c>
      <c r="J8" s="362" t="s">
        <v>203</v>
      </c>
      <c r="K8" s="362" t="s">
        <v>204</v>
      </c>
      <c r="L8" s="362" t="s">
        <v>231</v>
      </c>
      <c r="M8" s="362" t="s">
        <v>232</v>
      </c>
      <c r="N8" s="362" t="s">
        <v>233</v>
      </c>
      <c r="O8" s="362" t="s">
        <v>234</v>
      </c>
      <c r="P8" s="362" t="s">
        <v>235</v>
      </c>
      <c r="Q8" s="362" t="s">
        <v>236</v>
      </c>
      <c r="R8" s="362" t="s">
        <v>237</v>
      </c>
      <c r="S8" s="929" t="s">
        <v>238</v>
      </c>
    </row>
    <row r="9" spans="1:20" ht="21.75" customHeight="1" x14ac:dyDescent="0.25">
      <c r="A9" s="188" t="s">
        <v>194</v>
      </c>
      <c r="B9" s="198" t="s">
        <v>335</v>
      </c>
      <c r="C9" s="206" t="s">
        <v>205</v>
      </c>
      <c r="D9" s="203"/>
      <c r="E9" s="203"/>
      <c r="F9" s="203">
        <v>163941889</v>
      </c>
      <c r="G9" s="203">
        <f>163941889+200000+375000+3100000+254237-80000+80000-11885000+11725000+160000-240000+240000-210000+210000+200000</f>
        <v>168071126</v>
      </c>
      <c r="H9" s="203">
        <v>87780956</v>
      </c>
      <c r="I9" s="203">
        <f>87780956-858900+858900+1200000-1521000+1521000-1346000+1346000-820500+200000+620500-696000+696000-396000+396000-5550000+5150000+400000-1030000+30000+1000000-510000+110000+400000-200000+200000</f>
        <v>88980956</v>
      </c>
      <c r="J9" s="203"/>
      <c r="K9" s="203"/>
      <c r="L9" s="203"/>
      <c r="M9" s="203"/>
      <c r="N9" s="203"/>
      <c r="O9" s="203"/>
      <c r="P9" s="203"/>
      <c r="Q9" s="203"/>
      <c r="R9" s="203">
        <f>D9+F9+H9+J9+P9+L9+N9</f>
        <v>251722845</v>
      </c>
      <c r="S9" s="203">
        <f>E9+G9+I9+K9+Q9+M9+O9</f>
        <v>257052082</v>
      </c>
      <c r="T9" s="210"/>
    </row>
    <row r="10" spans="1:20" ht="21.75" customHeight="1" x14ac:dyDescent="0.25">
      <c r="A10" s="188" t="s">
        <v>195</v>
      </c>
      <c r="B10" s="196" t="s">
        <v>206</v>
      </c>
      <c r="C10" s="206" t="s">
        <v>207</v>
      </c>
      <c r="D10" s="203"/>
      <c r="E10" s="203"/>
      <c r="F10" s="203">
        <f>22537446+4330000</f>
        <v>26867446</v>
      </c>
      <c r="G10" s="203">
        <f>22537446+4330000+48750+403000</f>
        <v>27319196</v>
      </c>
      <c r="H10" s="203">
        <v>12076524</v>
      </c>
      <c r="I10" s="203">
        <f>12076524+156000</f>
        <v>12232524</v>
      </c>
      <c r="J10" s="203"/>
      <c r="K10" s="203"/>
      <c r="L10" s="203"/>
      <c r="M10" s="203"/>
      <c r="N10" s="203"/>
      <c r="O10" s="203"/>
      <c r="P10" s="203"/>
      <c r="Q10" s="203"/>
      <c r="R10" s="203">
        <f t="shared" ref="R10:S51" si="0">D10+F10+H10+J10+P10+L10+N10</f>
        <v>38943970</v>
      </c>
      <c r="S10" s="203">
        <f t="shared" si="0"/>
        <v>39551720</v>
      </c>
      <c r="T10" s="210"/>
    </row>
    <row r="11" spans="1:20" ht="21.75" customHeight="1" x14ac:dyDescent="0.25">
      <c r="A11" s="188" t="s">
        <v>196</v>
      </c>
      <c r="B11" s="196" t="s">
        <v>336</v>
      </c>
      <c r="C11" s="206" t="s">
        <v>208</v>
      </c>
      <c r="D11" s="203"/>
      <c r="E11" s="203"/>
      <c r="F11" s="203">
        <f>+(18495480)+11430+148056</f>
        <v>18654966</v>
      </c>
      <c r="G11" s="203">
        <f>+(18495480)+11430+148056+5280000+1425600-157480-42520+200000+206299+55701-275762-74456-157476-42519+614+188857+50991+191639+51743-354000-124252-33548-100000+100000-197038-53201-40000+20000+20000-50000+20000+30000-50000-13000-14</f>
        <v>24731144</v>
      </c>
      <c r="H11" s="203">
        <f>+(10398429)+11430+97101</f>
        <v>10506960</v>
      </c>
      <c r="I11" s="203">
        <f>+(10398429)+11430+97101-157480-42520+200000+70800+283200+3107200+838944-50000+50000-5740-1550+783</f>
        <v>14800597</v>
      </c>
      <c r="J11" s="203">
        <v>635000</v>
      </c>
      <c r="K11" s="203">
        <f>635000-70398+70398</f>
        <v>635000</v>
      </c>
      <c r="L11" s="203"/>
      <c r="M11" s="203">
        <f>196850+53150-8031+8031+196850+53150</f>
        <v>500000</v>
      </c>
      <c r="N11" s="203"/>
      <c r="O11" s="203"/>
      <c r="P11" s="203"/>
      <c r="Q11" s="203"/>
      <c r="R11" s="203">
        <f t="shared" si="0"/>
        <v>29796926</v>
      </c>
      <c r="S11" s="203">
        <f t="shared" si="0"/>
        <v>40666741</v>
      </c>
      <c r="T11" s="210"/>
    </row>
    <row r="12" spans="1:20" ht="21.75" customHeight="1" x14ac:dyDescent="0.25">
      <c r="A12" s="188" t="s">
        <v>197</v>
      </c>
      <c r="B12" s="195" t="s">
        <v>337</v>
      </c>
      <c r="C12" s="206" t="s">
        <v>209</v>
      </c>
      <c r="D12" s="203"/>
      <c r="E12" s="203"/>
      <c r="F12" s="203"/>
      <c r="G12" s="203"/>
      <c r="H12" s="203"/>
      <c r="I12" s="203"/>
      <c r="J12" s="203"/>
      <c r="K12" s="203"/>
      <c r="L12" s="203"/>
      <c r="M12" s="203"/>
      <c r="N12" s="203"/>
      <c r="O12" s="203"/>
      <c r="P12" s="203"/>
      <c r="Q12" s="203"/>
      <c r="R12" s="203">
        <f t="shared" si="0"/>
        <v>0</v>
      </c>
      <c r="S12" s="203">
        <f t="shared" si="0"/>
        <v>0</v>
      </c>
    </row>
    <row r="13" spans="1:20" ht="21.75" customHeight="1" x14ac:dyDescent="0.25">
      <c r="A13" s="188" t="s">
        <v>198</v>
      </c>
      <c r="B13" s="195" t="s">
        <v>240</v>
      </c>
      <c r="C13" s="206" t="s">
        <v>210</v>
      </c>
      <c r="D13" s="203">
        <f t="shared" ref="D13:Q13" si="1">SUM(D14:D16)</f>
        <v>0</v>
      </c>
      <c r="E13" s="203">
        <f t="shared" si="1"/>
        <v>5378111</v>
      </c>
      <c r="F13" s="203">
        <f t="shared" si="1"/>
        <v>0</v>
      </c>
      <c r="G13" s="203">
        <f t="shared" si="1"/>
        <v>0</v>
      </c>
      <c r="H13" s="203">
        <f t="shared" si="1"/>
        <v>0</v>
      </c>
      <c r="I13" s="203">
        <f t="shared" si="1"/>
        <v>0</v>
      </c>
      <c r="J13" s="203">
        <f t="shared" si="1"/>
        <v>0</v>
      </c>
      <c r="K13" s="203">
        <f t="shared" si="1"/>
        <v>0</v>
      </c>
      <c r="L13" s="203">
        <f t="shared" si="1"/>
        <v>0</v>
      </c>
      <c r="M13" s="203">
        <f t="shared" si="1"/>
        <v>0</v>
      </c>
      <c r="N13" s="203">
        <f t="shared" si="1"/>
        <v>0</v>
      </c>
      <c r="O13" s="203">
        <f t="shared" si="1"/>
        <v>0</v>
      </c>
      <c r="P13" s="203">
        <f t="shared" si="1"/>
        <v>0</v>
      </c>
      <c r="Q13" s="203">
        <f t="shared" si="1"/>
        <v>0</v>
      </c>
      <c r="R13" s="203">
        <f t="shared" si="0"/>
        <v>0</v>
      </c>
      <c r="S13" s="203">
        <f t="shared" si="0"/>
        <v>5378111</v>
      </c>
    </row>
    <row r="14" spans="1:20" ht="21.75" customHeight="1" x14ac:dyDescent="0.25">
      <c r="A14" s="188" t="s">
        <v>199</v>
      </c>
      <c r="B14" s="197" t="s">
        <v>125</v>
      </c>
      <c r="C14" s="206"/>
      <c r="D14" s="203"/>
      <c r="E14" s="203"/>
      <c r="F14" s="203"/>
      <c r="G14" s="203"/>
      <c r="H14" s="203"/>
      <c r="I14" s="203"/>
      <c r="J14" s="203"/>
      <c r="K14" s="203"/>
      <c r="L14" s="203"/>
      <c r="M14" s="203"/>
      <c r="N14" s="203"/>
      <c r="O14" s="203"/>
      <c r="P14" s="203"/>
      <c r="Q14" s="203"/>
      <c r="R14" s="203">
        <f t="shared" si="0"/>
        <v>0</v>
      </c>
      <c r="S14" s="203">
        <f t="shared" si="0"/>
        <v>0</v>
      </c>
    </row>
    <row r="15" spans="1:20" ht="21.75" customHeight="1" x14ac:dyDescent="0.25">
      <c r="A15" s="188" t="s">
        <v>200</v>
      </c>
      <c r="B15" s="197" t="s">
        <v>115</v>
      </c>
      <c r="C15" s="207"/>
      <c r="D15" s="203"/>
      <c r="E15" s="203"/>
      <c r="F15" s="203"/>
      <c r="G15" s="203"/>
      <c r="H15" s="203"/>
      <c r="I15" s="203"/>
      <c r="J15" s="203"/>
      <c r="K15" s="203"/>
      <c r="L15" s="203"/>
      <c r="M15" s="203"/>
      <c r="N15" s="203"/>
      <c r="O15" s="203"/>
      <c r="P15" s="203"/>
      <c r="Q15" s="203"/>
      <c r="R15" s="203">
        <f t="shared" si="0"/>
        <v>0</v>
      </c>
      <c r="S15" s="203">
        <f t="shared" si="0"/>
        <v>0</v>
      </c>
    </row>
    <row r="16" spans="1:20" ht="21.75" customHeight="1" x14ac:dyDescent="0.25">
      <c r="A16" s="188" t="s">
        <v>201</v>
      </c>
      <c r="B16" s="92" t="s">
        <v>566</v>
      </c>
      <c r="C16" s="207"/>
      <c r="D16" s="203"/>
      <c r="E16" s="203">
        <v>5378111</v>
      </c>
      <c r="F16" s="203"/>
      <c r="G16" s="203"/>
      <c r="H16" s="203"/>
      <c r="I16" s="203"/>
      <c r="J16" s="203"/>
      <c r="K16" s="203"/>
      <c r="L16" s="203"/>
      <c r="M16" s="203"/>
      <c r="N16" s="203"/>
      <c r="O16" s="203"/>
      <c r="P16" s="203"/>
      <c r="Q16" s="203"/>
      <c r="R16" s="203">
        <f t="shared" si="0"/>
        <v>0</v>
      </c>
      <c r="S16" s="203">
        <f t="shared" si="0"/>
        <v>5378111</v>
      </c>
    </row>
    <row r="17" spans="1:19" ht="21.75" customHeight="1" x14ac:dyDescent="0.25">
      <c r="A17" s="188" t="s">
        <v>202</v>
      </c>
      <c r="B17" s="194" t="s">
        <v>247</v>
      </c>
      <c r="C17" s="206" t="s">
        <v>211</v>
      </c>
      <c r="D17" s="203"/>
      <c r="E17" s="203"/>
      <c r="F17" s="203">
        <f>+'6.sz. Beruházások'!E154</f>
        <v>604520</v>
      </c>
      <c r="G17" s="203">
        <f>604520-18700+18700+275762+74456+157476+42519+1000000+270000-50000+50000+124252+33548-44000+44000+191503+5535+53201+50000+13000</f>
        <v>2895772</v>
      </c>
      <c r="H17" s="203">
        <f>+'6.sz. Beruházások'!E155</f>
        <v>381000</v>
      </c>
      <c r="I17" s="203">
        <f>381000-41189+41189+5740+1550</f>
        <v>388290</v>
      </c>
      <c r="J17" s="203"/>
      <c r="K17" s="203"/>
      <c r="L17" s="203"/>
      <c r="M17" s="203"/>
      <c r="N17" s="203"/>
      <c r="O17" s="203"/>
      <c r="P17" s="203"/>
      <c r="Q17" s="203"/>
      <c r="R17" s="203">
        <f t="shared" si="0"/>
        <v>985520</v>
      </c>
      <c r="S17" s="203">
        <f t="shared" si="0"/>
        <v>3284062</v>
      </c>
    </row>
    <row r="18" spans="1:19" ht="21.75" customHeight="1" x14ac:dyDescent="0.25">
      <c r="A18" s="188" t="s">
        <v>203</v>
      </c>
      <c r="B18" s="195" t="s">
        <v>338</v>
      </c>
      <c r="C18" s="206" t="s">
        <v>212</v>
      </c>
      <c r="D18" s="203"/>
      <c r="E18" s="203"/>
      <c r="F18" s="203"/>
      <c r="G18" s="203"/>
      <c r="H18" s="203"/>
      <c r="I18" s="203"/>
      <c r="J18" s="203"/>
      <c r="K18" s="203"/>
      <c r="L18" s="203"/>
      <c r="M18" s="203"/>
      <c r="N18" s="203"/>
      <c r="O18" s="203"/>
      <c r="P18" s="203"/>
      <c r="Q18" s="203"/>
      <c r="R18" s="203">
        <f t="shared" si="0"/>
        <v>0</v>
      </c>
      <c r="S18" s="203">
        <f t="shared" si="0"/>
        <v>0</v>
      </c>
    </row>
    <row r="19" spans="1:19" ht="21.75" customHeight="1" x14ac:dyDescent="0.25">
      <c r="A19" s="188" t="s">
        <v>204</v>
      </c>
      <c r="B19" s="195" t="s">
        <v>241</v>
      </c>
      <c r="C19" s="206" t="s">
        <v>213</v>
      </c>
      <c r="D19" s="203"/>
      <c r="E19" s="203"/>
      <c r="F19" s="203"/>
      <c r="G19" s="203"/>
      <c r="H19" s="203"/>
      <c r="I19" s="203"/>
      <c r="J19" s="203"/>
      <c r="K19" s="203"/>
      <c r="L19" s="203"/>
      <c r="M19" s="203"/>
      <c r="N19" s="203"/>
      <c r="O19" s="203"/>
      <c r="P19" s="203"/>
      <c r="Q19" s="203"/>
      <c r="R19" s="203">
        <f t="shared" si="0"/>
        <v>0</v>
      </c>
      <c r="S19" s="203">
        <f t="shared" si="0"/>
        <v>0</v>
      </c>
    </row>
    <row r="20" spans="1:19" ht="21.75" customHeight="1" x14ac:dyDescent="0.25">
      <c r="A20" s="188" t="s">
        <v>231</v>
      </c>
      <c r="B20" s="197" t="s">
        <v>124</v>
      </c>
      <c r="C20" s="206"/>
      <c r="D20" s="203"/>
      <c r="E20" s="203"/>
      <c r="F20" s="203"/>
      <c r="G20" s="203"/>
      <c r="H20" s="203"/>
      <c r="I20" s="203"/>
      <c r="J20" s="203"/>
      <c r="K20" s="203"/>
      <c r="L20" s="203"/>
      <c r="M20" s="203"/>
      <c r="N20" s="203"/>
      <c r="O20" s="203"/>
      <c r="P20" s="203"/>
      <c r="Q20" s="203"/>
      <c r="R20" s="203">
        <f t="shared" si="0"/>
        <v>0</v>
      </c>
      <c r="S20" s="203">
        <f t="shared" si="0"/>
        <v>0</v>
      </c>
    </row>
    <row r="21" spans="1:19" ht="21.75" customHeight="1" x14ac:dyDescent="0.25">
      <c r="A21" s="188" t="s">
        <v>232</v>
      </c>
      <c r="B21" s="194" t="s">
        <v>242</v>
      </c>
      <c r="C21" s="206" t="s">
        <v>214</v>
      </c>
      <c r="D21" s="203">
        <f>+D9+D10+D11+D12+D13+D17+D18+D19</f>
        <v>0</v>
      </c>
      <c r="E21" s="203">
        <f t="shared" ref="E21:Q21" si="2">+E9+E10+E11+E12+E13+E17+E18+E19</f>
        <v>5378111</v>
      </c>
      <c r="F21" s="203">
        <f t="shared" si="2"/>
        <v>210068821</v>
      </c>
      <c r="G21" s="203">
        <f t="shared" si="2"/>
        <v>223017238</v>
      </c>
      <c r="H21" s="203">
        <f t="shared" si="2"/>
        <v>110745440</v>
      </c>
      <c r="I21" s="203">
        <f t="shared" si="2"/>
        <v>116402367</v>
      </c>
      <c r="J21" s="203">
        <f t="shared" si="2"/>
        <v>635000</v>
      </c>
      <c r="K21" s="203">
        <f t="shared" si="2"/>
        <v>635000</v>
      </c>
      <c r="L21" s="203">
        <f t="shared" si="2"/>
        <v>0</v>
      </c>
      <c r="M21" s="203">
        <f t="shared" si="2"/>
        <v>500000</v>
      </c>
      <c r="N21" s="203">
        <f t="shared" si="2"/>
        <v>0</v>
      </c>
      <c r="O21" s="203">
        <f t="shared" si="2"/>
        <v>0</v>
      </c>
      <c r="P21" s="203">
        <f t="shared" si="2"/>
        <v>0</v>
      </c>
      <c r="Q21" s="203">
        <f t="shared" si="2"/>
        <v>0</v>
      </c>
      <c r="R21" s="203">
        <f t="shared" si="0"/>
        <v>321449261</v>
      </c>
      <c r="S21" s="203">
        <f t="shared" si="0"/>
        <v>345932716</v>
      </c>
    </row>
    <row r="22" spans="1:19" ht="21.75" customHeight="1" x14ac:dyDescent="0.25">
      <c r="A22" s="188" t="s">
        <v>233</v>
      </c>
      <c r="B22" s="194" t="s">
        <v>227</v>
      </c>
      <c r="C22" s="206" t="s">
        <v>223</v>
      </c>
      <c r="D22" s="203">
        <f>SUM(D23:D26)</f>
        <v>0</v>
      </c>
      <c r="E22" s="203">
        <f t="shared" ref="E22:Q22" si="3">SUM(E23:E26)</f>
        <v>0</v>
      </c>
      <c r="F22" s="203">
        <f t="shared" si="3"/>
        <v>0</v>
      </c>
      <c r="G22" s="203">
        <f t="shared" si="3"/>
        <v>0</v>
      </c>
      <c r="H22" s="203">
        <f t="shared" si="3"/>
        <v>0</v>
      </c>
      <c r="I22" s="203">
        <f t="shared" si="3"/>
        <v>0</v>
      </c>
      <c r="J22" s="203">
        <f t="shared" si="3"/>
        <v>0</v>
      </c>
      <c r="K22" s="203">
        <f t="shared" si="3"/>
        <v>0</v>
      </c>
      <c r="L22" s="203">
        <f t="shared" si="3"/>
        <v>0</v>
      </c>
      <c r="M22" s="203">
        <f t="shared" si="3"/>
        <v>0</v>
      </c>
      <c r="N22" s="203">
        <f t="shared" si="3"/>
        <v>0</v>
      </c>
      <c r="O22" s="203">
        <f t="shared" si="3"/>
        <v>0</v>
      </c>
      <c r="P22" s="203">
        <f t="shared" si="3"/>
        <v>0</v>
      </c>
      <c r="Q22" s="203">
        <f t="shared" si="3"/>
        <v>0</v>
      </c>
      <c r="R22" s="203">
        <f t="shared" si="0"/>
        <v>0</v>
      </c>
      <c r="S22" s="203">
        <f t="shared" si="0"/>
        <v>0</v>
      </c>
    </row>
    <row r="23" spans="1:19" ht="21.75" customHeight="1" x14ac:dyDescent="0.25">
      <c r="A23" s="188" t="s">
        <v>234</v>
      </c>
      <c r="B23" s="94" t="s">
        <v>182</v>
      </c>
      <c r="C23" s="207"/>
      <c r="D23" s="203"/>
      <c r="E23" s="203"/>
      <c r="F23" s="203"/>
      <c r="G23" s="203"/>
      <c r="H23" s="203"/>
      <c r="I23" s="203"/>
      <c r="J23" s="203"/>
      <c r="K23" s="203"/>
      <c r="L23" s="203"/>
      <c r="M23" s="203"/>
      <c r="N23" s="203"/>
      <c r="O23" s="203"/>
      <c r="P23" s="203"/>
      <c r="Q23" s="203"/>
      <c r="R23" s="203">
        <f t="shared" si="0"/>
        <v>0</v>
      </c>
      <c r="S23" s="203">
        <f t="shared" si="0"/>
        <v>0</v>
      </c>
    </row>
    <row r="24" spans="1:19" ht="21.75" customHeight="1" x14ac:dyDescent="0.25">
      <c r="A24" s="188" t="s">
        <v>235</v>
      </c>
      <c r="B24" s="193" t="s">
        <v>569</v>
      </c>
      <c r="C24" s="207"/>
      <c r="D24" s="203"/>
      <c r="E24" s="203"/>
      <c r="F24" s="203"/>
      <c r="G24" s="203"/>
      <c r="H24" s="203"/>
      <c r="I24" s="203"/>
      <c r="J24" s="203"/>
      <c r="K24" s="203"/>
      <c r="L24" s="203"/>
      <c r="M24" s="203"/>
      <c r="N24" s="203"/>
      <c r="O24" s="203"/>
      <c r="P24" s="203"/>
      <c r="Q24" s="203"/>
      <c r="R24" s="203">
        <f t="shared" si="0"/>
        <v>0</v>
      </c>
      <c r="S24" s="203">
        <f t="shared" si="0"/>
        <v>0</v>
      </c>
    </row>
    <row r="25" spans="1:19" ht="21.75" customHeight="1" x14ac:dyDescent="0.25">
      <c r="A25" s="188" t="s">
        <v>236</v>
      </c>
      <c r="B25" s="193" t="s">
        <v>570</v>
      </c>
      <c r="C25" s="207"/>
      <c r="D25" s="203"/>
      <c r="E25" s="203"/>
      <c r="F25" s="203"/>
      <c r="G25" s="203"/>
      <c r="H25" s="203"/>
      <c r="I25" s="203"/>
      <c r="J25" s="203"/>
      <c r="K25" s="203"/>
      <c r="L25" s="203"/>
      <c r="M25" s="203"/>
      <c r="N25" s="203"/>
      <c r="O25" s="203"/>
      <c r="P25" s="203"/>
      <c r="Q25" s="203"/>
      <c r="R25" s="203">
        <f t="shared" si="0"/>
        <v>0</v>
      </c>
      <c r="S25" s="203">
        <f t="shared" si="0"/>
        <v>0</v>
      </c>
    </row>
    <row r="26" spans="1:19" ht="21.75" customHeight="1" x14ac:dyDescent="0.25">
      <c r="A26" s="188" t="s">
        <v>237</v>
      </c>
      <c r="B26" s="193" t="s">
        <v>126</v>
      </c>
      <c r="C26" s="207"/>
      <c r="D26" s="203"/>
      <c r="E26" s="203"/>
      <c r="F26" s="203"/>
      <c r="G26" s="203"/>
      <c r="H26" s="203"/>
      <c r="I26" s="203"/>
      <c r="J26" s="203"/>
      <c r="K26" s="203"/>
      <c r="L26" s="203"/>
      <c r="M26" s="203"/>
      <c r="N26" s="203"/>
      <c r="O26" s="203"/>
      <c r="P26" s="203"/>
      <c r="Q26" s="203"/>
      <c r="R26" s="203">
        <f t="shared" si="0"/>
        <v>0</v>
      </c>
      <c r="S26" s="203">
        <f t="shared" si="0"/>
        <v>0</v>
      </c>
    </row>
    <row r="27" spans="1:19" ht="21.75" customHeight="1" x14ac:dyDescent="0.25">
      <c r="A27" s="188" t="s">
        <v>238</v>
      </c>
      <c r="B27" s="236" t="s">
        <v>847</v>
      </c>
      <c r="C27" s="207"/>
      <c r="D27" s="203"/>
      <c r="E27" s="203"/>
      <c r="F27" s="203"/>
      <c r="G27" s="203"/>
      <c r="H27" s="203"/>
      <c r="I27" s="203"/>
      <c r="J27" s="203"/>
      <c r="K27" s="203"/>
      <c r="L27" s="203"/>
      <c r="M27" s="203"/>
      <c r="N27" s="203"/>
      <c r="O27" s="203"/>
      <c r="P27" s="203"/>
      <c r="Q27" s="203"/>
      <c r="R27" s="203">
        <f t="shared" si="0"/>
        <v>0</v>
      </c>
      <c r="S27" s="203">
        <f t="shared" si="0"/>
        <v>0</v>
      </c>
    </row>
    <row r="28" spans="1:19" ht="21.75" customHeight="1" x14ac:dyDescent="0.25">
      <c r="A28" s="188" t="s">
        <v>239</v>
      </c>
      <c r="B28" s="191" t="s">
        <v>32</v>
      </c>
      <c r="C28" s="206"/>
      <c r="D28" s="205">
        <f>+D9+D10+D11+D12+D13+D23+D24</f>
        <v>0</v>
      </c>
      <c r="E28" s="205">
        <f t="shared" ref="E28:Q28" si="4">+E9+E10+E11+E12+E13+E23+E24</f>
        <v>5378111</v>
      </c>
      <c r="F28" s="205">
        <f t="shared" si="4"/>
        <v>209464301</v>
      </c>
      <c r="G28" s="205">
        <f t="shared" si="4"/>
        <v>220121466</v>
      </c>
      <c r="H28" s="205">
        <f t="shared" si="4"/>
        <v>110364440</v>
      </c>
      <c r="I28" s="205">
        <f t="shared" si="4"/>
        <v>116014077</v>
      </c>
      <c r="J28" s="205">
        <f t="shared" si="4"/>
        <v>635000</v>
      </c>
      <c r="K28" s="205">
        <f t="shared" si="4"/>
        <v>635000</v>
      </c>
      <c r="L28" s="205">
        <f t="shared" si="4"/>
        <v>0</v>
      </c>
      <c r="M28" s="205">
        <f t="shared" si="4"/>
        <v>500000</v>
      </c>
      <c r="N28" s="205">
        <f t="shared" si="4"/>
        <v>0</v>
      </c>
      <c r="O28" s="205">
        <f t="shared" si="4"/>
        <v>0</v>
      </c>
      <c r="P28" s="205">
        <f t="shared" si="4"/>
        <v>0</v>
      </c>
      <c r="Q28" s="205">
        <f t="shared" si="4"/>
        <v>0</v>
      </c>
      <c r="R28" s="203">
        <f t="shared" si="0"/>
        <v>320463741</v>
      </c>
      <c r="S28" s="203">
        <f t="shared" si="0"/>
        <v>342648654</v>
      </c>
    </row>
    <row r="29" spans="1:19" ht="21.75" customHeight="1" x14ac:dyDescent="0.25">
      <c r="A29" s="188" t="s">
        <v>266</v>
      </c>
      <c r="B29" s="191" t="s">
        <v>33</v>
      </c>
      <c r="C29" s="206"/>
      <c r="D29" s="205">
        <f>+D17+D18+D19+D25+D26</f>
        <v>0</v>
      </c>
      <c r="E29" s="205">
        <f t="shared" ref="E29:Q29" si="5">+E17+E18+E19+E25+E26</f>
        <v>0</v>
      </c>
      <c r="F29" s="205">
        <f t="shared" si="5"/>
        <v>604520</v>
      </c>
      <c r="G29" s="205">
        <f t="shared" si="5"/>
        <v>2895772</v>
      </c>
      <c r="H29" s="205">
        <f t="shared" si="5"/>
        <v>381000</v>
      </c>
      <c r="I29" s="205">
        <f t="shared" si="5"/>
        <v>388290</v>
      </c>
      <c r="J29" s="205">
        <f t="shared" si="5"/>
        <v>0</v>
      </c>
      <c r="K29" s="205">
        <f t="shared" si="5"/>
        <v>0</v>
      </c>
      <c r="L29" s="205">
        <f t="shared" si="5"/>
        <v>0</v>
      </c>
      <c r="M29" s="205">
        <f t="shared" si="5"/>
        <v>0</v>
      </c>
      <c r="N29" s="205">
        <f t="shared" si="5"/>
        <v>0</v>
      </c>
      <c r="O29" s="205">
        <f t="shared" si="5"/>
        <v>0</v>
      </c>
      <c r="P29" s="205">
        <f t="shared" si="5"/>
        <v>0</v>
      </c>
      <c r="Q29" s="205">
        <f t="shared" si="5"/>
        <v>0</v>
      </c>
      <c r="R29" s="203">
        <f t="shared" si="0"/>
        <v>985520</v>
      </c>
      <c r="S29" s="203">
        <f t="shared" si="0"/>
        <v>3284062</v>
      </c>
    </row>
    <row r="30" spans="1:19" ht="21.75" customHeight="1" x14ac:dyDescent="0.25">
      <c r="A30" s="188" t="s">
        <v>267</v>
      </c>
      <c r="B30" s="191" t="s">
        <v>333</v>
      </c>
      <c r="C30" s="206" t="s">
        <v>31</v>
      </c>
      <c r="D30" s="205">
        <f>SUM(D28:D29)</f>
        <v>0</v>
      </c>
      <c r="E30" s="205">
        <f t="shared" ref="E30:Q30" si="6">SUM(E28:E29)</f>
        <v>5378111</v>
      </c>
      <c r="F30" s="205">
        <f t="shared" si="6"/>
        <v>210068821</v>
      </c>
      <c r="G30" s="205">
        <f t="shared" si="6"/>
        <v>223017238</v>
      </c>
      <c r="H30" s="205">
        <f t="shared" si="6"/>
        <v>110745440</v>
      </c>
      <c r="I30" s="205">
        <f t="shared" si="6"/>
        <v>116402367</v>
      </c>
      <c r="J30" s="205">
        <f t="shared" si="6"/>
        <v>635000</v>
      </c>
      <c r="K30" s="205">
        <f t="shared" si="6"/>
        <v>635000</v>
      </c>
      <c r="L30" s="205">
        <f t="shared" si="6"/>
        <v>0</v>
      </c>
      <c r="M30" s="205">
        <f t="shared" si="6"/>
        <v>500000</v>
      </c>
      <c r="N30" s="205">
        <f t="shared" si="6"/>
        <v>0</v>
      </c>
      <c r="O30" s="205">
        <f t="shared" si="6"/>
        <v>0</v>
      </c>
      <c r="P30" s="205">
        <f t="shared" si="6"/>
        <v>0</v>
      </c>
      <c r="Q30" s="205">
        <f t="shared" si="6"/>
        <v>0</v>
      </c>
      <c r="R30" s="203">
        <f t="shared" si="0"/>
        <v>321449261</v>
      </c>
      <c r="S30" s="203">
        <f t="shared" si="0"/>
        <v>345932716</v>
      </c>
    </row>
    <row r="31" spans="1:19" ht="21.75" customHeight="1" x14ac:dyDescent="0.25">
      <c r="A31" s="188" t="s">
        <v>268</v>
      </c>
      <c r="B31" s="196" t="s">
        <v>52</v>
      </c>
      <c r="C31" s="194" t="s">
        <v>215</v>
      </c>
      <c r="D31" s="203"/>
      <c r="E31" s="203"/>
      <c r="F31" s="203"/>
      <c r="G31" s="203"/>
      <c r="H31" s="203"/>
      <c r="I31" s="203"/>
      <c r="J31" s="203"/>
      <c r="K31" s="203"/>
      <c r="L31" s="203"/>
      <c r="M31" s="203"/>
      <c r="N31" s="203"/>
      <c r="O31" s="203"/>
      <c r="P31" s="203"/>
      <c r="Q31" s="203"/>
      <c r="R31" s="203">
        <f t="shared" si="0"/>
        <v>0</v>
      </c>
      <c r="S31" s="203">
        <f t="shared" si="0"/>
        <v>0</v>
      </c>
    </row>
    <row r="32" spans="1:19" ht="21.75" customHeight="1" x14ac:dyDescent="0.25">
      <c r="A32" s="188" t="s">
        <v>269</v>
      </c>
      <c r="B32" s="196" t="s">
        <v>226</v>
      </c>
      <c r="C32" s="194" t="s">
        <v>216</v>
      </c>
      <c r="D32" s="203"/>
      <c r="E32" s="203"/>
      <c r="F32" s="203"/>
      <c r="G32" s="203"/>
      <c r="H32" s="203"/>
      <c r="I32" s="203"/>
      <c r="J32" s="203"/>
      <c r="K32" s="203"/>
      <c r="L32" s="203"/>
      <c r="M32" s="203"/>
      <c r="N32" s="203"/>
      <c r="O32" s="203"/>
      <c r="P32" s="203"/>
      <c r="Q32" s="203"/>
      <c r="R32" s="203">
        <f t="shared" si="0"/>
        <v>0</v>
      </c>
      <c r="S32" s="203">
        <f t="shared" si="0"/>
        <v>0</v>
      </c>
    </row>
    <row r="33" spans="1:19" ht="21.75" customHeight="1" x14ac:dyDescent="0.25">
      <c r="A33" s="188" t="s">
        <v>270</v>
      </c>
      <c r="B33" s="196" t="s">
        <v>225</v>
      </c>
      <c r="C33" s="194" t="s">
        <v>217</v>
      </c>
      <c r="D33" s="203"/>
      <c r="E33" s="203"/>
      <c r="F33" s="203"/>
      <c r="G33" s="203"/>
      <c r="H33" s="203"/>
      <c r="I33" s="203"/>
      <c r="J33" s="203"/>
      <c r="K33" s="203"/>
      <c r="L33" s="203"/>
      <c r="M33" s="203"/>
      <c r="N33" s="203"/>
      <c r="O33" s="203"/>
      <c r="P33" s="203"/>
      <c r="Q33" s="203"/>
      <c r="R33" s="203">
        <f t="shared" si="0"/>
        <v>0</v>
      </c>
      <c r="S33" s="203">
        <f t="shared" si="0"/>
        <v>0</v>
      </c>
    </row>
    <row r="34" spans="1:19" ht="21.75" customHeight="1" x14ac:dyDescent="0.25">
      <c r="A34" s="188" t="s">
        <v>271</v>
      </c>
      <c r="B34" s="195" t="s">
        <v>0</v>
      </c>
      <c r="C34" s="194" t="s">
        <v>218</v>
      </c>
      <c r="D34" s="203"/>
      <c r="E34" s="203"/>
      <c r="F34" s="203">
        <v>20</v>
      </c>
      <c r="G34" s="203">
        <f>20+254237+614-14</f>
        <v>254857</v>
      </c>
      <c r="H34" s="203"/>
      <c r="I34" s="203">
        <v>783</v>
      </c>
      <c r="J34" s="203"/>
      <c r="K34" s="203"/>
      <c r="L34" s="203"/>
      <c r="M34" s="203"/>
      <c r="N34" s="203"/>
      <c r="O34" s="203"/>
      <c r="P34" s="203"/>
      <c r="Q34" s="203"/>
      <c r="R34" s="203">
        <f t="shared" si="0"/>
        <v>20</v>
      </c>
      <c r="S34" s="203">
        <f t="shared" si="0"/>
        <v>255640</v>
      </c>
    </row>
    <row r="35" spans="1:19" ht="21.75" customHeight="1" x14ac:dyDescent="0.25">
      <c r="A35" s="188" t="s">
        <v>272</v>
      </c>
      <c r="B35" s="196" t="s">
        <v>248</v>
      </c>
      <c r="C35" s="194" t="s">
        <v>219</v>
      </c>
      <c r="D35" s="203"/>
      <c r="E35" s="203"/>
      <c r="F35" s="203"/>
      <c r="G35" s="203"/>
      <c r="H35" s="203"/>
      <c r="I35" s="203"/>
      <c r="J35" s="203"/>
      <c r="K35" s="203"/>
      <c r="L35" s="203"/>
      <c r="M35" s="203"/>
      <c r="N35" s="203"/>
      <c r="O35" s="203"/>
      <c r="P35" s="203"/>
      <c r="Q35" s="203"/>
      <c r="R35" s="203">
        <f t="shared" si="0"/>
        <v>0</v>
      </c>
      <c r="S35" s="203">
        <f t="shared" si="0"/>
        <v>0</v>
      </c>
    </row>
    <row r="36" spans="1:19" ht="21.75" customHeight="1" x14ac:dyDescent="0.25">
      <c r="A36" s="188" t="s">
        <v>273</v>
      </c>
      <c r="B36" s="196" t="s">
        <v>243</v>
      </c>
      <c r="C36" s="194" t="s">
        <v>220</v>
      </c>
      <c r="D36" s="203"/>
      <c r="E36" s="203"/>
      <c r="F36" s="203"/>
      <c r="G36" s="203"/>
      <c r="H36" s="203"/>
      <c r="I36" s="203"/>
      <c r="J36" s="203"/>
      <c r="K36" s="203"/>
      <c r="L36" s="203"/>
      <c r="M36" s="203"/>
      <c r="N36" s="203"/>
      <c r="O36" s="203"/>
      <c r="P36" s="203"/>
      <c r="Q36" s="203"/>
      <c r="R36" s="203">
        <f t="shared" si="0"/>
        <v>0</v>
      </c>
      <c r="S36" s="203">
        <f t="shared" si="0"/>
        <v>0</v>
      </c>
    </row>
    <row r="37" spans="1:19" ht="21.75" customHeight="1" x14ac:dyDescent="0.25">
      <c r="A37" s="188" t="s">
        <v>274</v>
      </c>
      <c r="B37" s="196" t="s">
        <v>244</v>
      </c>
      <c r="C37" s="194" t="s">
        <v>221</v>
      </c>
      <c r="D37" s="203"/>
      <c r="E37" s="203"/>
      <c r="F37" s="203"/>
      <c r="G37" s="203"/>
      <c r="H37" s="203"/>
      <c r="I37" s="203"/>
      <c r="J37" s="203"/>
      <c r="K37" s="203"/>
      <c r="L37" s="203"/>
      <c r="M37" s="203"/>
      <c r="N37" s="203"/>
      <c r="O37" s="203"/>
      <c r="P37" s="203"/>
      <c r="Q37" s="203"/>
      <c r="R37" s="203">
        <f t="shared" si="0"/>
        <v>0</v>
      </c>
      <c r="S37" s="203">
        <f t="shared" si="0"/>
        <v>0</v>
      </c>
    </row>
    <row r="38" spans="1:19" ht="21.75" customHeight="1" x14ac:dyDescent="0.25">
      <c r="A38" s="188" t="s">
        <v>275</v>
      </c>
      <c r="B38" s="195" t="s">
        <v>245</v>
      </c>
      <c r="C38" s="194" t="s">
        <v>222</v>
      </c>
      <c r="D38" s="203">
        <f>+D31+D32+D33+D34+D35+D36+D37</f>
        <v>0</v>
      </c>
      <c r="E38" s="203">
        <f t="shared" ref="E38:Q38" si="7">+E31+E32+E33+E34+E35+E36+E37</f>
        <v>0</v>
      </c>
      <c r="F38" s="203">
        <f t="shared" si="7"/>
        <v>20</v>
      </c>
      <c r="G38" s="203">
        <f t="shared" si="7"/>
        <v>254857</v>
      </c>
      <c r="H38" s="203">
        <f t="shared" si="7"/>
        <v>0</v>
      </c>
      <c r="I38" s="203">
        <f t="shared" si="7"/>
        <v>783</v>
      </c>
      <c r="J38" s="203">
        <f t="shared" si="7"/>
        <v>0</v>
      </c>
      <c r="K38" s="203">
        <f t="shared" si="7"/>
        <v>0</v>
      </c>
      <c r="L38" s="203">
        <f t="shared" si="7"/>
        <v>0</v>
      </c>
      <c r="M38" s="203">
        <f t="shared" si="7"/>
        <v>0</v>
      </c>
      <c r="N38" s="203">
        <f t="shared" si="7"/>
        <v>0</v>
      </c>
      <c r="O38" s="203">
        <f t="shared" si="7"/>
        <v>0</v>
      </c>
      <c r="P38" s="203">
        <f t="shared" si="7"/>
        <v>0</v>
      </c>
      <c r="Q38" s="203">
        <f t="shared" si="7"/>
        <v>0</v>
      </c>
      <c r="R38" s="203">
        <f t="shared" si="0"/>
        <v>20</v>
      </c>
      <c r="S38" s="203">
        <f t="shared" si="0"/>
        <v>255640</v>
      </c>
    </row>
    <row r="39" spans="1:19" ht="21.75" customHeight="1" x14ac:dyDescent="0.25">
      <c r="A39" s="188" t="s">
        <v>276</v>
      </c>
      <c r="B39" s="194" t="s">
        <v>246</v>
      </c>
      <c r="C39" s="206" t="s">
        <v>224</v>
      </c>
      <c r="D39" s="203">
        <f>SUM(D41:D45)</f>
        <v>321449241</v>
      </c>
      <c r="E39" s="203">
        <f>SUM(E41:E45)</f>
        <v>345677076</v>
      </c>
      <c r="F39" s="203">
        <f t="shared" ref="F39:Q39" si="8">SUM(F41:F45)</f>
        <v>0</v>
      </c>
      <c r="G39" s="203">
        <f t="shared" si="8"/>
        <v>0</v>
      </c>
      <c r="H39" s="203">
        <f t="shared" si="8"/>
        <v>0</v>
      </c>
      <c r="I39" s="203">
        <f t="shared" si="8"/>
        <v>0</v>
      </c>
      <c r="J39" s="203">
        <f t="shared" si="8"/>
        <v>0</v>
      </c>
      <c r="K39" s="203">
        <f t="shared" si="8"/>
        <v>0</v>
      </c>
      <c r="L39" s="203">
        <f t="shared" si="8"/>
        <v>0</v>
      </c>
      <c r="M39" s="203">
        <f t="shared" si="8"/>
        <v>0</v>
      </c>
      <c r="N39" s="203">
        <f t="shared" si="8"/>
        <v>0</v>
      </c>
      <c r="O39" s="203">
        <f t="shared" si="8"/>
        <v>0</v>
      </c>
      <c r="P39" s="203">
        <f t="shared" si="8"/>
        <v>0</v>
      </c>
      <c r="Q39" s="203">
        <f t="shared" si="8"/>
        <v>0</v>
      </c>
      <c r="R39" s="203">
        <f t="shared" si="0"/>
        <v>321449241</v>
      </c>
      <c r="S39" s="203">
        <f t="shared" si="0"/>
        <v>345677076</v>
      </c>
    </row>
    <row r="40" spans="1:19" ht="21.75" customHeight="1" x14ac:dyDescent="0.25">
      <c r="A40" s="188" t="s">
        <v>277</v>
      </c>
      <c r="B40" s="94" t="s">
        <v>593</v>
      </c>
      <c r="C40" s="206"/>
      <c r="D40" s="203"/>
      <c r="E40" s="203"/>
      <c r="F40" s="203"/>
      <c r="G40" s="203"/>
      <c r="H40" s="203"/>
      <c r="I40" s="203"/>
      <c r="J40" s="203"/>
      <c r="K40" s="203"/>
      <c r="L40" s="203"/>
      <c r="M40" s="203"/>
      <c r="N40" s="203"/>
      <c r="O40" s="203"/>
      <c r="P40" s="203"/>
      <c r="Q40" s="203"/>
      <c r="R40" s="203">
        <f t="shared" si="0"/>
        <v>0</v>
      </c>
      <c r="S40" s="203">
        <f t="shared" si="0"/>
        <v>0</v>
      </c>
    </row>
    <row r="41" spans="1:19" ht="21.75" customHeight="1" x14ac:dyDescent="0.25">
      <c r="A41" s="188" t="s">
        <v>278</v>
      </c>
      <c r="B41" s="193" t="s">
        <v>882</v>
      </c>
      <c r="C41" s="207"/>
      <c r="D41" s="203">
        <f>22860+245157</f>
        <v>268017</v>
      </c>
      <c r="E41" s="203">
        <f>22860+245157+5378111</f>
        <v>5646128</v>
      </c>
      <c r="F41" s="203"/>
      <c r="G41" s="203"/>
      <c r="H41" s="203"/>
      <c r="I41" s="203"/>
      <c r="J41" s="203"/>
      <c r="K41" s="203"/>
      <c r="L41" s="203"/>
      <c r="M41" s="203"/>
      <c r="N41" s="203"/>
      <c r="O41" s="203"/>
      <c r="P41" s="203"/>
      <c r="Q41" s="203"/>
      <c r="R41" s="203">
        <f t="shared" si="0"/>
        <v>268017</v>
      </c>
      <c r="S41" s="203">
        <f t="shared" si="0"/>
        <v>5646128</v>
      </c>
    </row>
    <row r="42" spans="1:19" ht="21.75" customHeight="1" x14ac:dyDescent="0.25">
      <c r="A42" s="188" t="s">
        <v>282</v>
      </c>
      <c r="B42" s="193" t="s">
        <v>883</v>
      </c>
      <c r="C42" s="207"/>
      <c r="D42" s="203"/>
      <c r="E42" s="203"/>
      <c r="F42" s="203"/>
      <c r="G42" s="203"/>
      <c r="H42" s="203"/>
      <c r="I42" s="203"/>
      <c r="J42" s="203"/>
      <c r="K42" s="203"/>
      <c r="L42" s="203"/>
      <c r="M42" s="203"/>
      <c r="N42" s="203"/>
      <c r="O42" s="203"/>
      <c r="P42" s="203"/>
      <c r="Q42" s="203"/>
      <c r="R42" s="203">
        <f t="shared" si="0"/>
        <v>0</v>
      </c>
      <c r="S42" s="203">
        <f t="shared" si="0"/>
        <v>0</v>
      </c>
    </row>
    <row r="43" spans="1:19" ht="21.75" customHeight="1" x14ac:dyDescent="0.25">
      <c r="A43" s="188" t="s">
        <v>283</v>
      </c>
      <c r="B43" s="193" t="s">
        <v>554</v>
      </c>
      <c r="C43" s="207"/>
      <c r="D43" s="203">
        <f>+R28-R31-R33-R34-R36-R41</f>
        <v>320195704</v>
      </c>
      <c r="E43" s="203">
        <f>+S28-S31-S33-S34-S36-S41</f>
        <v>336746886</v>
      </c>
      <c r="F43" s="203"/>
      <c r="G43" s="203"/>
      <c r="H43" s="203"/>
      <c r="I43" s="203"/>
      <c r="J43" s="203"/>
      <c r="K43" s="203"/>
      <c r="L43" s="203"/>
      <c r="M43" s="203"/>
      <c r="N43" s="203"/>
      <c r="O43" s="203"/>
      <c r="P43" s="203"/>
      <c r="Q43" s="203"/>
      <c r="R43" s="203">
        <f t="shared" si="0"/>
        <v>320195704</v>
      </c>
      <c r="S43" s="203">
        <f t="shared" si="0"/>
        <v>336746886</v>
      </c>
    </row>
    <row r="44" spans="1:19" ht="21.75" customHeight="1" x14ac:dyDescent="0.25">
      <c r="A44" s="188" t="s">
        <v>284</v>
      </c>
      <c r="B44" s="193" t="s">
        <v>555</v>
      </c>
      <c r="C44" s="207"/>
      <c r="D44" s="203">
        <f>+R29-R32-R35-R37-R42</f>
        <v>985520</v>
      </c>
      <c r="E44" s="203">
        <f>+S29-S32-S35-S37-S42</f>
        <v>3284062</v>
      </c>
      <c r="F44" s="203"/>
      <c r="G44" s="203"/>
      <c r="H44" s="203"/>
      <c r="I44" s="203"/>
      <c r="J44" s="203"/>
      <c r="K44" s="203"/>
      <c r="L44" s="203"/>
      <c r="M44" s="203"/>
      <c r="N44" s="203"/>
      <c r="O44" s="203"/>
      <c r="P44" s="203"/>
      <c r="Q44" s="203"/>
      <c r="R44" s="203">
        <f t="shared" si="0"/>
        <v>985520</v>
      </c>
      <c r="S44" s="203">
        <f t="shared" si="0"/>
        <v>3284062</v>
      </c>
    </row>
    <row r="45" spans="1:19" ht="21.75" customHeight="1" x14ac:dyDescent="0.25">
      <c r="A45" s="188" t="s">
        <v>285</v>
      </c>
      <c r="B45" s="94" t="s">
        <v>592</v>
      </c>
      <c r="C45" s="207"/>
      <c r="D45" s="203"/>
      <c r="E45" s="203"/>
      <c r="F45" s="203"/>
      <c r="G45" s="203"/>
      <c r="H45" s="203"/>
      <c r="I45" s="203"/>
      <c r="J45" s="203"/>
      <c r="K45" s="203"/>
      <c r="L45" s="203"/>
      <c r="M45" s="203"/>
      <c r="N45" s="203"/>
      <c r="O45" s="203"/>
      <c r="P45" s="203"/>
      <c r="Q45" s="203"/>
      <c r="R45" s="203">
        <f t="shared" si="0"/>
        <v>0</v>
      </c>
      <c r="S45" s="203">
        <f t="shared" si="0"/>
        <v>0</v>
      </c>
    </row>
    <row r="46" spans="1:19" ht="21.75" customHeight="1" x14ac:dyDescent="0.25">
      <c r="A46" s="188" t="s">
        <v>286</v>
      </c>
      <c r="B46" s="94" t="s">
        <v>846</v>
      </c>
      <c r="C46" s="207"/>
      <c r="D46" s="203"/>
      <c r="E46" s="203"/>
      <c r="F46" s="203"/>
      <c r="G46" s="203"/>
      <c r="H46" s="203"/>
      <c r="I46" s="203"/>
      <c r="J46" s="203"/>
      <c r="K46" s="203"/>
      <c r="L46" s="203"/>
      <c r="M46" s="203"/>
      <c r="N46" s="203"/>
      <c r="O46" s="203"/>
      <c r="P46" s="203"/>
      <c r="Q46" s="203"/>
      <c r="R46" s="203">
        <f t="shared" si="0"/>
        <v>0</v>
      </c>
      <c r="S46" s="203">
        <f t="shared" si="0"/>
        <v>0</v>
      </c>
    </row>
    <row r="47" spans="1:19" s="120" customFormat="1" ht="21.75" customHeight="1" x14ac:dyDescent="0.25">
      <c r="A47" s="188" t="s">
        <v>287</v>
      </c>
      <c r="B47" s="191" t="s">
        <v>112</v>
      </c>
      <c r="C47" s="206"/>
      <c r="D47" s="205">
        <f>+D31+D33+D34+D36+D41+D43</f>
        <v>320463721</v>
      </c>
      <c r="E47" s="205">
        <f t="shared" ref="E47:Q47" si="9">+E31+E33+E34+E36+E41+E43</f>
        <v>342393014</v>
      </c>
      <c r="F47" s="205">
        <f t="shared" si="9"/>
        <v>20</v>
      </c>
      <c r="G47" s="205">
        <f t="shared" si="9"/>
        <v>254857</v>
      </c>
      <c r="H47" s="205">
        <f t="shared" si="9"/>
        <v>0</v>
      </c>
      <c r="I47" s="205">
        <f t="shared" si="9"/>
        <v>783</v>
      </c>
      <c r="J47" s="205">
        <f t="shared" si="9"/>
        <v>0</v>
      </c>
      <c r="K47" s="205">
        <f t="shared" si="9"/>
        <v>0</v>
      </c>
      <c r="L47" s="205">
        <f t="shared" si="9"/>
        <v>0</v>
      </c>
      <c r="M47" s="205">
        <f t="shared" si="9"/>
        <v>0</v>
      </c>
      <c r="N47" s="205">
        <f t="shared" si="9"/>
        <v>0</v>
      </c>
      <c r="O47" s="205">
        <f t="shared" si="9"/>
        <v>0</v>
      </c>
      <c r="P47" s="205">
        <f t="shared" si="9"/>
        <v>0</v>
      </c>
      <c r="Q47" s="205">
        <f t="shared" si="9"/>
        <v>0</v>
      </c>
      <c r="R47" s="203">
        <f t="shared" si="0"/>
        <v>320463741</v>
      </c>
      <c r="S47" s="203">
        <f t="shared" si="0"/>
        <v>342648654</v>
      </c>
    </row>
    <row r="48" spans="1:19" s="120" customFormat="1" ht="21.75" customHeight="1" x14ac:dyDescent="0.25">
      <c r="A48" s="188" t="s">
        <v>288</v>
      </c>
      <c r="B48" s="191" t="s">
        <v>113</v>
      </c>
      <c r="C48" s="206"/>
      <c r="D48" s="205">
        <f>+D32+D35+D37+D42+D429+D45+D44</f>
        <v>985520</v>
      </c>
      <c r="E48" s="205">
        <f t="shared" ref="E48:Q48" si="10">+E32+E35+E37+E42+E429+E45+E44</f>
        <v>3284062</v>
      </c>
      <c r="F48" s="205">
        <f t="shared" si="10"/>
        <v>0</v>
      </c>
      <c r="G48" s="205">
        <f t="shared" si="10"/>
        <v>0</v>
      </c>
      <c r="H48" s="205">
        <f t="shared" si="10"/>
        <v>0</v>
      </c>
      <c r="I48" s="205">
        <f t="shared" si="10"/>
        <v>0</v>
      </c>
      <c r="J48" s="205">
        <f t="shared" si="10"/>
        <v>0</v>
      </c>
      <c r="K48" s="205">
        <f t="shared" si="10"/>
        <v>0</v>
      </c>
      <c r="L48" s="205">
        <f t="shared" si="10"/>
        <v>0</v>
      </c>
      <c r="M48" s="205">
        <f t="shared" si="10"/>
        <v>0</v>
      </c>
      <c r="N48" s="205">
        <f t="shared" si="10"/>
        <v>0</v>
      </c>
      <c r="O48" s="205">
        <f t="shared" si="10"/>
        <v>0</v>
      </c>
      <c r="P48" s="205">
        <f t="shared" si="10"/>
        <v>0</v>
      </c>
      <c r="Q48" s="205">
        <f t="shared" si="10"/>
        <v>0</v>
      </c>
      <c r="R48" s="203">
        <f t="shared" si="0"/>
        <v>985520</v>
      </c>
      <c r="S48" s="203">
        <f t="shared" si="0"/>
        <v>3284062</v>
      </c>
    </row>
    <row r="49" spans="1:19" s="120" customFormat="1" ht="21.75" customHeight="1" x14ac:dyDescent="0.25">
      <c r="A49" s="188" t="s">
        <v>289</v>
      </c>
      <c r="B49" s="191" t="s">
        <v>334</v>
      </c>
      <c r="C49" s="206"/>
      <c r="D49" s="205">
        <f>+D47+D48</f>
        <v>321449241</v>
      </c>
      <c r="E49" s="205">
        <f t="shared" ref="E49:Q49" si="11">+E47+E48</f>
        <v>345677076</v>
      </c>
      <c r="F49" s="205">
        <f t="shared" si="11"/>
        <v>20</v>
      </c>
      <c r="G49" s="205">
        <f t="shared" si="11"/>
        <v>254857</v>
      </c>
      <c r="H49" s="205">
        <f t="shared" si="11"/>
        <v>0</v>
      </c>
      <c r="I49" s="205">
        <f t="shared" si="11"/>
        <v>783</v>
      </c>
      <c r="J49" s="205">
        <f t="shared" si="11"/>
        <v>0</v>
      </c>
      <c r="K49" s="205">
        <f t="shared" si="11"/>
        <v>0</v>
      </c>
      <c r="L49" s="205">
        <f t="shared" si="11"/>
        <v>0</v>
      </c>
      <c r="M49" s="205">
        <f t="shared" si="11"/>
        <v>0</v>
      </c>
      <c r="N49" s="205">
        <f t="shared" si="11"/>
        <v>0</v>
      </c>
      <c r="O49" s="205">
        <f t="shared" si="11"/>
        <v>0</v>
      </c>
      <c r="P49" s="205">
        <f t="shared" si="11"/>
        <v>0</v>
      </c>
      <c r="Q49" s="205">
        <f t="shared" si="11"/>
        <v>0</v>
      </c>
      <c r="R49" s="203">
        <f t="shared" si="0"/>
        <v>321449261</v>
      </c>
      <c r="S49" s="203">
        <f t="shared" si="0"/>
        <v>345932716</v>
      </c>
    </row>
    <row r="50" spans="1:19" ht="21.75" customHeight="1" x14ac:dyDescent="0.25">
      <c r="A50" s="188" t="s">
        <v>290</v>
      </c>
      <c r="B50" s="380" t="s">
        <v>450</v>
      </c>
      <c r="C50" s="204"/>
      <c r="D50" s="203"/>
      <c r="E50" s="203"/>
      <c r="F50" s="203">
        <v>30</v>
      </c>
      <c r="G50" s="203">
        <v>30</v>
      </c>
      <c r="H50" s="203">
        <v>16</v>
      </c>
      <c r="I50" s="203">
        <v>16</v>
      </c>
      <c r="J50" s="203"/>
      <c r="K50" s="203"/>
      <c r="L50" s="203"/>
      <c r="M50" s="203"/>
      <c r="N50" s="203"/>
      <c r="O50" s="203"/>
      <c r="P50" s="203">
        <v>0</v>
      </c>
      <c r="Q50" s="203"/>
      <c r="R50" s="203">
        <f t="shared" si="0"/>
        <v>46</v>
      </c>
      <c r="S50" s="203">
        <f t="shared" si="0"/>
        <v>46</v>
      </c>
    </row>
    <row r="51" spans="1:19" ht="21.75" customHeight="1" x14ac:dyDescent="0.25">
      <c r="A51" s="188" t="s">
        <v>291</v>
      </c>
      <c r="B51" s="48" t="s">
        <v>1357</v>
      </c>
      <c r="C51" s="204"/>
      <c r="D51" s="203"/>
      <c r="E51" s="203"/>
      <c r="F51" s="186"/>
      <c r="G51" s="186"/>
      <c r="H51" s="186"/>
      <c r="I51" s="186"/>
      <c r="J51" s="186"/>
      <c r="K51" s="186"/>
      <c r="L51" s="186"/>
      <c r="M51" s="186"/>
      <c r="N51" s="186"/>
      <c r="O51" s="186"/>
      <c r="P51" s="203"/>
      <c r="Q51" s="203"/>
      <c r="R51" s="203">
        <f t="shared" si="0"/>
        <v>0</v>
      </c>
      <c r="S51" s="203">
        <f t="shared" si="0"/>
        <v>0</v>
      </c>
    </row>
  </sheetData>
  <mergeCells count="25">
    <mergeCell ref="D2:G2"/>
    <mergeCell ref="Q6:Q7"/>
    <mergeCell ref="S4:S7"/>
    <mergeCell ref="H2:K2"/>
    <mergeCell ref="L2:O2"/>
    <mergeCell ref="P2:S2"/>
    <mergeCell ref="G6:G7"/>
    <mergeCell ref="I6:I7"/>
    <mergeCell ref="K6:K7"/>
    <mergeCell ref="M6:M7"/>
    <mergeCell ref="O6:O7"/>
    <mergeCell ref="B4:C4"/>
    <mergeCell ref="B5:C5"/>
    <mergeCell ref="B6:C6"/>
    <mergeCell ref="R4:R7"/>
    <mergeCell ref="A3:C3"/>
    <mergeCell ref="L6:L7"/>
    <mergeCell ref="D6:D7"/>
    <mergeCell ref="P6:P7"/>
    <mergeCell ref="H6:H7"/>
    <mergeCell ref="J6:J7"/>
    <mergeCell ref="F6:F7"/>
    <mergeCell ref="N6:N7"/>
    <mergeCell ref="A4:A7"/>
    <mergeCell ref="E6:E7"/>
  </mergeCells>
  <phoneticPr fontId="45" type="noConversion"/>
  <printOptions horizontalCentered="1" verticalCentered="1"/>
  <pageMargins left="0.31496062992125984" right="0.31496062992125984" top="0.15748031496062992" bottom="0.15748031496062992" header="0.31496062992125984" footer="0.31496062992125984"/>
  <pageSetup paperSize="9" scale="53" orientation="portrait" r:id="rId1"/>
  <headerFooter>
    <oddHeader>&amp;C2022. évi költségvetés&amp;R&amp;A</oddHeader>
    <oddFooter>&amp;C&amp;P/&amp;N</oddFooter>
  </headerFooter>
  <colBreaks count="3" manualBreakCount="3">
    <brk id="7" max="50" man="1"/>
    <brk id="11" max="50" man="1"/>
    <brk id="15"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W56"/>
  <sheetViews>
    <sheetView view="pageBreakPreview" zoomScale="71" zoomScaleNormal="71" zoomScaleSheetLayoutView="71" workbookViewId="0">
      <pane xSplit="3" ySplit="8" topLeftCell="D21" activePane="bottomRight" state="frozen"/>
      <selection pane="topRight" activeCell="D1" sqref="D1"/>
      <selection pane="bottomLeft" activeCell="A8" sqref="A8"/>
      <selection pane="bottomRight" activeCell="E21" sqref="E21"/>
    </sheetView>
  </sheetViews>
  <sheetFormatPr defaultColWidth="9.140625" defaultRowHeight="15.75" x14ac:dyDescent="0.25"/>
  <cols>
    <col min="1" max="1" width="7" style="21" customWidth="1"/>
    <col min="2" max="2" width="65.7109375" style="21" customWidth="1"/>
    <col min="3" max="3" width="7.85546875" style="21" customWidth="1"/>
    <col min="4" max="5" width="18.28515625" style="4" customWidth="1"/>
    <col min="6" max="6" width="19" style="4" customWidth="1"/>
    <col min="7" max="8" width="18.28515625" style="4" customWidth="1"/>
    <col min="9" max="9" width="17.85546875" style="4" customWidth="1"/>
    <col min="10" max="10" width="20" style="4" customWidth="1"/>
    <col min="11" max="11" width="19.140625" style="21" customWidth="1"/>
    <col min="12" max="12" width="17.42578125" style="21" bestFit="1" customWidth="1"/>
    <col min="13" max="16384" width="9.140625" style="21"/>
  </cols>
  <sheetData>
    <row r="1" spans="1:127" x14ac:dyDescent="0.25">
      <c r="A1" s="174"/>
      <c r="B1" s="174"/>
      <c r="C1" s="174"/>
      <c r="G1" s="37" t="s">
        <v>444</v>
      </c>
      <c r="K1" s="37" t="s">
        <v>444</v>
      </c>
    </row>
    <row r="2" spans="1:127" ht="25.5" customHeight="1" x14ac:dyDescent="0.2">
      <c r="A2" s="1658" t="s">
        <v>258</v>
      </c>
      <c r="B2" s="1659"/>
      <c r="C2" s="1660"/>
      <c r="D2" s="1698" t="s">
        <v>149</v>
      </c>
      <c r="E2" s="1699"/>
      <c r="F2" s="1699"/>
      <c r="G2" s="1699"/>
      <c r="H2" s="1698" t="s">
        <v>149</v>
      </c>
      <c r="I2" s="1699"/>
      <c r="J2" s="1699"/>
      <c r="K2" s="1703"/>
    </row>
    <row r="3" spans="1:127" ht="25.5" customHeight="1" x14ac:dyDescent="0.2">
      <c r="A3" s="1661"/>
      <c r="B3" s="1662"/>
      <c r="C3" s="1663"/>
      <c r="D3" s="1700"/>
      <c r="E3" s="1701"/>
      <c r="F3" s="1701"/>
      <c r="G3" s="1701"/>
      <c r="H3" s="1700"/>
      <c r="I3" s="1701"/>
      <c r="J3" s="1701"/>
      <c r="K3" s="1704"/>
    </row>
    <row r="4" spans="1:127" ht="33.75" customHeight="1" x14ac:dyDescent="0.2">
      <c r="A4" s="1666" t="s">
        <v>192</v>
      </c>
      <c r="B4" s="1667" t="s">
        <v>250</v>
      </c>
      <c r="C4" s="1667"/>
      <c r="D4" s="1548" t="s">
        <v>279</v>
      </c>
      <c r="E4" s="1548" t="s">
        <v>1512</v>
      </c>
      <c r="F4" s="1548" t="s">
        <v>279</v>
      </c>
      <c r="G4" s="1548" t="s">
        <v>1512</v>
      </c>
      <c r="H4" s="1548" t="s">
        <v>279</v>
      </c>
      <c r="I4" s="1548" t="s">
        <v>1512</v>
      </c>
      <c r="J4" s="1548" t="s">
        <v>279</v>
      </c>
      <c r="K4" s="1548" t="s">
        <v>1512</v>
      </c>
    </row>
    <row r="5" spans="1:127" ht="21.75" customHeight="1" x14ac:dyDescent="0.2">
      <c r="A5" s="1666"/>
      <c r="B5" s="1667" t="s">
        <v>11</v>
      </c>
      <c r="C5" s="1667"/>
      <c r="D5" s="1632" t="s">
        <v>228</v>
      </c>
      <c r="E5" s="1632" t="s">
        <v>228</v>
      </c>
      <c r="F5" s="1632" t="s">
        <v>332</v>
      </c>
      <c r="G5" s="1632" t="s">
        <v>332</v>
      </c>
      <c r="H5" s="1632" t="s">
        <v>230</v>
      </c>
      <c r="I5" s="1632" t="s">
        <v>230</v>
      </c>
      <c r="J5" s="1632" t="s">
        <v>249</v>
      </c>
      <c r="K5" s="1702" t="s">
        <v>249</v>
      </c>
    </row>
    <row r="6" spans="1:127" ht="21.75" customHeight="1" x14ac:dyDescent="0.2">
      <c r="A6" s="1666"/>
      <c r="B6" s="1634" t="s">
        <v>741</v>
      </c>
      <c r="C6" s="1634"/>
      <c r="D6" s="1632"/>
      <c r="E6" s="1632"/>
      <c r="F6" s="1632"/>
      <c r="G6" s="1632"/>
      <c r="H6" s="1632"/>
      <c r="I6" s="1632"/>
      <c r="J6" s="1632"/>
      <c r="K6" s="1702"/>
    </row>
    <row r="7" spans="1:127" ht="36.75" customHeight="1" x14ac:dyDescent="0.2">
      <c r="A7" s="1666"/>
      <c r="B7" s="1551" t="s">
        <v>193</v>
      </c>
      <c r="C7" s="134" t="s">
        <v>251</v>
      </c>
      <c r="D7" s="1632"/>
      <c r="E7" s="1632"/>
      <c r="F7" s="1632"/>
      <c r="G7" s="1632"/>
      <c r="H7" s="1632"/>
      <c r="I7" s="1632"/>
      <c r="J7" s="1632"/>
      <c r="K7" s="1702"/>
    </row>
    <row r="8" spans="1:127" x14ac:dyDescent="0.2">
      <c r="A8" s="24" t="s">
        <v>194</v>
      </c>
      <c r="B8" s="25" t="s">
        <v>195</v>
      </c>
      <c r="C8" s="25" t="s">
        <v>196</v>
      </c>
      <c r="D8" s="25" t="s">
        <v>197</v>
      </c>
      <c r="E8" s="25" t="s">
        <v>198</v>
      </c>
      <c r="F8" s="25" t="s">
        <v>199</v>
      </c>
      <c r="G8" s="25" t="s">
        <v>200</v>
      </c>
      <c r="H8" s="25" t="s">
        <v>201</v>
      </c>
      <c r="I8" s="25" t="s">
        <v>202</v>
      </c>
      <c r="J8" s="25" t="s">
        <v>203</v>
      </c>
      <c r="K8" s="25" t="s">
        <v>204</v>
      </c>
    </row>
    <row r="9" spans="1:127" ht="23.25" customHeight="1" x14ac:dyDescent="0.25">
      <c r="A9" s="26" t="s">
        <v>194</v>
      </c>
      <c r="B9" s="23" t="s">
        <v>335</v>
      </c>
      <c r="C9" s="27" t="s">
        <v>205</v>
      </c>
      <c r="D9" s="6">
        <f>SUMIFS('2.1. sz. PMH'!D9:AA9,'2.1. sz. PMH'!$D$5:$AA$5,"kötelező",'2.1. sz. PMH'!$D$3:$AA$3,"Eredeti előirányzat")+SUMIFS('2.2. sz. Hétszínvirág Óvoda'!D9:S9,'2.2. sz. Hétszínvirág Óvoda'!$D$5:$S$5,"kötelező",'2.2. sz. Hétszínvirág Óvoda'!$D$3:$S$3,"Eredeti előirányzat")+SUMIFS('2.3. sz. Mese Óvoda'!D9:O9,'2.3. sz. Mese Óvoda'!$D$5:$O$5,"kötelező",'2.3. sz. Mese Óvoda'!$D$3:$O$3,"Eredeti előirányzat")+SUMIFS('2.4. sz. Bölcsőde'!D9:M9,'2.4. sz. Bölcsőde'!$D$5:$M$5,"kötelező",'2.4. sz. Bölcsőde'!$D$3:$M$3,"Eredeti előirányzat")+SUMIFS('2.5. sz. Gyermekjóléti'!D9:Q9,'2.5. sz. Gyermekjóléti'!$D$5:$Q$5,"kötelező",'2.5. sz. Gyermekjóléti'!$D$3:$Q$3,"Eredeti előirányzat")+SUMIFS('2.6 sz. Területi'!D9:AO9,'2.6 sz. Területi'!$D$5:$AO$5,"kötelező",'2.6 sz. Területi'!$D$3:$AO$3,"Eredeti előirányzat")+SUMIFS('2.7. sz. Könyvtár'!D9:S9,'2.7. sz. Könyvtár'!$D$5:$S$5,"kötelező",'2.7. sz. Könyvtár'!$D$3:$S$3,"Eredeti előirányzat")+SUMIFS('2.8. sz. Műv.Ház'!D9:S9,'2.8. sz. Műv.Ház'!$D$5:$S$5,"kötelező",'2.8. sz. Műv.Ház'!$D$3:$S$3,"Eredeti előirányzat")+SUMIFS('2.9. sz. Szivárvány Ó.'!D9:Q9,'2.9. sz. Szivárvány Ó.'!$D$5:$Q$5,"kötelező",'2.9. sz. Szivárvány Ó.'!$D$3:$Q$3,"Eredeti előirányzat")</f>
        <v>2147176205</v>
      </c>
      <c r="E9" s="6">
        <f>SUMIFS('2.1. sz. PMH'!D9:AA9,'2.1. sz. PMH'!$D$5:$AA$5,"kötelező",'2.1. sz. PMH'!$D$3:$AA$3,"Módosított előirányzat")+SUMIFS('2.2. sz. Hétszínvirág Óvoda'!D9:S9,'2.2. sz. Hétszínvirág Óvoda'!$D$5:$S$5,"kötelező",'2.2. sz. Hétszínvirág Óvoda'!$D$3:$S$3,"Módosított előirányzat")+SUMIFS('2.3. sz. Mese Óvoda'!D9:O9,'2.3. sz. Mese Óvoda'!$D$5:$O$5,"kötelező",'2.3. sz. Mese Óvoda'!$D$3:$O$3,"Módosított előirányzat")+SUMIFS('2.4. sz. Bölcsőde'!D9:M9,'2.4. sz. Bölcsőde'!$D$5:$M$5,"kötelező",'2.4. sz. Bölcsőde'!$D$3:$M$3,"Módosított előirányzat")+SUMIFS('2.5. sz. Gyermekjóléti'!D9:Q9,'2.5. sz. Gyermekjóléti'!$D$5:$Q$5,"kötelező",'2.5. sz. Gyermekjóléti'!$D$3:$Q$3,"Módosított előirányzat")+SUMIFS('2.6 sz. Területi'!D9:AO9,'2.6 sz. Területi'!$D$5:$AO$5,"kötelező",'2.6 sz. Területi'!$D$3:$AO$3,"Módosított előirányzat")+SUMIFS('2.7. sz. Könyvtár'!D9:S9,'2.7. sz. Könyvtár'!$D$5:$S$5,"kötelező",'2.7. sz. Könyvtár'!$D$3:$S$3,"Módosított előirányzat")+SUMIFS('2.8. sz. Műv.Ház'!D9:S9,'2.8. sz. Műv.Ház'!$D$5:$S$5,"kötelező",'2.8. sz. Műv.Ház'!$D$3:$S$3,"Módosított előirányzat")+SUMIFS('2.9. sz. Szivárvány Ó.'!D9:Q9,'2.9. sz. Szivárvány Ó.'!$D$5:$Q$5,"kötelező",'2.9. sz. Szivárvány Ó.'!$D$3:$Q$3,"Módosított előirányzat")</f>
        <v>2224840163</v>
      </c>
      <c r="F9" s="6">
        <f>SUMIFS('2.1. sz. PMH'!D9:AA9,'2.1. sz. PMH'!$D$5:$AA$5,"önként vállalt",'2.1. sz. PMH'!$D$3:$AA$3,"Eredeti előirányzat")+SUMIFS('2.2. sz. Hétszínvirág Óvoda'!D9:S9,'2.2. sz. Hétszínvirág Óvoda'!$D$5:$S$5,"önként vállalt",'2.2. sz. Hétszínvirág Óvoda'!$D$3:$S$3,"Eredeti előirányzat")+SUMIFS('2.3. sz. Mese Óvoda'!D9:O9,'2.3. sz. Mese Óvoda'!$D$5:$O$5,"önként vállalt",'2.3. sz. Mese Óvoda'!$D$3:$O$3,"Eredeti előirányzat")+SUMIFS('2.4. sz. Bölcsőde'!D9:M9,'2.4. sz. Bölcsőde'!$D$5:$M$5,"önként vállalt",'2.4. sz. Bölcsőde'!$D$3:$M$3,"Eredeti előirányzat")+SUMIFS('2.5. sz. Gyermekjóléti'!D9:Q9,'2.5. sz. Gyermekjóléti'!$D$5:$Q$5,"önként vállalt",'2.5. sz. Gyermekjóléti'!$D$3:$Q$3,"Eredeti előirányzat")+SUMIFS('2.6 sz. Területi'!D9:AO9,'2.6 sz. Területi'!$D$5:$AO$5,"önként vállalt",'2.6 sz. Területi'!$D$3:$AO$3,"Eredeti előirányzat")+SUMIFS('2.7. sz. Könyvtár'!D9:S9,'2.7. sz. Könyvtár'!$D$5:$S$5,"önként vállalt",'2.7. sz. Könyvtár'!$D$3:$S$3,"Eredeti előirányzat")+SUMIFS('2.8. sz. Műv.Ház'!D9:S9,'2.8. sz. Műv.Ház'!$D$5:$S$5,"önként vállalt",'2.8. sz. Műv.Ház'!$D$3:$S$3,"Eredeti előirányzat")+SUMIFS('2.9. sz. Szivárvány Ó.'!D9:Q9,'2.9. sz. Szivárvány Ó.'!$D$5:$Q$5,"önként vállalt",'2.9. sz. Szivárvány Ó.'!$D$3:$Q$3,"Eredeti előirányzat")</f>
        <v>70823772</v>
      </c>
      <c r="G9" s="6">
        <f>SUMIFS('2.1. sz. PMH'!D9:AA9,'2.1. sz. PMH'!$D$5:$AA$5,"önként vállalt",'2.1. sz. PMH'!$D$3:$AA$3,"Módosított előirányzat")+SUMIFS('2.2. sz. Hétszínvirág Óvoda'!D9:S9,'2.2. sz. Hétszínvirág Óvoda'!$D$5:$S$5,"önként vállalt",'2.2. sz. Hétszínvirág Óvoda'!$D$3:$S$3,"Módosított előirányzat")+SUMIFS('2.3. sz. Mese Óvoda'!D9:O9,'2.3. sz. Mese Óvoda'!$D$5:$O$5,"önként vállalt",'2.3. sz. Mese Óvoda'!$D$3:$O$3,"Módosított előirányzat")+SUMIFS('2.4. sz. Bölcsőde'!D9:M9,'2.4. sz. Bölcsőde'!$D$5:$M$5,"önként vállalt",'2.4. sz. Bölcsőde'!$D$3:$M$3,"Módosított előirányzat")+SUMIFS('2.5. sz. Gyermekjóléti'!D9:Q9,'2.5. sz. Gyermekjóléti'!$D$5:$Q$5,"önként vállalt",'2.5. sz. Gyermekjóléti'!$D$3:$Q$3,"Módosított előirányzat")+SUMIFS('2.6 sz. Területi'!D9:AO9,'2.6 sz. Területi'!$D$5:$AO$5,"önként vállalt",'2.6 sz. Területi'!$D$3:$AO$3,"Módosított előirányzat")+SUMIFS('2.7. sz. Könyvtár'!D9:S9,'2.7. sz. Könyvtár'!$D$5:$S$5,"önként vállalt",'2.7. sz. Könyvtár'!$D$3:$S$3,"Módosított előirányzat")+SUMIFS('2.8. sz. Műv.Ház'!D9:S9,'2.8. sz. Műv.Ház'!$D$5:$S$5,"önként vállalt",'2.8. sz. Műv.Ház'!$D$3:$S$3,"Módosított előirányzat")+SUMIFS('2.9. sz. Szivárvány Ó.'!D9:Q9,'2.9. sz. Szivárvány Ó.'!$D$5:$Q$5,"önként vállalt",'2.9. sz. Szivárvány Ó.'!$D$3:$Q$3,"Módosított előirányzat")</f>
        <v>74912922</v>
      </c>
      <c r="H9" s="6">
        <f>SUMIFS('2.1. sz. PMH'!D9:AA9,'2.1. sz. PMH'!$D$5:$AA$5,"államigazgatási",'2.1. sz. PMH'!$D$3:$AA$3,"Eredeti előirányzat")+SUMIFS('2.2. sz. Hétszínvirág Óvoda'!D9:S9,'2.2. sz. Hétszínvirág Óvoda'!$D$5:$S$5,"államigazgatási",'2.2. sz. Hétszínvirág Óvoda'!$D$3:$S$3,"Eredeti előirányzat")+SUMIFS('2.3. sz. Mese Óvoda'!D9:O9,'2.3. sz. Mese Óvoda'!$D$5:$O$5,"államigazgatási",'2.3. sz. Mese Óvoda'!$D$3:$O$3,"Eredeti előirányzat")+SUMIFS('2.4. sz. Bölcsőde'!D9:M9,'2.4. sz. Bölcsőde'!$D$5:$M$5,"államigazgatási",'2.4. sz. Bölcsőde'!$D$3:$M$3,"Eredeti előirányzat")+SUMIFS('2.5. sz. Gyermekjóléti'!D9:Q9,'2.5. sz. Gyermekjóléti'!$D$5:$Q$5,"államigazgatási",'2.5. sz. Gyermekjóléti'!$D$3:$Q$3,"Eredeti előirányzat")+SUMIFS('2.6 sz. Területi'!D9:AO9,'2.6 sz. Területi'!$D$5:$AO$5,"államigazgatási",'2.6 sz. Területi'!$D$3:$AO$3,"Eredeti előirányzat")+SUMIFS('2.7. sz. Könyvtár'!D9:S9,'2.7. sz. Könyvtár'!$D$5:$S$5,"államigazgatási",'2.7. sz. Könyvtár'!$D$3:$S$3,"Eredeti előirányzat")+SUMIFS('2.8. sz. Műv.Ház'!D9:S9,'2.8. sz. Műv.Ház'!$D$5:$S$5,"államigazgatási",'2.8. sz. Műv.Ház'!$D$3:$S$3,"Eredeti előirányzat")+SUMIFS('2.9. sz. Szivárvány Ó.'!D9:Q9,'2.9. sz. Szivárvány Ó.'!$D$5:$Q$5,"államigazgatási",'2.9. sz. Szivárvány Ó.'!$D$3:$Q$3,"Eredeti előirányzat")</f>
        <v>79297519</v>
      </c>
      <c r="I9" s="6">
        <f>SUMIFS('2.1. sz. PMH'!D9:AA9,'2.1. sz. PMH'!$D$5:$AA$5,"államigazgatási",'2.1. sz. PMH'!$D$3:$AA$3,"Módosított előirányzat")+SUMIFS('2.2. sz. Hétszínvirág Óvoda'!D9:S9,'2.2. sz. Hétszínvirág Óvoda'!$D$5:$S$5,"államigazgatási",'2.2. sz. Hétszínvirág Óvoda'!$D$3:$S$3,"Módosított előirányzat")+SUMIFS('2.3. sz. Mese Óvoda'!D9:O9,'2.3. sz. Mese Óvoda'!$D$5:$O$5,"államigazgatási",'2.3. sz. Mese Óvoda'!$D$3:$O$3,"Módosított előirányzat")+SUMIFS('2.4. sz. Bölcsőde'!D9:M9,'2.4. sz. Bölcsőde'!$D$5:$M$5,"államigazgatási",'2.4. sz. Bölcsőde'!$D$3:$M$3,"Módosított előirányzat")+SUMIFS('2.5. sz. Gyermekjóléti'!D9:Q9,'2.5. sz. Gyermekjóléti'!$D$5:$Q$5,"államigazgatási",'2.5. sz. Gyermekjóléti'!$D$3:$Q$3,"Módosított előirányzat")+SUMIFS('2.6 sz. Területi'!D9:AO9,'2.6 sz. Területi'!$D$5:$AO$5,"államigazgatási",'2.6 sz. Területi'!$D$3:$AO$3,"Módosított előirányzat")+SUMIFS('2.7. sz. Könyvtár'!D9:S9,'2.7. sz. Könyvtár'!$D$5:$S$5,"államigazgatási",'2.7. sz. Könyvtár'!$D$3:$S$3,"Módosított előirányzat")+SUMIFS('2.8. sz. Műv.Ház'!D9:S9,'2.8. sz. Műv.Ház'!$D$5:$S$5,"államigazgatási",'2.8. sz. Műv.Ház'!$D$3:$S$3,"Módosított előirányzat")+SUMIFS('2.9. sz. Szivárvány Ó.'!D9:Q9,'2.9. sz. Szivárvány Ó.'!$D$5:$Q$5,"államigazgatási",'2.9. sz. Szivárvány Ó.'!$D$3:$Q$3,"Módosított előirányzat")</f>
        <v>109414163</v>
      </c>
      <c r="J9" s="6">
        <f>D9+F9+H9</f>
        <v>2297297496</v>
      </c>
      <c r="K9" s="1179">
        <f>E9+G9+I9</f>
        <v>2409167248</v>
      </c>
    </row>
    <row r="10" spans="1:127" ht="23.25" customHeight="1" x14ac:dyDescent="0.25">
      <c r="A10" s="26" t="s">
        <v>195</v>
      </c>
      <c r="B10" s="28" t="s">
        <v>206</v>
      </c>
      <c r="C10" s="27" t="s">
        <v>207</v>
      </c>
      <c r="D10" s="6">
        <f>SUMIFS('2.1. sz. PMH'!D10:AA10,'2.1. sz. PMH'!$D$5:$AA$5,"kötelező",'2.1. sz. PMH'!$D$3:$AA$3,"Eredeti előirányzat")+SUMIFS('2.2. sz. Hétszínvirág Óvoda'!D10:S10,'2.2. sz. Hétszínvirág Óvoda'!$D$5:$S$5,"kötelező",'2.2. sz. Hétszínvirág Óvoda'!$D$3:$S$3,"Eredeti előirányzat")+SUMIFS('2.3. sz. Mese Óvoda'!D10:O10,'2.3. sz. Mese Óvoda'!$D$5:$O$5,"kötelező",'2.3. sz. Mese Óvoda'!$D$3:$O$3,"Eredeti előirányzat")+SUMIFS('2.4. sz. Bölcsőde'!D10:M10,'2.4. sz. Bölcsőde'!$D$5:$M$5,"kötelező",'2.4. sz. Bölcsőde'!$D$3:$M$3,"Eredeti előirányzat")+SUMIFS('2.5. sz. Gyermekjóléti'!D10:Q10,'2.5. sz. Gyermekjóléti'!$D$5:$Q$5,"kötelező",'2.5. sz. Gyermekjóléti'!$D$3:$Q$3,"Eredeti előirányzat")+SUMIFS('2.6 sz. Területi'!D10:AO10,'2.6 sz. Területi'!$D$5:$AO$5,"kötelező",'2.6 sz. Területi'!$D$3:$AO$3,"Eredeti előirányzat")+SUMIFS('2.7. sz. Könyvtár'!D10:S10,'2.7. sz. Könyvtár'!$D$5:$S$5,"kötelező",'2.7. sz. Könyvtár'!$D$3:$S$3,"Eredeti előirányzat")+SUMIFS('2.8. sz. Műv.Ház'!D10:S10,'2.8. sz. Műv.Ház'!$D$5:$S$5,"kötelező",'2.8. sz. Műv.Ház'!$D$3:$S$3,"Eredeti előirányzat")+SUMIFS('2.9. sz. Szivárvány Ó.'!D10:Q10,'2.9. sz. Szivárvány Ó.'!$D$5:$Q$5,"kötelező",'2.9. sz. Szivárvány Ó.'!$D$3:$Q$3,"Eredeti előirányzat")</f>
        <v>324656943</v>
      </c>
      <c r="E10" s="6">
        <f>SUMIFS('2.1. sz. PMH'!D10:AA10,'2.1. sz. PMH'!$D$5:$AA$5,"kötelező",'2.1. sz. PMH'!$D$3:$AA$3,"Módosított előirányzat")+SUMIFS('2.2. sz. Hétszínvirág Óvoda'!D10:S10,'2.2. sz. Hétszínvirág Óvoda'!$D$5:$S$5,"kötelező",'2.2. sz. Hétszínvirág Óvoda'!$D$3:$S$3,"Módosított előirányzat")+SUMIFS('2.3. sz. Mese Óvoda'!D10:O10,'2.3. sz. Mese Óvoda'!$D$5:$O$5,"kötelező",'2.3. sz. Mese Óvoda'!$D$3:$O$3,"Módosított előirányzat")+SUMIFS('2.4. sz. Bölcsőde'!D10:M10,'2.4. sz. Bölcsőde'!$D$5:$M$5,"kötelező",'2.4. sz. Bölcsőde'!$D$3:$M$3,"Módosított előirányzat")+SUMIFS('2.5. sz. Gyermekjóléti'!D10:Q10,'2.5. sz. Gyermekjóléti'!$D$5:$Q$5,"kötelező",'2.5. sz. Gyermekjóléti'!$D$3:$Q$3,"Módosított előirányzat")+SUMIFS('2.6 sz. Területi'!D10:AO10,'2.6 sz. Területi'!$D$5:$AO$5,"kötelező",'2.6 sz. Területi'!$D$3:$AO$3,"Módosított előirányzat")+SUMIFS('2.7. sz. Könyvtár'!D10:S10,'2.7. sz. Könyvtár'!$D$5:$S$5,"kötelező",'2.7. sz. Könyvtár'!$D$3:$S$3,"Módosított előirányzat")+SUMIFS('2.8. sz. Műv.Ház'!D10:S10,'2.8. sz. Műv.Ház'!$D$5:$S$5,"kötelező",'2.8. sz. Műv.Ház'!$D$3:$S$3,"Módosított előirányzat")+SUMIFS('2.9. sz. Szivárvány Ó.'!D10:Q10,'2.9. sz. Szivárvány Ó.'!$D$5:$Q$5,"kötelező",'2.9. sz. Szivárvány Ó.'!$D$3:$Q$3,"Módosított előirányzat")</f>
        <v>334566874</v>
      </c>
      <c r="F10" s="6">
        <f>SUMIFS('2.1. sz. PMH'!D10:AA10,'2.1. sz. PMH'!$D$5:$AA$5,"önként vállalt",'2.1. sz. PMH'!$D$3:$AA$3,"Eredeti előirányzat")+SUMIFS('2.2. sz. Hétszínvirág Óvoda'!D10:S10,'2.2. sz. Hétszínvirág Óvoda'!$D$5:$S$5,"önként vállalt",'2.2. sz. Hétszínvirág Óvoda'!$D$3:$S$3,"Eredeti előirányzat")+SUMIFS('2.3. sz. Mese Óvoda'!D10:O10,'2.3. sz. Mese Óvoda'!$D$5:$O$5,"önként vállalt",'2.3. sz. Mese Óvoda'!$D$3:$O$3,"Eredeti előirányzat")+SUMIFS('2.4. sz. Bölcsőde'!D10:M10,'2.4. sz. Bölcsőde'!$D$5:$M$5,"önként vállalt",'2.4. sz. Bölcsőde'!$D$3:$M$3,"Eredeti előirányzat")+SUMIFS('2.5. sz. Gyermekjóléti'!D10:Q10,'2.5. sz. Gyermekjóléti'!$D$5:$Q$5,"önként vállalt",'2.5. sz. Gyermekjóléti'!$D$3:$Q$3,"Eredeti előirányzat")+SUMIFS('2.6 sz. Területi'!D10:AO10,'2.6 sz. Területi'!$D$5:$AO$5,"önként vállalt",'2.6 sz. Területi'!$D$3:$AO$3,"Eredeti előirányzat")+SUMIFS('2.7. sz. Könyvtár'!D10:S10,'2.7. sz. Könyvtár'!$D$5:$S$5,"önként vállalt",'2.7. sz. Könyvtár'!$D$3:$S$3,"Eredeti előirányzat")+SUMIFS('2.8. sz. Műv.Ház'!D10:S10,'2.8. sz. Műv.Ház'!$D$5:$S$5,"önként vállalt",'2.8. sz. Műv.Ház'!$D$3:$S$3,"Eredeti előirányzat")+SUMIFS('2.9. sz. Szivárvány Ó.'!D10:Q10,'2.9. sz. Szivárvány Ó.'!$D$5:$Q$5,"önként vállalt",'2.9. sz. Szivárvány Ó.'!$D$3:$Q$3,"Eredeti előirányzat")</f>
        <v>9612090</v>
      </c>
      <c r="G10" s="6">
        <f>SUMIFS('2.1. sz. PMH'!D10:AA10,'2.1. sz. PMH'!$D$5:$AA$5,"önként vállalt",'2.1. sz. PMH'!$D$3:$AA$3,"Módosított előirányzat")+SUMIFS('2.2. sz. Hétszínvirág Óvoda'!D10:S10,'2.2. sz. Hétszínvirág Óvoda'!$D$5:$S$5,"önként vállalt",'2.2. sz. Hétszínvirág Óvoda'!$D$3:$S$3,"Módosított előirányzat")+SUMIFS('2.3. sz. Mese Óvoda'!D10:O10,'2.3. sz. Mese Óvoda'!$D$5:$O$5,"önként vállalt",'2.3. sz. Mese Óvoda'!$D$3:$O$3,"Módosított előirányzat")+SUMIFS('2.4. sz. Bölcsőde'!D10:M10,'2.4. sz. Bölcsőde'!$D$5:$M$5,"önként vállalt",'2.4. sz. Bölcsőde'!$D$3:$M$3,"Módosított előirányzat")+SUMIFS('2.5. sz. Gyermekjóléti'!D10:Q10,'2.5. sz. Gyermekjóléti'!$D$5:$Q$5,"önként vállalt",'2.5. sz. Gyermekjóléti'!$D$3:$Q$3,"Módosított előirányzat")+SUMIFS('2.6 sz. Területi'!D10:AO10,'2.6 sz. Területi'!$D$5:$AO$5,"önként vállalt",'2.6 sz. Területi'!$D$3:$AO$3,"Módosított előirányzat")+SUMIFS('2.7. sz. Könyvtár'!D10:S10,'2.7. sz. Könyvtár'!$D$5:$S$5,"önként vállalt",'2.7. sz. Könyvtár'!$D$3:$S$3,"Módosított előirányzat")+SUMIFS('2.8. sz. Műv.Ház'!D10:S10,'2.8. sz. Műv.Ház'!$D$5:$S$5,"önként vállalt",'2.8. sz. Műv.Ház'!$D$3:$S$3,"Módosított előirányzat")+SUMIFS('2.9. sz. Szivárvány Ó.'!D10:Q10,'2.9. sz. Szivárvány Ó.'!$D$5:$Q$5,"önként vállalt",'2.9. sz. Szivárvány Ó.'!$D$3:$Q$3,"Módosított előirányzat")</f>
        <v>10078481</v>
      </c>
      <c r="H10" s="6">
        <f>SUMIFS('2.1. sz. PMH'!D10:AA10,'2.1. sz. PMH'!$D$5:$AA$5,"államigazgatási",'2.1. sz. PMH'!$D$3:$AA$3,"Eredeti előirányzat")+SUMIFS('2.2. sz. Hétszínvirág Óvoda'!D10:S10,'2.2. sz. Hétszínvirág Óvoda'!$D$5:$S$5,"államigazgatási",'2.2. sz. Hétszínvirág Óvoda'!$D$3:$S$3,"Eredeti előirányzat")+SUMIFS('2.3. sz. Mese Óvoda'!D10:O10,'2.3. sz. Mese Óvoda'!$D$5:$O$5,"államigazgatási",'2.3. sz. Mese Óvoda'!$D$3:$O$3,"Eredeti előirányzat")+SUMIFS('2.4. sz. Bölcsőde'!D10:M10,'2.4. sz. Bölcsőde'!$D$5:$M$5,"államigazgatási",'2.4. sz. Bölcsőde'!$D$3:$M$3,"Eredeti előirányzat")+SUMIFS('2.5. sz. Gyermekjóléti'!D10:Q10,'2.5. sz. Gyermekjóléti'!$D$5:$Q$5,"államigazgatási",'2.5. sz. Gyermekjóléti'!$D$3:$Q$3,"Eredeti előirányzat")+SUMIFS('2.6 sz. Területi'!D10:AO10,'2.6 sz. Területi'!$D$5:$AO$5,"államigazgatási",'2.6 sz. Területi'!$D$3:$AO$3,"Eredeti előirányzat")+SUMIFS('2.7. sz. Könyvtár'!D10:S10,'2.7. sz. Könyvtár'!$D$5:$S$5,"államigazgatási",'2.7. sz. Könyvtár'!$D$3:$S$3,"Eredeti előirányzat")+SUMIFS('2.8. sz. Műv.Ház'!D10:S10,'2.8. sz. Műv.Ház'!$D$5:$S$5,"államigazgatási",'2.8. sz. Műv.Ház'!$D$3:$S$3,"Eredeti előirányzat")+SUMIFS('2.9. sz. Szivárvány Ó.'!D10:Q10,'2.9. sz. Szivárvány Ó.'!$D$5:$Q$5,"államigazgatási",'2.9. sz. Szivárvány Ó.'!$D$3:$Q$3,"Eredeti előirányzat")</f>
        <v>11123677</v>
      </c>
      <c r="I10" s="6">
        <f>SUMIFS('2.1. sz. PMH'!D10:AA10,'2.1. sz. PMH'!$D$5:$AA$5,"államigazgatási",'2.1. sz. PMH'!$D$3:$AA$3,"Módosított előirányzat")+SUMIFS('2.2. sz. Hétszínvirág Óvoda'!D10:S10,'2.2. sz. Hétszínvirág Óvoda'!$D$5:$S$5,"államigazgatási",'2.2. sz. Hétszínvirág Óvoda'!$D$3:$S$3,"Módosított előirányzat")+SUMIFS('2.3. sz. Mese Óvoda'!D10:O10,'2.3. sz. Mese Óvoda'!$D$5:$O$5,"államigazgatási",'2.3. sz. Mese Óvoda'!$D$3:$O$3,"Módosított előirányzat")+SUMIFS('2.4. sz. Bölcsőde'!D10:M10,'2.4. sz. Bölcsőde'!$D$5:$M$5,"államigazgatási",'2.4. sz. Bölcsőde'!$D$3:$M$3,"Módosított előirányzat")+SUMIFS('2.5. sz. Gyermekjóléti'!D10:Q10,'2.5. sz. Gyermekjóléti'!$D$5:$Q$5,"államigazgatási",'2.5. sz. Gyermekjóléti'!$D$3:$Q$3,"Módosított előirányzat")+SUMIFS('2.6 sz. Területi'!D10:AO10,'2.6 sz. Területi'!$D$5:$AO$5,"államigazgatási",'2.6 sz. Területi'!$D$3:$AO$3,"Módosított előirányzat")+SUMIFS('2.7. sz. Könyvtár'!D10:S10,'2.7. sz. Könyvtár'!$D$5:$S$5,"államigazgatási",'2.7. sz. Könyvtár'!$D$3:$S$3,"Módosított előirányzat")+SUMIFS('2.8. sz. Műv.Ház'!D10:S10,'2.8. sz. Műv.Ház'!$D$5:$S$5,"államigazgatási",'2.8. sz. Műv.Ház'!$D$3:$S$3,"Módosított előirányzat")+SUMIFS('2.9. sz. Szivárvány Ó.'!D10:Q10,'2.9. sz. Szivárvány Ó.'!$D$5:$Q$5,"államigazgatási",'2.9. sz. Szivárvány Ó.'!$D$3:$Q$3,"Módosított előirányzat")</f>
        <v>15203143</v>
      </c>
      <c r="J10" s="6">
        <f t="shared" ref="J10:J50" si="0">D10+F10+H10</f>
        <v>345392710</v>
      </c>
      <c r="K10" s="1179">
        <f t="shared" ref="K10:K51" si="1">E10+G10+I10</f>
        <v>359848498</v>
      </c>
    </row>
    <row r="11" spans="1:127" ht="23.25" customHeight="1" x14ac:dyDescent="0.25">
      <c r="A11" s="26" t="s">
        <v>196</v>
      </c>
      <c r="B11" s="28" t="s">
        <v>336</v>
      </c>
      <c r="C11" s="27" t="s">
        <v>208</v>
      </c>
      <c r="D11" s="6">
        <f>SUMIFS('2.1. sz. PMH'!D11:AA11,'2.1. sz. PMH'!$D$5:$AA$5,"kötelező",'2.1. sz. PMH'!$D$3:$AA$3,"Eredeti előirányzat")+SUMIFS('2.2. sz. Hétszínvirág Óvoda'!D11:S11,'2.2. sz. Hétszínvirág Óvoda'!$D$5:$S$5,"kötelező",'2.2. sz. Hétszínvirág Óvoda'!$D$3:$S$3,"Eredeti előirányzat")+SUMIFS('2.3. sz. Mese Óvoda'!D11:O11,'2.3. sz. Mese Óvoda'!$D$5:$O$5,"kötelező",'2.3. sz. Mese Óvoda'!$D$3:$O$3,"Eredeti előirányzat")+SUMIFS('2.4. sz. Bölcsőde'!D11:M11,'2.4. sz. Bölcsőde'!$D$5:$M$5,"kötelező",'2.4. sz. Bölcsőde'!$D$3:$M$3,"Eredeti előirányzat")+SUMIFS('2.5. sz. Gyermekjóléti'!D11:Q11,'2.5. sz. Gyermekjóléti'!$D$5:$Q$5,"kötelező",'2.5. sz. Gyermekjóléti'!$D$3:$Q$3,"Eredeti előirányzat")+SUMIFS('2.6 sz. Területi'!D11:AO11,'2.6 sz. Területi'!$D$5:$AO$5,"kötelező",'2.6 sz. Területi'!$D$3:$AO$3,"Eredeti előirányzat")+SUMIFS('2.7. sz. Könyvtár'!D11:S11,'2.7. sz. Könyvtár'!$D$5:$S$5,"kötelező",'2.7. sz. Könyvtár'!$D$3:$S$3,"Eredeti előirányzat")+SUMIFS('2.8. sz. Műv.Ház'!D11:S11,'2.8. sz. Műv.Ház'!$D$5:$S$5,"kötelező",'2.8. sz. Műv.Ház'!$D$3:$S$3,"Eredeti előirányzat")+SUMIFS('2.9. sz. Szivárvány Ó.'!D11:Q11,'2.9. sz. Szivárvány Ó.'!$D$5:$Q$5,"kötelező",'2.9. sz. Szivárvány Ó.'!$D$3:$Q$3,"Eredeti előirányzat")</f>
        <v>1124264244</v>
      </c>
      <c r="E11" s="6">
        <f>SUMIFS('2.1. sz. PMH'!D11:AA11,'2.1. sz. PMH'!$D$5:$AA$5,"kötelező",'2.1. sz. PMH'!$D$3:$AA$3,"Módosított előirányzat")+SUMIFS('2.2. sz. Hétszínvirág Óvoda'!D11:S11,'2.2. sz. Hétszínvirág Óvoda'!$D$5:$S$5,"kötelező",'2.2. sz. Hétszínvirág Óvoda'!$D$3:$S$3,"Módosított előirányzat")+SUMIFS('2.3. sz. Mese Óvoda'!D11:O11,'2.3. sz. Mese Óvoda'!$D$5:$O$5,"kötelező",'2.3. sz. Mese Óvoda'!$D$3:$O$3,"Módosított előirányzat")+SUMIFS('2.4. sz. Bölcsőde'!D11:M11,'2.4. sz. Bölcsőde'!$D$5:$M$5,"kötelező",'2.4. sz. Bölcsőde'!$D$3:$M$3,"Módosított előirányzat")+SUMIFS('2.5. sz. Gyermekjóléti'!D11:Q11,'2.5. sz. Gyermekjóléti'!$D$5:$Q$5,"kötelező",'2.5. sz. Gyermekjóléti'!$D$3:$Q$3,"Módosított előirányzat")+SUMIFS('2.6 sz. Területi'!D11:AO11,'2.6 sz. Területi'!$D$5:$AO$5,"kötelező",'2.6 sz. Területi'!$D$3:$AO$3,"Módosított előirányzat")+SUMIFS('2.7. sz. Könyvtár'!D11:S11,'2.7. sz. Könyvtár'!$D$5:$S$5,"kötelező",'2.7. sz. Könyvtár'!$D$3:$S$3,"Módosított előirányzat")+SUMIFS('2.8. sz. Műv.Ház'!D11:S11,'2.8. sz. Műv.Ház'!$D$5:$S$5,"kötelező",'2.8. sz. Műv.Ház'!$D$3:$S$3,"Módosított előirányzat")+SUMIFS('2.9. sz. Szivárvány Ó.'!D11:Q11,'2.9. sz. Szivárvány Ó.'!$D$5:$Q$5,"kötelező",'2.9. sz. Szivárvány Ó.'!$D$3:$Q$3,"Módosított előirányzat")</f>
        <v>1304138069</v>
      </c>
      <c r="F11" s="6">
        <f>SUMIFS('2.1. sz. PMH'!D11:AA11,'2.1. sz. PMH'!$D$5:$AA$5,"önként vállalt",'2.1. sz. PMH'!$D$3:$AA$3,"Eredeti előirányzat")+SUMIFS('2.2. sz. Hétszínvirág Óvoda'!D11:S11,'2.2. sz. Hétszínvirág Óvoda'!$D$5:$S$5,"önként vállalt",'2.2. sz. Hétszínvirág Óvoda'!$D$3:$S$3,"Eredeti előirányzat")+SUMIFS('2.3. sz. Mese Óvoda'!D11:O11,'2.3. sz. Mese Óvoda'!$D$5:$O$5,"önként vállalt",'2.3. sz. Mese Óvoda'!$D$3:$O$3,"Eredeti előirányzat")+SUMIFS('2.4. sz. Bölcsőde'!D11:M11,'2.4. sz. Bölcsőde'!$D$5:$M$5,"önként vállalt",'2.4. sz. Bölcsőde'!$D$3:$M$3,"Eredeti előirányzat")+SUMIFS('2.5. sz. Gyermekjóléti'!D11:Q11,'2.5. sz. Gyermekjóléti'!$D$5:$Q$5,"önként vállalt",'2.5. sz. Gyermekjóléti'!$D$3:$Q$3,"Eredeti előirányzat")+SUMIFS('2.6 sz. Területi'!D11:AO11,'2.6 sz. Területi'!$D$5:$AO$5,"önként vállalt",'2.6 sz. Területi'!$D$3:$AO$3,"Eredeti előirányzat")+SUMIFS('2.7. sz. Könyvtár'!D11:S11,'2.7. sz. Könyvtár'!$D$5:$S$5,"önként vállalt",'2.7. sz. Könyvtár'!$D$3:$S$3,"Eredeti előirányzat")+SUMIFS('2.8. sz. Műv.Ház'!D11:S11,'2.8. sz. Műv.Ház'!$D$5:$S$5,"önként vállalt",'2.8. sz. Műv.Ház'!$D$3:$S$3,"Eredeti előirányzat")+SUMIFS('2.9. sz. Szivárvány Ó.'!D11:Q11,'2.9. sz. Szivárvány Ó.'!$D$5:$Q$5,"önként vállalt",'2.9. sz. Szivárvány Ó.'!$D$3:$Q$3,"Eredeti előirányzat")</f>
        <v>47176608</v>
      </c>
      <c r="G11" s="6">
        <f>SUMIFS('2.1. sz. PMH'!D11:AA11,'2.1. sz. PMH'!$D$5:$AA$5,"önként vállalt",'2.1. sz. PMH'!$D$3:$AA$3,"Módosított előirányzat")+SUMIFS('2.2. sz. Hétszínvirág Óvoda'!D11:S11,'2.2. sz. Hétszínvirág Óvoda'!$D$5:$S$5,"önként vállalt",'2.2. sz. Hétszínvirág Óvoda'!$D$3:$S$3,"Módosított előirányzat")+SUMIFS('2.3. sz. Mese Óvoda'!D11:O11,'2.3. sz. Mese Óvoda'!$D$5:$O$5,"önként vállalt",'2.3. sz. Mese Óvoda'!$D$3:$O$3,"Módosított előirányzat")+SUMIFS('2.4. sz. Bölcsőde'!D11:M11,'2.4. sz. Bölcsőde'!$D$5:$M$5,"önként vállalt",'2.4. sz. Bölcsőde'!$D$3:$M$3,"Módosított előirányzat")+SUMIFS('2.5. sz. Gyermekjóléti'!D11:Q11,'2.5. sz. Gyermekjóléti'!$D$5:$Q$5,"önként vállalt",'2.5. sz. Gyermekjóléti'!$D$3:$Q$3,"Módosított előirányzat")+SUMIFS('2.6 sz. Területi'!D11:AO11,'2.6 sz. Területi'!$D$5:$AO$5,"önként vállalt",'2.6 sz. Területi'!$D$3:$AO$3,"Módosított előirányzat")+SUMIFS('2.7. sz. Könyvtár'!D11:S11,'2.7. sz. Könyvtár'!$D$5:$S$5,"önként vállalt",'2.7. sz. Könyvtár'!$D$3:$S$3,"Módosított előirányzat")+SUMIFS('2.8. sz. Műv.Ház'!D11:S11,'2.8. sz. Műv.Ház'!$D$5:$S$5,"önként vállalt",'2.8. sz. Műv.Ház'!$D$3:$S$3,"Módosított előirányzat")+SUMIFS('2.9. sz. Szivárvány Ó.'!D11:Q11,'2.9. sz. Szivárvány Ó.'!$D$5:$Q$5,"önként vállalt",'2.9. sz. Szivárvány Ó.'!$D$3:$Q$3,"Módosított előirányzat")</f>
        <v>48437010</v>
      </c>
      <c r="H11" s="6">
        <f>SUMIFS('2.1. sz. PMH'!D11:AA11,'2.1. sz. PMH'!$D$5:$AA$5,"államigazgatási",'2.1. sz. PMH'!$D$3:$AA$3,"Eredeti előirányzat")+SUMIFS('2.2. sz. Hétszínvirág Óvoda'!D11:S11,'2.2. sz. Hétszínvirág Óvoda'!$D$5:$S$5,"államigazgatási",'2.2. sz. Hétszínvirág Óvoda'!$D$3:$S$3,"Eredeti előirányzat")+SUMIFS('2.3. sz. Mese Óvoda'!D11:O11,'2.3. sz. Mese Óvoda'!$D$5:$O$5,"államigazgatási",'2.3. sz. Mese Óvoda'!$D$3:$O$3,"Eredeti előirányzat")+SUMIFS('2.4. sz. Bölcsőde'!D11:M11,'2.4. sz. Bölcsőde'!$D$5:$M$5,"államigazgatási",'2.4. sz. Bölcsőde'!$D$3:$M$3,"Eredeti előirányzat")+SUMIFS('2.5. sz. Gyermekjóléti'!D11:Q11,'2.5. sz. Gyermekjóléti'!$D$5:$Q$5,"államigazgatási",'2.5. sz. Gyermekjóléti'!$D$3:$Q$3,"Eredeti előirányzat")+SUMIFS('2.6 sz. Területi'!D11:AO11,'2.6 sz. Területi'!$D$5:$AO$5,"államigazgatási",'2.6 sz. Területi'!$D$3:$AO$3,"Eredeti előirányzat")+SUMIFS('2.7. sz. Könyvtár'!D11:S11,'2.7. sz. Könyvtár'!$D$5:$S$5,"államigazgatási",'2.7. sz. Könyvtár'!$D$3:$S$3,"Eredeti előirányzat")+SUMIFS('2.8. sz. Műv.Ház'!D11:S11,'2.8. sz. Műv.Ház'!$D$5:$S$5,"államigazgatási",'2.8. sz. Műv.Ház'!$D$3:$S$3,"Eredeti előirányzat")+SUMIFS('2.9. sz. Szivárvány Ó.'!D11:Q11,'2.9. sz. Szivárvány Ó.'!$D$5:$Q$5,"államigazgatási",'2.9. sz. Szivárvány Ó.'!$D$3:$Q$3,"Eredeti előirányzat")</f>
        <v>31296481</v>
      </c>
      <c r="I11" s="6">
        <f>SUMIFS('2.1. sz. PMH'!D11:AA11,'2.1. sz. PMH'!$D$5:$AA$5,"államigazgatási",'2.1. sz. PMH'!$D$3:$AA$3,"Módosított előirányzat")+SUMIFS('2.2. sz. Hétszínvirág Óvoda'!D11:S11,'2.2. sz. Hétszínvirág Óvoda'!$D$5:$S$5,"államigazgatási",'2.2. sz. Hétszínvirág Óvoda'!$D$3:$S$3,"Módosított előirányzat")+SUMIFS('2.3. sz. Mese Óvoda'!D11:O11,'2.3. sz. Mese Óvoda'!$D$5:$O$5,"államigazgatási",'2.3. sz. Mese Óvoda'!$D$3:$O$3,"Módosított előirányzat")+SUMIFS('2.4. sz. Bölcsőde'!D11:M11,'2.4. sz. Bölcsőde'!$D$5:$M$5,"államigazgatási",'2.4. sz. Bölcsőde'!$D$3:$M$3,"Módosított előirányzat")+SUMIFS('2.5. sz. Gyermekjóléti'!D11:Q11,'2.5. sz. Gyermekjóléti'!$D$5:$Q$5,"államigazgatási",'2.5. sz. Gyermekjóléti'!$D$3:$Q$3,"Módosított előirányzat")+SUMIFS('2.6 sz. Területi'!D11:AO11,'2.6 sz. Területi'!$D$5:$AO$5,"államigazgatási",'2.6 sz. Területi'!$D$3:$AO$3,"Módosított előirányzat")+SUMIFS('2.7. sz. Könyvtár'!D11:S11,'2.7. sz. Könyvtár'!$D$5:$S$5,"államigazgatási",'2.7. sz. Könyvtár'!$D$3:$S$3,"Módosított előirányzat")+SUMIFS('2.8. sz. Műv.Ház'!D11:S11,'2.8. sz. Műv.Ház'!$D$5:$S$5,"államigazgatási",'2.8. sz. Műv.Ház'!$D$3:$S$3,"Módosított előirányzat")+SUMIFS('2.9. sz. Szivárvány Ó.'!D11:Q11,'2.9. sz. Szivárvány Ó.'!$D$5:$Q$5,"államigazgatási",'2.9. sz. Szivárvány Ó.'!$D$3:$Q$3,"Módosított előirányzat")</f>
        <v>33208823</v>
      </c>
      <c r="J11" s="6">
        <f>D11+F11+H11</f>
        <v>1202737333</v>
      </c>
      <c r="K11" s="1179">
        <f t="shared" si="1"/>
        <v>1385783902</v>
      </c>
      <c r="DW11" s="21" t="b">
        <f>'2.10. sz. Intézmények összesen'!D9=SUMIF($D$7:$DV$7,"kötelező",D11:DV11)</f>
        <v>0</v>
      </c>
    </row>
    <row r="12" spans="1:127" ht="23.25" customHeight="1" x14ac:dyDescent="0.25">
      <c r="A12" s="26" t="s">
        <v>197</v>
      </c>
      <c r="B12" s="29" t="s">
        <v>337</v>
      </c>
      <c r="C12" s="27" t="s">
        <v>209</v>
      </c>
      <c r="D12" s="6">
        <f>SUMIFS('2.1. sz. PMH'!D12:AA12,'2.1. sz. PMH'!$D$5:$AA$5,"kötelező",'2.1. sz. PMH'!$D$3:$AA$3,"Eredeti előirányzat")+SUMIFS('2.2. sz. Hétszínvirág Óvoda'!D12:S12,'2.2. sz. Hétszínvirág Óvoda'!$D$5:$S$5,"kötelező",'2.2. sz. Hétszínvirág Óvoda'!$D$3:$S$3,"Eredeti előirányzat")+SUMIFS('2.3. sz. Mese Óvoda'!D12:O12,'2.3. sz. Mese Óvoda'!$D$5:$O$5,"kötelező",'2.3. sz. Mese Óvoda'!$D$3:$O$3,"Eredeti előirányzat")+SUMIFS('2.4. sz. Bölcsőde'!D12:M12,'2.4. sz. Bölcsőde'!$D$5:$M$5,"kötelező",'2.4. sz. Bölcsőde'!$D$3:$M$3,"Eredeti előirányzat")+SUMIFS('2.5. sz. Gyermekjóléti'!D12:Q12,'2.5. sz. Gyermekjóléti'!$D$5:$Q$5,"kötelező",'2.5. sz. Gyermekjóléti'!$D$3:$Q$3,"Eredeti előirányzat")+SUMIFS('2.6 sz. Területi'!D12:AO12,'2.6 sz. Területi'!$D$5:$AO$5,"kötelező",'2.6 sz. Területi'!$D$3:$AO$3,"Eredeti előirányzat")+SUMIFS('2.7. sz. Könyvtár'!D12:S12,'2.7. sz. Könyvtár'!$D$5:$S$5,"kötelező",'2.7. sz. Könyvtár'!$D$3:$S$3,"Eredeti előirányzat")+SUMIFS('2.8. sz. Műv.Ház'!D12:S12,'2.8. sz. Műv.Ház'!$D$5:$S$5,"kötelező",'2.8. sz. Műv.Ház'!$D$3:$S$3,"Eredeti előirányzat")+SUMIFS('2.9. sz. Szivárvány Ó.'!D12:Q12,'2.9. sz. Szivárvány Ó.'!$D$5:$Q$5,"kötelező",'2.9. sz. Szivárvány Ó.'!$D$3:$Q$3,"Eredeti előirányzat")</f>
        <v>0</v>
      </c>
      <c r="E12" s="6">
        <f>SUMIFS('2.1. sz. PMH'!D12:AA12,'2.1. sz. PMH'!$D$5:$AA$5,"kötelező",'2.1. sz. PMH'!$D$3:$AA$3,"Módosított előirányzat")+SUMIFS('2.2. sz. Hétszínvirág Óvoda'!D12:S12,'2.2. sz. Hétszínvirág Óvoda'!$D$5:$S$5,"kötelező",'2.2. sz. Hétszínvirág Óvoda'!$D$3:$S$3,"Módosított előirányzat")+SUMIFS('2.3. sz. Mese Óvoda'!D12:O12,'2.3. sz. Mese Óvoda'!$D$5:$O$5,"kötelező",'2.3. sz. Mese Óvoda'!$D$3:$O$3,"Módosított előirányzat")+SUMIFS('2.4. sz. Bölcsőde'!D12:M12,'2.4. sz. Bölcsőde'!$D$5:$M$5,"kötelező",'2.4. sz. Bölcsőde'!$D$3:$M$3,"Módosított előirányzat")+SUMIFS('2.5. sz. Gyermekjóléti'!D12:Q12,'2.5. sz. Gyermekjóléti'!$D$5:$Q$5,"kötelező",'2.5. sz. Gyermekjóléti'!$D$3:$Q$3,"Módosított előirányzat")+SUMIFS('2.6 sz. Területi'!D12:AO12,'2.6 sz. Területi'!$D$5:$AO$5,"kötelező",'2.6 sz. Területi'!$D$3:$AO$3,"Módosított előirányzat")+SUMIFS('2.7. sz. Könyvtár'!D12:S12,'2.7. sz. Könyvtár'!$D$5:$S$5,"kötelező",'2.7. sz. Könyvtár'!$D$3:$S$3,"Módosított előirányzat")+SUMIFS('2.8. sz. Műv.Ház'!D12:S12,'2.8. sz. Műv.Ház'!$D$5:$S$5,"kötelező",'2.8. sz. Műv.Ház'!$D$3:$S$3,"Módosított előirányzat")+SUMIFS('2.9. sz. Szivárvány Ó.'!D12:Q12,'2.9. sz. Szivárvány Ó.'!$D$5:$Q$5,"kötelező",'2.9. sz. Szivárvány Ó.'!$D$3:$Q$3,"Módosított előirányzat")</f>
        <v>0</v>
      </c>
      <c r="F12" s="6">
        <f>SUMIFS('2.1. sz. PMH'!D12:AA12,'2.1. sz. PMH'!$D$5:$AA$5,"önként vállalt",'2.1. sz. PMH'!$D$3:$AA$3,"Eredeti előirányzat")+SUMIFS('2.2. sz. Hétszínvirág Óvoda'!D12:S12,'2.2. sz. Hétszínvirág Óvoda'!$D$5:$S$5,"önként vállalt",'2.2. sz. Hétszínvirág Óvoda'!$D$3:$S$3,"Eredeti előirányzat")+SUMIFS('2.3. sz. Mese Óvoda'!D12:O12,'2.3. sz. Mese Óvoda'!$D$5:$O$5,"önként vállalt",'2.3. sz. Mese Óvoda'!$D$3:$O$3,"Eredeti előirányzat")+SUMIFS('2.4. sz. Bölcsőde'!D12:M12,'2.4. sz. Bölcsőde'!$D$5:$M$5,"önként vállalt",'2.4. sz. Bölcsőde'!$D$3:$M$3,"Eredeti előirányzat")+SUMIFS('2.5. sz. Gyermekjóléti'!D12:Q12,'2.5. sz. Gyermekjóléti'!$D$5:$Q$5,"önként vállalt",'2.5. sz. Gyermekjóléti'!$D$3:$Q$3,"Eredeti előirányzat")+SUMIFS('2.6 sz. Területi'!D12:AO12,'2.6 sz. Területi'!$D$5:$AO$5,"önként vállalt",'2.6 sz. Területi'!$D$3:$AO$3,"Eredeti előirányzat")+SUMIFS('2.7. sz. Könyvtár'!D12:S12,'2.7. sz. Könyvtár'!$D$5:$S$5,"önként vállalt",'2.7. sz. Könyvtár'!$D$3:$S$3,"Eredeti előirányzat")+SUMIFS('2.8. sz. Műv.Ház'!D12:S12,'2.8. sz. Műv.Ház'!$D$5:$S$5,"önként vállalt",'2.8. sz. Műv.Ház'!$D$3:$S$3,"Eredeti előirányzat")+SUMIFS('2.9. sz. Szivárvány Ó.'!D12:Q12,'2.9. sz. Szivárvány Ó.'!$D$5:$Q$5,"önként vállalt",'2.9. sz. Szivárvány Ó.'!$D$3:$Q$3,"Eredeti előirányzat")</f>
        <v>0</v>
      </c>
      <c r="G12" s="6">
        <f>SUMIFS('2.1. sz. PMH'!D12:AA12,'2.1. sz. PMH'!$D$5:$AA$5,"önként vállalt",'2.1. sz. PMH'!$D$3:$AA$3,"Módosított előirányzat")+SUMIFS('2.2. sz. Hétszínvirág Óvoda'!D12:S12,'2.2. sz. Hétszínvirág Óvoda'!$D$5:$S$5,"önként vállalt",'2.2. sz. Hétszínvirág Óvoda'!$D$3:$S$3,"Módosított előirányzat")+SUMIFS('2.3. sz. Mese Óvoda'!D12:O12,'2.3. sz. Mese Óvoda'!$D$5:$O$5,"önként vállalt",'2.3. sz. Mese Óvoda'!$D$3:$O$3,"Módosított előirányzat")+SUMIFS('2.4. sz. Bölcsőde'!D12:M12,'2.4. sz. Bölcsőde'!$D$5:$M$5,"önként vállalt",'2.4. sz. Bölcsőde'!$D$3:$M$3,"Módosított előirányzat")+SUMIFS('2.5. sz. Gyermekjóléti'!D12:Q12,'2.5. sz. Gyermekjóléti'!$D$5:$Q$5,"önként vállalt",'2.5. sz. Gyermekjóléti'!$D$3:$Q$3,"Módosított előirányzat")+SUMIFS('2.6 sz. Területi'!D12:AO12,'2.6 sz. Területi'!$D$5:$AO$5,"önként vállalt",'2.6 sz. Területi'!$D$3:$AO$3,"Módosított előirányzat")+SUMIFS('2.7. sz. Könyvtár'!D12:S12,'2.7. sz. Könyvtár'!$D$5:$S$5,"önként vállalt",'2.7. sz. Könyvtár'!$D$3:$S$3,"Módosított előirányzat")+SUMIFS('2.8. sz. Műv.Ház'!D12:S12,'2.8. sz. Műv.Ház'!$D$5:$S$5,"önként vállalt",'2.8. sz. Műv.Ház'!$D$3:$S$3,"Módosított előirányzat")+SUMIFS('2.9. sz. Szivárvány Ó.'!D12:Q12,'2.9. sz. Szivárvány Ó.'!$D$5:$Q$5,"önként vállalt",'2.9. sz. Szivárvány Ó.'!$D$3:$Q$3,"Módosított előirányzat")</f>
        <v>0</v>
      </c>
      <c r="H12" s="6">
        <f>SUMIFS('2.1. sz. PMH'!D12:AA12,'2.1. sz. PMH'!$D$5:$AA$5,"államigazgatási",'2.1. sz. PMH'!$D$3:$AA$3,"Eredeti előirányzat")+SUMIFS('2.2. sz. Hétszínvirág Óvoda'!D12:S12,'2.2. sz. Hétszínvirág Óvoda'!$D$5:$S$5,"államigazgatási",'2.2. sz. Hétszínvirág Óvoda'!$D$3:$S$3,"Eredeti előirányzat")+SUMIFS('2.3. sz. Mese Óvoda'!D12:O12,'2.3. sz. Mese Óvoda'!$D$5:$O$5,"államigazgatási",'2.3. sz. Mese Óvoda'!$D$3:$O$3,"Eredeti előirányzat")+SUMIFS('2.4. sz. Bölcsőde'!D12:M12,'2.4. sz. Bölcsőde'!$D$5:$M$5,"államigazgatási",'2.4. sz. Bölcsőde'!$D$3:$M$3,"Eredeti előirányzat")+SUMIFS('2.5. sz. Gyermekjóléti'!D12:Q12,'2.5. sz. Gyermekjóléti'!$D$5:$Q$5,"államigazgatási",'2.5. sz. Gyermekjóléti'!$D$3:$Q$3,"Eredeti előirányzat")+SUMIFS('2.6 sz. Területi'!D12:AO12,'2.6 sz. Területi'!$D$5:$AO$5,"államigazgatási",'2.6 sz. Területi'!$D$3:$AO$3,"Eredeti előirányzat")+SUMIFS('2.7. sz. Könyvtár'!D12:S12,'2.7. sz. Könyvtár'!$D$5:$S$5,"államigazgatási",'2.7. sz. Könyvtár'!$D$3:$S$3,"Eredeti előirányzat")+SUMIFS('2.8. sz. Műv.Ház'!D12:S12,'2.8. sz. Műv.Ház'!$D$5:$S$5,"államigazgatási",'2.8. sz. Műv.Ház'!$D$3:$S$3,"Eredeti előirányzat")+SUMIFS('2.9. sz. Szivárvány Ó.'!D12:Q12,'2.9. sz. Szivárvány Ó.'!$D$5:$Q$5,"államigazgatási",'2.9. sz. Szivárvány Ó.'!$D$3:$Q$3,"Eredeti előirányzat")</f>
        <v>0</v>
      </c>
      <c r="I12" s="6">
        <f>SUMIFS('2.1. sz. PMH'!D12:AA12,'2.1. sz. PMH'!$D$5:$AA$5,"államigazgatási",'2.1. sz. PMH'!$D$3:$AA$3,"Módosított előirányzat")+SUMIFS('2.2. sz. Hétszínvirág Óvoda'!D12:S12,'2.2. sz. Hétszínvirág Óvoda'!$D$5:$S$5,"államigazgatási",'2.2. sz. Hétszínvirág Óvoda'!$D$3:$S$3,"Módosított előirányzat")+SUMIFS('2.3. sz. Mese Óvoda'!D12:O12,'2.3. sz. Mese Óvoda'!$D$5:$O$5,"államigazgatási",'2.3. sz. Mese Óvoda'!$D$3:$O$3,"Módosított előirányzat")+SUMIFS('2.4. sz. Bölcsőde'!D12:M12,'2.4. sz. Bölcsőde'!$D$5:$M$5,"államigazgatási",'2.4. sz. Bölcsőde'!$D$3:$M$3,"Módosított előirányzat")+SUMIFS('2.5. sz. Gyermekjóléti'!D12:Q12,'2.5. sz. Gyermekjóléti'!$D$5:$Q$5,"államigazgatási",'2.5. sz. Gyermekjóléti'!$D$3:$Q$3,"Módosított előirányzat")+SUMIFS('2.6 sz. Területi'!D12:AO12,'2.6 sz. Területi'!$D$5:$AO$5,"államigazgatási",'2.6 sz. Területi'!$D$3:$AO$3,"Módosított előirányzat")+SUMIFS('2.7. sz. Könyvtár'!D12:S12,'2.7. sz. Könyvtár'!$D$5:$S$5,"államigazgatási",'2.7. sz. Könyvtár'!$D$3:$S$3,"Módosított előirányzat")+SUMIFS('2.8. sz. Műv.Ház'!D12:S12,'2.8. sz. Műv.Ház'!$D$5:$S$5,"államigazgatási",'2.8. sz. Műv.Ház'!$D$3:$S$3,"Módosított előirányzat")+SUMIFS('2.9. sz. Szivárvány Ó.'!D12:Q12,'2.9. sz. Szivárvány Ó.'!$D$5:$Q$5,"államigazgatási",'2.9. sz. Szivárvány Ó.'!$D$3:$Q$3,"Módosított előirányzat")</f>
        <v>0</v>
      </c>
      <c r="J12" s="6">
        <f t="shared" si="0"/>
        <v>0</v>
      </c>
      <c r="K12" s="1179">
        <f t="shared" si="1"/>
        <v>0</v>
      </c>
    </row>
    <row r="13" spans="1:127" ht="23.25" customHeight="1" x14ac:dyDescent="0.25">
      <c r="A13" s="26" t="s">
        <v>198</v>
      </c>
      <c r="B13" s="29" t="s">
        <v>240</v>
      </c>
      <c r="C13" s="27" t="s">
        <v>210</v>
      </c>
      <c r="D13" s="6">
        <f>SUMIFS('2.1. sz. PMH'!D13:AA13,'2.1. sz. PMH'!$D$5:$AA$5,"kötelező",'2.1. sz. PMH'!$D$3:$AA$3,"Eredeti előirányzat")+SUMIFS('2.2. sz. Hétszínvirág Óvoda'!D13:S13,'2.2. sz. Hétszínvirág Óvoda'!$D$5:$S$5,"kötelező",'2.2. sz. Hétszínvirág Óvoda'!$D$3:$S$3,"Eredeti előirányzat")+SUMIFS('2.3. sz. Mese Óvoda'!D13:O13,'2.3. sz. Mese Óvoda'!$D$5:$O$5,"kötelező",'2.3. sz. Mese Óvoda'!$D$3:$O$3,"Eredeti előirányzat")+SUMIFS('2.4. sz. Bölcsőde'!D13:M13,'2.4. sz. Bölcsőde'!$D$5:$M$5,"kötelező",'2.4. sz. Bölcsőde'!$D$3:$M$3,"Eredeti előirányzat")+SUMIFS('2.5. sz. Gyermekjóléti'!D13:Q13,'2.5. sz. Gyermekjóléti'!$D$5:$Q$5,"kötelező",'2.5. sz. Gyermekjóléti'!$D$3:$Q$3,"Eredeti előirányzat")+SUMIFS('2.6 sz. Területi'!D13:AO13,'2.6 sz. Területi'!$D$5:$AO$5,"kötelező",'2.6 sz. Területi'!$D$3:$AO$3,"Eredeti előirányzat")+SUMIFS('2.7. sz. Könyvtár'!D13:S13,'2.7. sz. Könyvtár'!$D$5:$S$5,"kötelező",'2.7. sz. Könyvtár'!$D$3:$S$3,"Eredeti előirányzat")+SUMIFS('2.8. sz. Műv.Ház'!D13:S13,'2.8. sz. Műv.Ház'!$D$5:$S$5,"kötelező",'2.8. sz. Műv.Ház'!$D$3:$S$3,"Eredeti előirányzat")+SUMIFS('2.9. sz. Szivárvány Ó.'!D13:Q13,'2.9. sz. Szivárvány Ó.'!$D$5:$Q$5,"kötelező",'2.9. sz. Szivárvány Ó.'!$D$3:$Q$3,"Eredeti előirányzat")</f>
        <v>0</v>
      </c>
      <c r="E13" s="6">
        <f>SUMIFS('2.1. sz. PMH'!D13:AA13,'2.1. sz. PMH'!$D$5:$AA$5,"kötelező",'2.1. sz. PMH'!$D$3:$AA$3,"Módosított előirányzat")+SUMIFS('2.2. sz. Hétszínvirág Óvoda'!D13:S13,'2.2. sz. Hétszínvirág Óvoda'!$D$5:$S$5,"kötelező",'2.2. sz. Hétszínvirág Óvoda'!$D$3:$S$3,"Módosított előirányzat")+SUMIFS('2.3. sz. Mese Óvoda'!D13:O13,'2.3. sz. Mese Óvoda'!$D$5:$O$5,"kötelező",'2.3. sz. Mese Óvoda'!$D$3:$O$3,"Módosított előirányzat")+SUMIFS('2.4. sz. Bölcsőde'!D13:M13,'2.4. sz. Bölcsőde'!$D$5:$M$5,"kötelező",'2.4. sz. Bölcsőde'!$D$3:$M$3,"Módosított előirányzat")+SUMIFS('2.5. sz. Gyermekjóléti'!D13:Q13,'2.5. sz. Gyermekjóléti'!$D$5:$Q$5,"kötelező",'2.5. sz. Gyermekjóléti'!$D$3:$Q$3,"Módosított előirányzat")+SUMIFS('2.6 sz. Területi'!D13:AO13,'2.6 sz. Területi'!$D$5:$AO$5,"kötelező",'2.6 sz. Területi'!$D$3:$AO$3,"Módosított előirányzat")+SUMIFS('2.7. sz. Könyvtár'!D13:S13,'2.7. sz. Könyvtár'!$D$5:$S$5,"kötelező",'2.7. sz. Könyvtár'!$D$3:$S$3,"Módosított előirányzat")+SUMIFS('2.8. sz. Műv.Ház'!D13:S13,'2.8. sz. Műv.Ház'!$D$5:$S$5,"kötelező",'2.8. sz. Műv.Ház'!$D$3:$S$3,"Módosított előirányzat")+SUMIFS('2.9. sz. Szivárvány Ó.'!D13:Q13,'2.9. sz. Szivárvány Ó.'!$D$5:$Q$5,"kötelező",'2.9. sz. Szivárvány Ó.'!$D$3:$Q$3,"Módosított előirányzat")</f>
        <v>159332707</v>
      </c>
      <c r="F13" s="6">
        <f>SUMIFS('2.1. sz. PMH'!D13:AA13,'2.1. sz. PMH'!$D$5:$AA$5,"önként vállalt",'2.1. sz. PMH'!$D$3:$AA$3,"Eredeti előirányzat")+SUMIFS('2.2. sz. Hétszínvirág Óvoda'!D13:S13,'2.2. sz. Hétszínvirág Óvoda'!$D$5:$S$5,"önként vállalt",'2.2. sz. Hétszínvirág Óvoda'!$D$3:$S$3,"Eredeti előirányzat")+SUMIFS('2.3. sz. Mese Óvoda'!D13:O13,'2.3. sz. Mese Óvoda'!$D$5:$O$5,"önként vállalt",'2.3. sz. Mese Óvoda'!$D$3:$O$3,"Eredeti előirányzat")+SUMIFS('2.4. sz. Bölcsőde'!D13:M13,'2.4. sz. Bölcsőde'!$D$5:$M$5,"önként vállalt",'2.4. sz. Bölcsőde'!$D$3:$M$3,"Eredeti előirányzat")+SUMIFS('2.5. sz. Gyermekjóléti'!D13:Q13,'2.5. sz. Gyermekjóléti'!$D$5:$Q$5,"önként vállalt",'2.5. sz. Gyermekjóléti'!$D$3:$Q$3,"Eredeti előirányzat")+SUMIFS('2.6 sz. Területi'!D13:AO13,'2.6 sz. Területi'!$D$5:$AO$5,"önként vállalt",'2.6 sz. Területi'!$D$3:$AO$3,"Eredeti előirányzat")+SUMIFS('2.7. sz. Könyvtár'!D13:S13,'2.7. sz. Könyvtár'!$D$5:$S$5,"önként vállalt",'2.7. sz. Könyvtár'!$D$3:$S$3,"Eredeti előirányzat")+SUMIFS('2.8. sz. Műv.Ház'!D13:S13,'2.8. sz. Műv.Ház'!$D$5:$S$5,"önként vállalt",'2.8. sz. Műv.Ház'!$D$3:$S$3,"Eredeti előirányzat")+SUMIFS('2.9. sz. Szivárvány Ó.'!D13:Q13,'2.9. sz. Szivárvány Ó.'!$D$5:$Q$5,"önként vállalt",'2.9. sz. Szivárvány Ó.'!$D$3:$Q$3,"Eredeti előirányzat")</f>
        <v>0</v>
      </c>
      <c r="G13" s="6">
        <f>SUMIFS('2.1. sz. PMH'!D13:AA13,'2.1. sz. PMH'!$D$5:$AA$5,"önként vállalt",'2.1. sz. PMH'!$D$3:$AA$3,"Módosított előirányzat")+SUMIFS('2.2. sz. Hétszínvirág Óvoda'!D13:S13,'2.2. sz. Hétszínvirág Óvoda'!$D$5:$S$5,"önként vállalt",'2.2. sz. Hétszínvirág Óvoda'!$D$3:$S$3,"Módosított előirányzat")+SUMIFS('2.3. sz. Mese Óvoda'!D13:O13,'2.3. sz. Mese Óvoda'!$D$5:$O$5,"önként vállalt",'2.3. sz. Mese Óvoda'!$D$3:$O$3,"Módosított előirányzat")+SUMIFS('2.4. sz. Bölcsőde'!D13:M13,'2.4. sz. Bölcsőde'!$D$5:$M$5,"önként vállalt",'2.4. sz. Bölcsőde'!$D$3:$M$3,"Módosított előirányzat")+SUMIFS('2.5. sz. Gyermekjóléti'!D13:Q13,'2.5. sz. Gyermekjóléti'!$D$5:$Q$5,"önként vállalt",'2.5. sz. Gyermekjóléti'!$D$3:$Q$3,"Módosított előirányzat")+SUMIFS('2.6 sz. Területi'!D13:AO13,'2.6 sz. Területi'!$D$5:$AO$5,"önként vállalt",'2.6 sz. Területi'!$D$3:$AO$3,"Módosított előirányzat")+SUMIFS('2.7. sz. Könyvtár'!D13:S13,'2.7. sz. Könyvtár'!$D$5:$S$5,"önként vállalt",'2.7. sz. Könyvtár'!$D$3:$S$3,"Módosított előirányzat")+SUMIFS('2.8. sz. Műv.Ház'!D13:S13,'2.8. sz. Műv.Ház'!$D$5:$S$5,"önként vállalt",'2.8. sz. Műv.Ház'!$D$3:$S$3,"Módosított előirányzat")+SUMIFS('2.9. sz. Szivárvány Ó.'!D13:Q13,'2.9. sz. Szivárvány Ó.'!$D$5:$Q$5,"önként vállalt",'2.9. sz. Szivárvány Ó.'!$D$3:$Q$3,"Módosított előirányzat")</f>
        <v>0</v>
      </c>
      <c r="H13" s="6">
        <f>SUMIFS('2.1. sz. PMH'!D13:AA13,'2.1. sz. PMH'!$D$5:$AA$5,"államigazgatási",'2.1. sz. PMH'!$D$3:$AA$3,"Eredeti előirányzat")+SUMIFS('2.2. sz. Hétszínvirág Óvoda'!D13:S13,'2.2. sz. Hétszínvirág Óvoda'!$D$5:$S$5,"államigazgatási",'2.2. sz. Hétszínvirág Óvoda'!$D$3:$S$3,"Eredeti előirányzat")+SUMIFS('2.3. sz. Mese Óvoda'!D13:O13,'2.3. sz. Mese Óvoda'!$D$5:$O$5,"államigazgatási",'2.3. sz. Mese Óvoda'!$D$3:$O$3,"Eredeti előirányzat")+SUMIFS('2.4. sz. Bölcsőde'!D13:M13,'2.4. sz. Bölcsőde'!$D$5:$M$5,"államigazgatási",'2.4. sz. Bölcsőde'!$D$3:$M$3,"Eredeti előirányzat")+SUMIFS('2.5. sz. Gyermekjóléti'!D13:Q13,'2.5. sz. Gyermekjóléti'!$D$5:$Q$5,"államigazgatási",'2.5. sz. Gyermekjóléti'!$D$3:$Q$3,"Eredeti előirányzat")+SUMIFS('2.6 sz. Területi'!D13:AO13,'2.6 sz. Területi'!$D$5:$AO$5,"államigazgatási",'2.6 sz. Területi'!$D$3:$AO$3,"Eredeti előirányzat")+SUMIFS('2.7. sz. Könyvtár'!D13:S13,'2.7. sz. Könyvtár'!$D$5:$S$5,"államigazgatási",'2.7. sz. Könyvtár'!$D$3:$S$3,"Eredeti előirányzat")+SUMIFS('2.8. sz. Műv.Ház'!D13:S13,'2.8. sz. Műv.Ház'!$D$5:$S$5,"államigazgatási",'2.8. sz. Műv.Ház'!$D$3:$S$3,"Eredeti előirányzat")+SUMIFS('2.9. sz. Szivárvány Ó.'!D13:Q13,'2.9. sz. Szivárvány Ó.'!$D$5:$Q$5,"államigazgatási",'2.9. sz. Szivárvány Ó.'!$D$3:$Q$3,"Eredeti előirányzat")</f>
        <v>0</v>
      </c>
      <c r="I13" s="6">
        <f>SUMIFS('2.1. sz. PMH'!D13:AA13,'2.1. sz. PMH'!$D$5:$AA$5,"államigazgatási",'2.1. sz. PMH'!$D$3:$AA$3,"Módosított előirányzat")+SUMIFS('2.2. sz. Hétszínvirág Óvoda'!D13:S13,'2.2. sz. Hétszínvirág Óvoda'!$D$5:$S$5,"államigazgatási",'2.2. sz. Hétszínvirág Óvoda'!$D$3:$S$3,"Módosított előirányzat")+SUMIFS('2.3. sz. Mese Óvoda'!D13:O13,'2.3. sz. Mese Óvoda'!$D$5:$O$5,"államigazgatási",'2.3. sz. Mese Óvoda'!$D$3:$O$3,"Módosított előirányzat")+SUMIFS('2.4. sz. Bölcsőde'!D13:M13,'2.4. sz. Bölcsőde'!$D$5:$M$5,"államigazgatási",'2.4. sz. Bölcsőde'!$D$3:$M$3,"Módosított előirányzat")+SUMIFS('2.5. sz. Gyermekjóléti'!D13:Q13,'2.5. sz. Gyermekjóléti'!$D$5:$Q$5,"államigazgatási",'2.5. sz. Gyermekjóléti'!$D$3:$Q$3,"Módosított előirányzat")+SUMIFS('2.6 sz. Területi'!D13:AO13,'2.6 sz. Területi'!$D$5:$AO$5,"államigazgatási",'2.6 sz. Területi'!$D$3:$AO$3,"Módosított előirányzat")+SUMIFS('2.7. sz. Könyvtár'!D13:S13,'2.7. sz. Könyvtár'!$D$5:$S$5,"államigazgatási",'2.7. sz. Könyvtár'!$D$3:$S$3,"Módosított előirányzat")+SUMIFS('2.8. sz. Műv.Ház'!D13:S13,'2.8. sz. Műv.Ház'!$D$5:$S$5,"államigazgatási",'2.8. sz. Műv.Ház'!$D$3:$S$3,"Módosított előirányzat")+SUMIFS('2.9. sz. Szivárvány Ó.'!D13:Q13,'2.9. sz. Szivárvány Ó.'!$D$5:$Q$5,"államigazgatási",'2.9. sz. Szivárvány Ó.'!$D$3:$Q$3,"Módosított előirányzat")</f>
        <v>0</v>
      </c>
      <c r="J13" s="6">
        <f t="shared" si="0"/>
        <v>0</v>
      </c>
      <c r="K13" s="1179">
        <f t="shared" si="1"/>
        <v>159332707</v>
      </c>
    </row>
    <row r="14" spans="1:127" ht="23.25" customHeight="1" x14ac:dyDescent="0.25">
      <c r="A14" s="26" t="s">
        <v>199</v>
      </c>
      <c r="B14" s="30" t="s">
        <v>125</v>
      </c>
      <c r="C14" s="27"/>
      <c r="D14" s="6">
        <f>SUMIFS('2.1. sz. PMH'!D14:AA14,'2.1. sz. PMH'!$D$5:$AA$5,"kötelező",'2.1. sz. PMH'!$D$3:$AA$3,"Eredeti előirányzat")+SUMIFS('2.2. sz. Hétszínvirág Óvoda'!D14:S14,'2.2. sz. Hétszínvirág Óvoda'!$D$5:$S$5,"kötelező",'2.2. sz. Hétszínvirág Óvoda'!$D$3:$S$3,"Eredeti előirányzat")+SUMIFS('2.3. sz. Mese Óvoda'!D14:O14,'2.3. sz. Mese Óvoda'!$D$5:$O$5,"kötelező",'2.3. sz. Mese Óvoda'!$D$3:$O$3,"Eredeti előirányzat")+SUMIFS('2.4. sz. Bölcsőde'!D14:M14,'2.4. sz. Bölcsőde'!$D$5:$M$5,"kötelező",'2.4. sz. Bölcsőde'!$D$3:$M$3,"Eredeti előirányzat")+SUMIFS('2.5. sz. Gyermekjóléti'!D14:Q14,'2.5. sz. Gyermekjóléti'!$D$5:$Q$5,"kötelező",'2.5. sz. Gyermekjóléti'!$D$3:$Q$3,"Eredeti előirányzat")+SUMIFS('2.6 sz. Területi'!D14:AO14,'2.6 sz. Területi'!$D$5:$AO$5,"kötelező",'2.6 sz. Területi'!$D$3:$AO$3,"Eredeti előirányzat")+SUMIFS('2.7. sz. Könyvtár'!D14:S14,'2.7. sz. Könyvtár'!$D$5:$S$5,"kötelező",'2.7. sz. Könyvtár'!$D$3:$S$3,"Eredeti előirányzat")+SUMIFS('2.8. sz. Műv.Ház'!D14:S14,'2.8. sz. Műv.Ház'!$D$5:$S$5,"kötelező",'2.8. sz. Műv.Ház'!$D$3:$S$3,"Eredeti előirányzat")+SUMIFS('2.9. sz. Szivárvány Ó.'!D14:Q14,'2.9. sz. Szivárvány Ó.'!$D$5:$Q$5,"kötelező",'2.9. sz. Szivárvány Ó.'!$D$3:$Q$3,"Eredeti előirányzat")</f>
        <v>0</v>
      </c>
      <c r="E14" s="6">
        <f>SUMIFS('2.1. sz. PMH'!D14:AA14,'2.1. sz. PMH'!$D$5:$AA$5,"kötelező",'2.1. sz. PMH'!$D$3:$AA$3,"Módosított előirányzat")+SUMIFS('2.2. sz. Hétszínvirág Óvoda'!D14:S14,'2.2. sz. Hétszínvirág Óvoda'!$D$5:$S$5,"kötelező",'2.2. sz. Hétszínvirág Óvoda'!$D$3:$S$3,"Módosított előirányzat")+SUMIFS('2.3. sz. Mese Óvoda'!D14:O14,'2.3. sz. Mese Óvoda'!$D$5:$O$5,"kötelező",'2.3. sz. Mese Óvoda'!$D$3:$O$3,"Módosított előirányzat")+SUMIFS('2.4. sz. Bölcsőde'!D14:M14,'2.4. sz. Bölcsőde'!$D$5:$M$5,"kötelező",'2.4. sz. Bölcsőde'!$D$3:$M$3,"Módosított előirányzat")+SUMIFS('2.5. sz. Gyermekjóléti'!D14:Q14,'2.5. sz. Gyermekjóléti'!$D$5:$Q$5,"kötelező",'2.5. sz. Gyermekjóléti'!$D$3:$Q$3,"Módosított előirányzat")+SUMIFS('2.6 sz. Területi'!D14:AO14,'2.6 sz. Területi'!$D$5:$AO$5,"kötelező",'2.6 sz. Területi'!$D$3:$AO$3,"Módosított előirányzat")+SUMIFS('2.7. sz. Könyvtár'!D14:S14,'2.7. sz. Könyvtár'!$D$5:$S$5,"kötelező",'2.7. sz. Könyvtár'!$D$3:$S$3,"Módosított előirányzat")+SUMIFS('2.8. sz. Műv.Ház'!D14:S14,'2.8. sz. Műv.Ház'!$D$5:$S$5,"kötelező",'2.8. sz. Műv.Ház'!$D$3:$S$3,"Módosított előirányzat")+SUMIFS('2.9. sz. Szivárvány Ó.'!D14:Q14,'2.9. sz. Szivárvány Ó.'!$D$5:$Q$5,"kötelező",'2.9. sz. Szivárvány Ó.'!$D$3:$Q$3,"Módosított előirányzat")</f>
        <v>0</v>
      </c>
      <c r="F14" s="6">
        <f>SUMIFS('2.1. sz. PMH'!D14:AA14,'2.1. sz. PMH'!$D$5:$AA$5,"önként vállalt",'2.1. sz. PMH'!$D$3:$AA$3,"Eredeti előirányzat")+SUMIFS('2.2. sz. Hétszínvirág Óvoda'!D14:S14,'2.2. sz. Hétszínvirág Óvoda'!$D$5:$S$5,"önként vállalt",'2.2. sz. Hétszínvirág Óvoda'!$D$3:$S$3,"Eredeti előirányzat")+SUMIFS('2.3. sz. Mese Óvoda'!D14:O14,'2.3. sz. Mese Óvoda'!$D$5:$O$5,"önként vállalt",'2.3. sz. Mese Óvoda'!$D$3:$O$3,"Eredeti előirányzat")+SUMIFS('2.4. sz. Bölcsőde'!D14:M14,'2.4. sz. Bölcsőde'!$D$5:$M$5,"önként vállalt",'2.4. sz. Bölcsőde'!$D$3:$M$3,"Eredeti előirányzat")+SUMIFS('2.5. sz. Gyermekjóléti'!D14:Q14,'2.5. sz. Gyermekjóléti'!$D$5:$Q$5,"önként vállalt",'2.5. sz. Gyermekjóléti'!$D$3:$Q$3,"Eredeti előirányzat")+SUMIFS('2.6 sz. Területi'!D14:AO14,'2.6 sz. Területi'!$D$5:$AO$5,"önként vállalt",'2.6 sz. Területi'!$D$3:$AO$3,"Eredeti előirányzat")+SUMIFS('2.7. sz. Könyvtár'!D14:S14,'2.7. sz. Könyvtár'!$D$5:$S$5,"önként vállalt",'2.7. sz. Könyvtár'!$D$3:$S$3,"Eredeti előirányzat")+SUMIFS('2.8. sz. Műv.Ház'!D14:S14,'2.8. sz. Műv.Ház'!$D$5:$S$5,"önként vállalt",'2.8. sz. Műv.Ház'!$D$3:$S$3,"Eredeti előirányzat")+SUMIFS('2.9. sz. Szivárvány Ó.'!D14:Q14,'2.9. sz. Szivárvány Ó.'!$D$5:$Q$5,"önként vállalt",'2.9. sz. Szivárvány Ó.'!$D$3:$Q$3,"Eredeti előirányzat")</f>
        <v>0</v>
      </c>
      <c r="G14" s="6">
        <f>SUMIFS('2.1. sz. PMH'!D14:AA14,'2.1. sz. PMH'!$D$5:$AA$5,"önként vállalt",'2.1. sz. PMH'!$D$3:$AA$3,"Módosított előirányzat")+SUMIFS('2.2. sz. Hétszínvirág Óvoda'!D14:S14,'2.2. sz. Hétszínvirág Óvoda'!$D$5:$S$5,"önként vállalt",'2.2. sz. Hétszínvirág Óvoda'!$D$3:$S$3,"Módosított előirányzat")+SUMIFS('2.3. sz. Mese Óvoda'!D14:O14,'2.3. sz. Mese Óvoda'!$D$5:$O$5,"önként vállalt",'2.3. sz. Mese Óvoda'!$D$3:$O$3,"Módosított előirányzat")+SUMIFS('2.4. sz. Bölcsőde'!D14:M14,'2.4. sz. Bölcsőde'!$D$5:$M$5,"önként vállalt",'2.4. sz. Bölcsőde'!$D$3:$M$3,"Módosított előirányzat")+SUMIFS('2.5. sz. Gyermekjóléti'!D14:Q14,'2.5. sz. Gyermekjóléti'!$D$5:$Q$5,"önként vállalt",'2.5. sz. Gyermekjóléti'!$D$3:$Q$3,"Módosított előirányzat")+SUMIFS('2.6 sz. Területi'!D14:AO14,'2.6 sz. Területi'!$D$5:$AO$5,"önként vállalt",'2.6 sz. Területi'!$D$3:$AO$3,"Módosított előirányzat")+SUMIFS('2.7. sz. Könyvtár'!D14:S14,'2.7. sz. Könyvtár'!$D$5:$S$5,"önként vállalt",'2.7. sz. Könyvtár'!$D$3:$S$3,"Módosított előirányzat")+SUMIFS('2.8. sz. Műv.Ház'!D14:S14,'2.8. sz. Műv.Ház'!$D$5:$S$5,"önként vállalt",'2.8. sz. Műv.Ház'!$D$3:$S$3,"Módosított előirányzat")+SUMIFS('2.9. sz. Szivárvány Ó.'!D14:Q14,'2.9. sz. Szivárvány Ó.'!$D$5:$Q$5,"önként vállalt",'2.9. sz. Szivárvány Ó.'!$D$3:$Q$3,"Módosított előirányzat")</f>
        <v>0</v>
      </c>
      <c r="H14" s="6">
        <f>SUMIFS('2.1. sz. PMH'!D14:AA14,'2.1. sz. PMH'!$D$5:$AA$5,"államigazgatási",'2.1. sz. PMH'!$D$3:$AA$3,"Eredeti előirányzat")+SUMIFS('2.2. sz. Hétszínvirág Óvoda'!D14:S14,'2.2. sz. Hétszínvirág Óvoda'!$D$5:$S$5,"államigazgatási",'2.2. sz. Hétszínvirág Óvoda'!$D$3:$S$3,"Eredeti előirányzat")+SUMIFS('2.3. sz. Mese Óvoda'!D14:O14,'2.3. sz. Mese Óvoda'!$D$5:$O$5,"államigazgatási",'2.3. sz. Mese Óvoda'!$D$3:$O$3,"Eredeti előirányzat")+SUMIFS('2.4. sz. Bölcsőde'!D14:M14,'2.4. sz. Bölcsőde'!$D$5:$M$5,"államigazgatási",'2.4. sz. Bölcsőde'!$D$3:$M$3,"Eredeti előirányzat")+SUMIFS('2.5. sz. Gyermekjóléti'!D14:Q14,'2.5. sz. Gyermekjóléti'!$D$5:$Q$5,"államigazgatási",'2.5. sz. Gyermekjóléti'!$D$3:$Q$3,"Eredeti előirányzat")+SUMIFS('2.6 sz. Területi'!D14:AO14,'2.6 sz. Területi'!$D$5:$AO$5,"államigazgatási",'2.6 sz. Területi'!$D$3:$AO$3,"Eredeti előirányzat")+SUMIFS('2.7. sz. Könyvtár'!D14:S14,'2.7. sz. Könyvtár'!$D$5:$S$5,"államigazgatási",'2.7. sz. Könyvtár'!$D$3:$S$3,"Eredeti előirányzat")+SUMIFS('2.8. sz. Műv.Ház'!D14:S14,'2.8. sz. Műv.Ház'!$D$5:$S$5,"államigazgatási",'2.8. sz. Műv.Ház'!$D$3:$S$3,"Eredeti előirányzat")+SUMIFS('2.9. sz. Szivárvány Ó.'!D14:Q14,'2.9. sz. Szivárvány Ó.'!$D$5:$Q$5,"államigazgatási",'2.9. sz. Szivárvány Ó.'!$D$3:$Q$3,"Eredeti előirányzat")</f>
        <v>0</v>
      </c>
      <c r="I14" s="6">
        <f>SUMIFS('2.1. sz. PMH'!D14:AA14,'2.1. sz. PMH'!$D$5:$AA$5,"államigazgatási",'2.1. sz. PMH'!$D$3:$AA$3,"Módosított előirányzat")+SUMIFS('2.2. sz. Hétszínvirág Óvoda'!D14:S14,'2.2. sz. Hétszínvirág Óvoda'!$D$5:$S$5,"államigazgatási",'2.2. sz. Hétszínvirág Óvoda'!$D$3:$S$3,"Módosított előirányzat")+SUMIFS('2.3. sz. Mese Óvoda'!D14:O14,'2.3. sz. Mese Óvoda'!$D$5:$O$5,"államigazgatási",'2.3. sz. Mese Óvoda'!$D$3:$O$3,"Módosított előirányzat")+SUMIFS('2.4. sz. Bölcsőde'!D14:M14,'2.4. sz. Bölcsőde'!$D$5:$M$5,"államigazgatási",'2.4. sz. Bölcsőde'!$D$3:$M$3,"Módosított előirányzat")+SUMIFS('2.5. sz. Gyermekjóléti'!D14:Q14,'2.5. sz. Gyermekjóléti'!$D$5:$Q$5,"államigazgatási",'2.5. sz. Gyermekjóléti'!$D$3:$Q$3,"Módosított előirányzat")+SUMIFS('2.6 sz. Területi'!D14:AO14,'2.6 sz. Területi'!$D$5:$AO$5,"államigazgatási",'2.6 sz. Területi'!$D$3:$AO$3,"Módosított előirányzat")+SUMIFS('2.7. sz. Könyvtár'!D14:S14,'2.7. sz. Könyvtár'!$D$5:$S$5,"államigazgatási",'2.7. sz. Könyvtár'!$D$3:$S$3,"Módosított előirányzat")+SUMIFS('2.8. sz. Műv.Ház'!D14:S14,'2.8. sz. Műv.Ház'!$D$5:$S$5,"államigazgatási",'2.8. sz. Műv.Ház'!$D$3:$S$3,"Módosított előirányzat")+SUMIFS('2.9. sz. Szivárvány Ó.'!D14:Q14,'2.9. sz. Szivárvány Ó.'!$D$5:$Q$5,"államigazgatási",'2.9. sz. Szivárvány Ó.'!$D$3:$Q$3,"Módosított előirányzat")</f>
        <v>0</v>
      </c>
      <c r="J14" s="6">
        <f t="shared" si="0"/>
        <v>0</v>
      </c>
      <c r="K14" s="1179">
        <f t="shared" si="1"/>
        <v>0</v>
      </c>
    </row>
    <row r="15" spans="1:127" ht="23.25" customHeight="1" x14ac:dyDescent="0.25">
      <c r="A15" s="26" t="s">
        <v>200</v>
      </c>
      <c r="B15" s="30" t="s">
        <v>115</v>
      </c>
      <c r="C15" s="31"/>
      <c r="D15" s="6">
        <f>SUMIFS('2.1. sz. PMH'!D15:AA15,'2.1. sz. PMH'!$D$5:$AA$5,"kötelező",'2.1. sz. PMH'!$D$3:$AA$3,"Eredeti előirányzat")+SUMIFS('2.2. sz. Hétszínvirág Óvoda'!D15:S15,'2.2. sz. Hétszínvirág Óvoda'!$D$5:$S$5,"kötelező",'2.2. sz. Hétszínvirág Óvoda'!$D$3:$S$3,"Eredeti előirányzat")+SUMIFS('2.3. sz. Mese Óvoda'!D15:O15,'2.3. sz. Mese Óvoda'!$D$5:$O$5,"kötelező",'2.3. sz. Mese Óvoda'!$D$3:$O$3,"Eredeti előirányzat")+SUMIFS('2.4. sz. Bölcsőde'!D15:M15,'2.4. sz. Bölcsőde'!$D$5:$M$5,"kötelező",'2.4. sz. Bölcsőde'!$D$3:$M$3,"Eredeti előirányzat")+SUMIFS('2.5. sz. Gyermekjóléti'!D15:Q15,'2.5. sz. Gyermekjóléti'!$D$5:$Q$5,"kötelező",'2.5. sz. Gyermekjóléti'!$D$3:$Q$3,"Eredeti előirányzat")+SUMIFS('2.6 sz. Területi'!D15:AO15,'2.6 sz. Területi'!$D$5:$AO$5,"kötelező",'2.6 sz. Területi'!$D$3:$AO$3,"Eredeti előirányzat")+SUMIFS('2.7. sz. Könyvtár'!D15:S15,'2.7. sz. Könyvtár'!$D$5:$S$5,"kötelező",'2.7. sz. Könyvtár'!$D$3:$S$3,"Eredeti előirányzat")+SUMIFS('2.8. sz. Műv.Ház'!D15:S15,'2.8. sz. Műv.Ház'!$D$5:$S$5,"kötelező",'2.8. sz. Műv.Ház'!$D$3:$S$3,"Eredeti előirányzat")+SUMIFS('2.9. sz. Szivárvány Ó.'!D15:Q15,'2.9. sz. Szivárvány Ó.'!$D$5:$Q$5,"kötelező",'2.9. sz. Szivárvány Ó.'!$D$3:$Q$3,"Eredeti előirányzat")</f>
        <v>0</v>
      </c>
      <c r="E15" s="6">
        <f>SUMIFS('2.1. sz. PMH'!D15:AA15,'2.1. sz. PMH'!$D$5:$AA$5,"kötelező",'2.1. sz. PMH'!$D$3:$AA$3,"Módosított előirányzat")+SUMIFS('2.2. sz. Hétszínvirág Óvoda'!D15:S15,'2.2. sz. Hétszínvirág Óvoda'!$D$5:$S$5,"kötelező",'2.2. sz. Hétszínvirág Óvoda'!$D$3:$S$3,"Módosított előirányzat")+SUMIFS('2.3. sz. Mese Óvoda'!D15:O15,'2.3. sz. Mese Óvoda'!$D$5:$O$5,"kötelező",'2.3. sz. Mese Óvoda'!$D$3:$O$3,"Módosított előirányzat")+SUMIFS('2.4. sz. Bölcsőde'!D15:M15,'2.4. sz. Bölcsőde'!$D$5:$M$5,"kötelező",'2.4. sz. Bölcsőde'!$D$3:$M$3,"Módosított előirányzat")+SUMIFS('2.5. sz. Gyermekjóléti'!D15:Q15,'2.5. sz. Gyermekjóléti'!$D$5:$Q$5,"kötelező",'2.5. sz. Gyermekjóléti'!$D$3:$Q$3,"Módosított előirányzat")+SUMIFS('2.6 sz. Területi'!D15:AO15,'2.6 sz. Területi'!$D$5:$AO$5,"kötelező",'2.6 sz. Területi'!$D$3:$AO$3,"Módosított előirányzat")+SUMIFS('2.7. sz. Könyvtár'!D15:S15,'2.7. sz. Könyvtár'!$D$5:$S$5,"kötelező",'2.7. sz. Könyvtár'!$D$3:$S$3,"Módosított előirányzat")+SUMIFS('2.8. sz. Műv.Ház'!D15:S15,'2.8. sz. Műv.Ház'!$D$5:$S$5,"kötelező",'2.8. sz. Műv.Ház'!$D$3:$S$3,"Módosított előirányzat")+SUMIFS('2.9. sz. Szivárvány Ó.'!D15:Q15,'2.9. sz. Szivárvány Ó.'!$D$5:$Q$5,"kötelező",'2.9. sz. Szivárvány Ó.'!$D$3:$Q$3,"Módosított előirányzat")</f>
        <v>0</v>
      </c>
      <c r="F15" s="6">
        <f>SUMIFS('2.1. sz. PMH'!D15:AA15,'2.1. sz. PMH'!$D$5:$AA$5,"önként vállalt",'2.1. sz. PMH'!$D$3:$AA$3,"Eredeti előirányzat")+SUMIFS('2.2. sz. Hétszínvirág Óvoda'!D15:S15,'2.2. sz. Hétszínvirág Óvoda'!$D$5:$S$5,"önként vállalt",'2.2. sz. Hétszínvirág Óvoda'!$D$3:$S$3,"Eredeti előirányzat")+SUMIFS('2.3. sz. Mese Óvoda'!D15:O15,'2.3. sz. Mese Óvoda'!$D$5:$O$5,"önként vállalt",'2.3. sz. Mese Óvoda'!$D$3:$O$3,"Eredeti előirányzat")+SUMIFS('2.4. sz. Bölcsőde'!D15:M15,'2.4. sz. Bölcsőde'!$D$5:$M$5,"önként vállalt",'2.4. sz. Bölcsőde'!$D$3:$M$3,"Eredeti előirányzat")+SUMIFS('2.5. sz. Gyermekjóléti'!D15:Q15,'2.5. sz. Gyermekjóléti'!$D$5:$Q$5,"önként vállalt",'2.5. sz. Gyermekjóléti'!$D$3:$Q$3,"Eredeti előirányzat")+SUMIFS('2.6 sz. Területi'!D15:AO15,'2.6 sz. Területi'!$D$5:$AO$5,"önként vállalt",'2.6 sz. Területi'!$D$3:$AO$3,"Eredeti előirányzat")+SUMIFS('2.7. sz. Könyvtár'!D15:S15,'2.7. sz. Könyvtár'!$D$5:$S$5,"önként vállalt",'2.7. sz. Könyvtár'!$D$3:$S$3,"Eredeti előirányzat")+SUMIFS('2.8. sz. Műv.Ház'!D15:S15,'2.8. sz. Műv.Ház'!$D$5:$S$5,"önként vállalt",'2.8. sz. Műv.Ház'!$D$3:$S$3,"Eredeti előirányzat")+SUMIFS('2.9. sz. Szivárvány Ó.'!D15:Q15,'2.9. sz. Szivárvány Ó.'!$D$5:$Q$5,"önként vállalt",'2.9. sz. Szivárvány Ó.'!$D$3:$Q$3,"Eredeti előirányzat")</f>
        <v>0</v>
      </c>
      <c r="G15" s="6">
        <f>SUMIFS('2.1. sz. PMH'!D15:AA15,'2.1. sz. PMH'!$D$5:$AA$5,"önként vállalt",'2.1. sz. PMH'!$D$3:$AA$3,"Módosított előirányzat")+SUMIFS('2.2. sz. Hétszínvirág Óvoda'!D15:S15,'2.2. sz. Hétszínvirág Óvoda'!$D$5:$S$5,"önként vállalt",'2.2. sz. Hétszínvirág Óvoda'!$D$3:$S$3,"Módosított előirányzat")+SUMIFS('2.3. sz. Mese Óvoda'!D15:O15,'2.3. sz. Mese Óvoda'!$D$5:$O$5,"önként vállalt",'2.3. sz. Mese Óvoda'!$D$3:$O$3,"Módosított előirányzat")+SUMIFS('2.4. sz. Bölcsőde'!D15:M15,'2.4. sz. Bölcsőde'!$D$5:$M$5,"önként vállalt",'2.4. sz. Bölcsőde'!$D$3:$M$3,"Módosított előirányzat")+SUMIFS('2.5. sz. Gyermekjóléti'!D15:Q15,'2.5. sz. Gyermekjóléti'!$D$5:$Q$5,"önként vállalt",'2.5. sz. Gyermekjóléti'!$D$3:$Q$3,"Módosított előirányzat")+SUMIFS('2.6 sz. Területi'!D15:AO15,'2.6 sz. Területi'!$D$5:$AO$5,"önként vállalt",'2.6 sz. Területi'!$D$3:$AO$3,"Módosított előirányzat")+SUMIFS('2.7. sz. Könyvtár'!D15:S15,'2.7. sz. Könyvtár'!$D$5:$S$5,"önként vállalt",'2.7. sz. Könyvtár'!$D$3:$S$3,"Módosított előirányzat")+SUMIFS('2.8. sz. Műv.Ház'!D15:S15,'2.8. sz. Műv.Ház'!$D$5:$S$5,"önként vállalt",'2.8. sz. Műv.Ház'!$D$3:$S$3,"Módosított előirányzat")+SUMIFS('2.9. sz. Szivárvány Ó.'!D15:Q15,'2.9. sz. Szivárvány Ó.'!$D$5:$Q$5,"önként vállalt",'2.9. sz. Szivárvány Ó.'!$D$3:$Q$3,"Módosított előirányzat")</f>
        <v>0</v>
      </c>
      <c r="H15" s="6">
        <f>SUMIFS('2.1. sz. PMH'!D15:AA15,'2.1. sz. PMH'!$D$5:$AA$5,"államigazgatási",'2.1. sz. PMH'!$D$3:$AA$3,"Eredeti előirányzat")+SUMIFS('2.2. sz. Hétszínvirág Óvoda'!D15:S15,'2.2. sz. Hétszínvirág Óvoda'!$D$5:$S$5,"államigazgatási",'2.2. sz. Hétszínvirág Óvoda'!$D$3:$S$3,"Eredeti előirányzat")+SUMIFS('2.3. sz. Mese Óvoda'!D15:O15,'2.3. sz. Mese Óvoda'!$D$5:$O$5,"államigazgatási",'2.3. sz. Mese Óvoda'!$D$3:$O$3,"Eredeti előirányzat")+SUMIFS('2.4. sz. Bölcsőde'!D15:M15,'2.4. sz. Bölcsőde'!$D$5:$M$5,"államigazgatási",'2.4. sz. Bölcsőde'!$D$3:$M$3,"Eredeti előirányzat")+SUMIFS('2.5. sz. Gyermekjóléti'!D15:Q15,'2.5. sz. Gyermekjóléti'!$D$5:$Q$5,"államigazgatási",'2.5. sz. Gyermekjóléti'!$D$3:$Q$3,"Eredeti előirányzat")+SUMIFS('2.6 sz. Területi'!D15:AO15,'2.6 sz. Területi'!$D$5:$AO$5,"államigazgatási",'2.6 sz. Területi'!$D$3:$AO$3,"Eredeti előirányzat")+SUMIFS('2.7. sz. Könyvtár'!D15:S15,'2.7. sz. Könyvtár'!$D$5:$S$5,"államigazgatási",'2.7. sz. Könyvtár'!$D$3:$S$3,"Eredeti előirányzat")+SUMIFS('2.8. sz. Műv.Ház'!D15:S15,'2.8. sz. Műv.Ház'!$D$5:$S$5,"államigazgatási",'2.8. sz. Műv.Ház'!$D$3:$S$3,"Eredeti előirányzat")+SUMIFS('2.9. sz. Szivárvány Ó.'!D15:Q15,'2.9. sz. Szivárvány Ó.'!$D$5:$Q$5,"államigazgatási",'2.9. sz. Szivárvány Ó.'!$D$3:$Q$3,"Eredeti előirányzat")</f>
        <v>0</v>
      </c>
      <c r="I15" s="6">
        <f>SUMIFS('2.1. sz. PMH'!D15:AA15,'2.1. sz. PMH'!$D$5:$AA$5,"államigazgatási",'2.1. sz. PMH'!$D$3:$AA$3,"Módosított előirányzat")+SUMIFS('2.2. sz. Hétszínvirág Óvoda'!D15:S15,'2.2. sz. Hétszínvirág Óvoda'!$D$5:$S$5,"államigazgatási",'2.2. sz. Hétszínvirág Óvoda'!$D$3:$S$3,"Módosított előirányzat")+SUMIFS('2.3. sz. Mese Óvoda'!D15:O15,'2.3. sz. Mese Óvoda'!$D$5:$O$5,"államigazgatási",'2.3. sz. Mese Óvoda'!$D$3:$O$3,"Módosított előirányzat")+SUMIFS('2.4. sz. Bölcsőde'!D15:M15,'2.4. sz. Bölcsőde'!$D$5:$M$5,"államigazgatási",'2.4. sz. Bölcsőde'!$D$3:$M$3,"Módosított előirányzat")+SUMIFS('2.5. sz. Gyermekjóléti'!D15:Q15,'2.5. sz. Gyermekjóléti'!$D$5:$Q$5,"államigazgatási",'2.5. sz. Gyermekjóléti'!$D$3:$Q$3,"Módosított előirányzat")+SUMIFS('2.6 sz. Területi'!D15:AO15,'2.6 sz. Területi'!$D$5:$AO$5,"államigazgatási",'2.6 sz. Területi'!$D$3:$AO$3,"Módosított előirányzat")+SUMIFS('2.7. sz. Könyvtár'!D15:S15,'2.7. sz. Könyvtár'!$D$5:$S$5,"államigazgatási",'2.7. sz. Könyvtár'!$D$3:$S$3,"Módosított előirányzat")+SUMIFS('2.8. sz. Műv.Ház'!D15:S15,'2.8. sz. Műv.Ház'!$D$5:$S$5,"államigazgatási",'2.8. sz. Műv.Ház'!$D$3:$S$3,"Módosított előirányzat")+SUMIFS('2.9. sz. Szivárvány Ó.'!D15:Q15,'2.9. sz. Szivárvány Ó.'!$D$5:$Q$5,"államigazgatási",'2.9. sz. Szivárvány Ó.'!$D$3:$Q$3,"Módosított előirányzat")</f>
        <v>0</v>
      </c>
      <c r="J15" s="6">
        <f t="shared" si="0"/>
        <v>0</v>
      </c>
      <c r="K15" s="1179">
        <f t="shared" si="1"/>
        <v>0</v>
      </c>
    </row>
    <row r="16" spans="1:127" ht="23.25" customHeight="1" x14ac:dyDescent="0.25">
      <c r="A16" s="26" t="s">
        <v>201</v>
      </c>
      <c r="B16" s="92" t="s">
        <v>566</v>
      </c>
      <c r="C16" s="31"/>
      <c r="D16" s="6">
        <f>SUMIFS('2.1. sz. PMH'!D16:AA16,'2.1. sz. PMH'!$D$5:$AA$5,"kötelező",'2.1. sz. PMH'!$D$3:$AA$3,"Eredeti előirányzat")+SUMIFS('2.2. sz. Hétszínvirág Óvoda'!D16:S16,'2.2. sz. Hétszínvirág Óvoda'!$D$5:$S$5,"kötelező",'2.2. sz. Hétszínvirág Óvoda'!$D$3:$S$3,"Eredeti előirányzat")+SUMIFS('2.3. sz. Mese Óvoda'!D16:O16,'2.3. sz. Mese Óvoda'!$D$5:$O$5,"kötelező",'2.3. sz. Mese Óvoda'!$D$3:$O$3,"Eredeti előirányzat")+SUMIFS('2.4. sz. Bölcsőde'!D16:M16,'2.4. sz. Bölcsőde'!$D$5:$M$5,"kötelező",'2.4. sz. Bölcsőde'!$D$3:$M$3,"Eredeti előirányzat")+SUMIFS('2.5. sz. Gyermekjóléti'!D16:Q16,'2.5. sz. Gyermekjóléti'!$D$5:$Q$5,"kötelező",'2.5. sz. Gyermekjóléti'!$D$3:$Q$3,"Eredeti előirányzat")+SUMIFS('2.6 sz. Területi'!D16:AO16,'2.6 sz. Területi'!$D$5:$AO$5,"kötelező",'2.6 sz. Területi'!$D$3:$AO$3,"Eredeti előirányzat")+SUMIFS('2.7. sz. Könyvtár'!D16:S16,'2.7. sz. Könyvtár'!$D$5:$S$5,"kötelező",'2.7. sz. Könyvtár'!$D$3:$S$3,"Eredeti előirányzat")+SUMIFS('2.8. sz. Műv.Ház'!D16:S16,'2.8. sz. Műv.Ház'!$D$5:$S$5,"kötelező",'2.8. sz. Műv.Ház'!$D$3:$S$3,"Eredeti előirányzat")+SUMIFS('2.9. sz. Szivárvány Ó.'!D16:Q16,'2.9. sz. Szivárvány Ó.'!$D$5:$Q$5,"kötelező",'2.9. sz. Szivárvány Ó.'!$D$3:$Q$3,"Eredeti előirányzat")</f>
        <v>0</v>
      </c>
      <c r="E16" s="6">
        <f>SUMIFS('2.1. sz. PMH'!D16:AA16,'2.1. sz. PMH'!$D$5:$AA$5,"kötelező",'2.1. sz. PMH'!$D$3:$AA$3,"Módosított előirányzat")+SUMIFS('2.2. sz. Hétszínvirág Óvoda'!D16:S16,'2.2. sz. Hétszínvirág Óvoda'!$D$5:$S$5,"kötelező",'2.2. sz. Hétszínvirág Óvoda'!$D$3:$S$3,"Módosított előirányzat")+SUMIFS('2.3. sz. Mese Óvoda'!D16:O16,'2.3. sz. Mese Óvoda'!$D$5:$O$5,"kötelező",'2.3. sz. Mese Óvoda'!$D$3:$O$3,"Módosított előirányzat")+SUMIFS('2.4. sz. Bölcsőde'!D16:M16,'2.4. sz. Bölcsőde'!$D$5:$M$5,"kötelező",'2.4. sz. Bölcsőde'!$D$3:$M$3,"Módosított előirányzat")+SUMIFS('2.5. sz. Gyermekjóléti'!D16:Q16,'2.5. sz. Gyermekjóléti'!$D$5:$Q$5,"kötelező",'2.5. sz. Gyermekjóléti'!$D$3:$Q$3,"Módosított előirányzat")+SUMIFS('2.6 sz. Területi'!D16:AO16,'2.6 sz. Területi'!$D$5:$AO$5,"kötelező",'2.6 sz. Területi'!$D$3:$AO$3,"Módosított előirányzat")+SUMIFS('2.7. sz. Könyvtár'!D16:S16,'2.7. sz. Könyvtár'!$D$5:$S$5,"kötelező",'2.7. sz. Könyvtár'!$D$3:$S$3,"Módosított előirányzat")+SUMIFS('2.8. sz. Műv.Ház'!D16:S16,'2.8. sz. Műv.Ház'!$D$5:$S$5,"kötelező",'2.8. sz. Műv.Ház'!$D$3:$S$3,"Módosított előirányzat")+SUMIFS('2.9. sz. Szivárvány Ó.'!D16:Q16,'2.9. sz. Szivárvány Ó.'!$D$5:$Q$5,"kötelező",'2.9. sz. Szivárvány Ó.'!$D$3:$Q$3,"Módosított előirányzat")</f>
        <v>159332707</v>
      </c>
      <c r="F16" s="6">
        <f>SUMIFS('2.1. sz. PMH'!D16:AA16,'2.1. sz. PMH'!$D$5:$AA$5,"önként vállalt",'2.1. sz. PMH'!$D$3:$AA$3,"Eredeti előirányzat")+SUMIFS('2.2. sz. Hétszínvirág Óvoda'!D16:S16,'2.2. sz. Hétszínvirág Óvoda'!$D$5:$S$5,"önként vállalt",'2.2. sz. Hétszínvirág Óvoda'!$D$3:$S$3,"Eredeti előirányzat")+SUMIFS('2.3. sz. Mese Óvoda'!D16:O16,'2.3. sz. Mese Óvoda'!$D$5:$O$5,"önként vállalt",'2.3. sz. Mese Óvoda'!$D$3:$O$3,"Eredeti előirányzat")+SUMIFS('2.4. sz. Bölcsőde'!D16:M16,'2.4. sz. Bölcsőde'!$D$5:$M$5,"önként vállalt",'2.4. sz. Bölcsőde'!$D$3:$M$3,"Eredeti előirányzat")+SUMIFS('2.5. sz. Gyermekjóléti'!D16:Q16,'2.5. sz. Gyermekjóléti'!$D$5:$Q$5,"önként vállalt",'2.5. sz. Gyermekjóléti'!$D$3:$Q$3,"Eredeti előirányzat")+SUMIFS('2.6 sz. Területi'!D16:AO16,'2.6 sz. Területi'!$D$5:$AO$5,"önként vállalt",'2.6 sz. Területi'!$D$3:$AO$3,"Eredeti előirányzat")+SUMIFS('2.7. sz. Könyvtár'!D16:S16,'2.7. sz. Könyvtár'!$D$5:$S$5,"önként vállalt",'2.7. sz. Könyvtár'!$D$3:$S$3,"Eredeti előirányzat")+SUMIFS('2.8. sz. Műv.Ház'!D16:S16,'2.8. sz. Műv.Ház'!$D$5:$S$5,"önként vállalt",'2.8. sz. Műv.Ház'!$D$3:$S$3,"Eredeti előirányzat")+SUMIFS('2.9. sz. Szivárvány Ó.'!D16:Q16,'2.9. sz. Szivárvány Ó.'!$D$5:$Q$5,"önként vállalt",'2.9. sz. Szivárvány Ó.'!$D$3:$Q$3,"Eredeti előirányzat")</f>
        <v>0</v>
      </c>
      <c r="G16" s="6">
        <f>SUMIFS('2.1. sz. PMH'!D16:AA16,'2.1. sz. PMH'!$D$5:$AA$5,"önként vállalt",'2.1. sz. PMH'!$D$3:$AA$3,"Módosított előirányzat")+SUMIFS('2.2. sz. Hétszínvirág Óvoda'!D16:S16,'2.2. sz. Hétszínvirág Óvoda'!$D$5:$S$5,"önként vállalt",'2.2. sz. Hétszínvirág Óvoda'!$D$3:$S$3,"Módosított előirányzat")+SUMIFS('2.3. sz. Mese Óvoda'!D16:O16,'2.3. sz. Mese Óvoda'!$D$5:$O$5,"önként vállalt",'2.3. sz. Mese Óvoda'!$D$3:$O$3,"Módosított előirányzat")+SUMIFS('2.4. sz. Bölcsőde'!D16:M16,'2.4. sz. Bölcsőde'!$D$5:$M$5,"önként vállalt",'2.4. sz. Bölcsőde'!$D$3:$M$3,"Módosított előirányzat")+SUMIFS('2.5. sz. Gyermekjóléti'!D16:Q16,'2.5. sz. Gyermekjóléti'!$D$5:$Q$5,"önként vállalt",'2.5. sz. Gyermekjóléti'!$D$3:$Q$3,"Módosított előirányzat")+SUMIFS('2.6 sz. Területi'!D16:AO16,'2.6 sz. Területi'!$D$5:$AO$5,"önként vállalt",'2.6 sz. Területi'!$D$3:$AO$3,"Módosított előirányzat")+SUMIFS('2.7. sz. Könyvtár'!D16:S16,'2.7. sz. Könyvtár'!$D$5:$S$5,"önként vállalt",'2.7. sz. Könyvtár'!$D$3:$S$3,"Módosított előirányzat")+SUMIFS('2.8. sz. Műv.Ház'!D16:S16,'2.8. sz. Műv.Ház'!$D$5:$S$5,"önként vállalt",'2.8. sz. Műv.Ház'!$D$3:$S$3,"Módosított előirányzat")+SUMIFS('2.9. sz. Szivárvány Ó.'!D16:Q16,'2.9. sz. Szivárvány Ó.'!$D$5:$Q$5,"önként vállalt",'2.9. sz. Szivárvány Ó.'!$D$3:$Q$3,"Módosított előirányzat")</f>
        <v>0</v>
      </c>
      <c r="H16" s="6">
        <f>SUMIFS('2.1. sz. PMH'!D16:AA16,'2.1. sz. PMH'!$D$5:$AA$5,"államigazgatási",'2.1. sz. PMH'!$D$3:$AA$3,"Eredeti előirányzat")+SUMIFS('2.2. sz. Hétszínvirág Óvoda'!D16:S16,'2.2. sz. Hétszínvirág Óvoda'!$D$5:$S$5,"államigazgatási",'2.2. sz. Hétszínvirág Óvoda'!$D$3:$S$3,"Eredeti előirányzat")+SUMIFS('2.3. sz. Mese Óvoda'!D16:O16,'2.3. sz. Mese Óvoda'!$D$5:$O$5,"államigazgatási",'2.3. sz. Mese Óvoda'!$D$3:$O$3,"Eredeti előirányzat")+SUMIFS('2.4. sz. Bölcsőde'!D16:M16,'2.4. sz. Bölcsőde'!$D$5:$M$5,"államigazgatási",'2.4. sz. Bölcsőde'!$D$3:$M$3,"Eredeti előirányzat")+SUMIFS('2.5. sz. Gyermekjóléti'!D16:Q16,'2.5. sz. Gyermekjóléti'!$D$5:$Q$5,"államigazgatási",'2.5. sz. Gyermekjóléti'!$D$3:$Q$3,"Eredeti előirányzat")+SUMIFS('2.6 sz. Területi'!D16:AO16,'2.6 sz. Területi'!$D$5:$AO$5,"államigazgatási",'2.6 sz. Területi'!$D$3:$AO$3,"Eredeti előirányzat")+SUMIFS('2.7. sz. Könyvtár'!D16:S16,'2.7. sz. Könyvtár'!$D$5:$S$5,"államigazgatási",'2.7. sz. Könyvtár'!$D$3:$S$3,"Eredeti előirányzat")+SUMIFS('2.8. sz. Műv.Ház'!D16:S16,'2.8. sz. Műv.Ház'!$D$5:$S$5,"államigazgatási",'2.8. sz. Műv.Ház'!$D$3:$S$3,"Eredeti előirányzat")+SUMIFS('2.9. sz. Szivárvány Ó.'!D16:Q16,'2.9. sz. Szivárvány Ó.'!$D$5:$Q$5,"államigazgatási",'2.9. sz. Szivárvány Ó.'!$D$3:$Q$3,"Eredeti előirányzat")</f>
        <v>0</v>
      </c>
      <c r="I16" s="6">
        <f>SUMIFS('2.1. sz. PMH'!D16:AA16,'2.1. sz. PMH'!$D$5:$AA$5,"államigazgatási",'2.1. sz. PMH'!$D$3:$AA$3,"Módosított előirányzat")+SUMIFS('2.2. sz. Hétszínvirág Óvoda'!D16:S16,'2.2. sz. Hétszínvirág Óvoda'!$D$5:$S$5,"államigazgatási",'2.2. sz. Hétszínvirág Óvoda'!$D$3:$S$3,"Módosított előirányzat")+SUMIFS('2.3. sz. Mese Óvoda'!D16:O16,'2.3. sz. Mese Óvoda'!$D$5:$O$5,"államigazgatási",'2.3. sz. Mese Óvoda'!$D$3:$O$3,"Módosított előirányzat")+SUMIFS('2.4. sz. Bölcsőde'!D16:M16,'2.4. sz. Bölcsőde'!$D$5:$M$5,"államigazgatási",'2.4. sz. Bölcsőde'!$D$3:$M$3,"Módosított előirányzat")+SUMIFS('2.5. sz. Gyermekjóléti'!D16:Q16,'2.5. sz. Gyermekjóléti'!$D$5:$Q$5,"államigazgatási",'2.5. sz. Gyermekjóléti'!$D$3:$Q$3,"Módosított előirányzat")+SUMIFS('2.6 sz. Területi'!D16:AO16,'2.6 sz. Területi'!$D$5:$AO$5,"államigazgatási",'2.6 sz. Területi'!$D$3:$AO$3,"Módosított előirányzat")+SUMIFS('2.7. sz. Könyvtár'!D16:S16,'2.7. sz. Könyvtár'!$D$5:$S$5,"államigazgatási",'2.7. sz. Könyvtár'!$D$3:$S$3,"Módosított előirányzat")+SUMIFS('2.8. sz. Műv.Ház'!D16:S16,'2.8. sz. Műv.Ház'!$D$5:$S$5,"államigazgatási",'2.8. sz. Műv.Ház'!$D$3:$S$3,"Módosított előirányzat")+SUMIFS('2.9. sz. Szivárvány Ó.'!D16:Q16,'2.9. sz. Szivárvány Ó.'!$D$5:$Q$5,"államigazgatási",'2.9. sz. Szivárvány Ó.'!$D$3:$Q$3,"Módosított előirányzat")</f>
        <v>0</v>
      </c>
      <c r="J16" s="6">
        <f t="shared" si="0"/>
        <v>0</v>
      </c>
      <c r="K16" s="1179">
        <f t="shared" si="1"/>
        <v>159332707</v>
      </c>
    </row>
    <row r="17" spans="1:12" ht="23.25" customHeight="1" x14ac:dyDescent="0.25">
      <c r="A17" s="26" t="s">
        <v>202</v>
      </c>
      <c r="B17" s="32" t="s">
        <v>247</v>
      </c>
      <c r="C17" s="27" t="s">
        <v>211</v>
      </c>
      <c r="D17" s="6">
        <f>SUMIFS('2.1. sz. PMH'!D17:AA17,'2.1. sz. PMH'!$D$5:$AA$5,"kötelező",'2.1. sz. PMH'!$D$3:$AA$3,"Eredeti előirányzat")+SUMIFS('2.2. sz. Hétszínvirág Óvoda'!D17:S17,'2.2. sz. Hétszínvirág Óvoda'!$D$5:$S$5,"kötelező",'2.2. sz. Hétszínvirág Óvoda'!$D$3:$S$3,"Eredeti előirányzat")+SUMIFS('2.3. sz. Mese Óvoda'!D17:O17,'2.3. sz. Mese Óvoda'!$D$5:$O$5,"kötelező",'2.3. sz. Mese Óvoda'!$D$3:$O$3,"Eredeti előirányzat")+SUMIFS('2.4. sz. Bölcsőde'!D17:M17,'2.4. sz. Bölcsőde'!$D$5:$M$5,"kötelező",'2.4. sz. Bölcsőde'!$D$3:$M$3,"Eredeti előirányzat")+SUMIFS('2.5. sz. Gyermekjóléti'!D17:Q17,'2.5. sz. Gyermekjóléti'!$D$5:$Q$5,"kötelező",'2.5. sz. Gyermekjóléti'!$D$3:$Q$3,"Eredeti előirányzat")+SUMIFS('2.6 sz. Területi'!D17:AO17,'2.6 sz. Területi'!$D$5:$AO$5,"kötelező",'2.6 sz. Területi'!$D$3:$AO$3,"Eredeti előirányzat")+SUMIFS('2.7. sz. Könyvtár'!D17:S17,'2.7. sz. Könyvtár'!$D$5:$S$5,"kötelező",'2.7. sz. Könyvtár'!$D$3:$S$3,"Eredeti előirányzat")+SUMIFS('2.8. sz. Műv.Ház'!D17:S17,'2.8. sz. Műv.Ház'!$D$5:$S$5,"kötelező",'2.8. sz. Műv.Ház'!$D$3:$S$3,"Eredeti előirányzat")+SUMIFS('2.9. sz. Szivárvány Ó.'!D17:Q17,'2.9. sz. Szivárvány Ó.'!$D$5:$Q$5,"kötelező",'2.9. sz. Szivárvány Ó.'!$D$3:$Q$3,"Eredeti előirányzat")</f>
        <v>51396015</v>
      </c>
      <c r="E17" s="6">
        <f>SUMIFS('2.1. sz. PMH'!D17:AA17,'2.1. sz. PMH'!$D$5:$AA$5,"kötelező",'2.1. sz. PMH'!$D$3:$AA$3,"Módosított előirányzat")+SUMIFS('2.2. sz. Hétszínvirág Óvoda'!D17:S17,'2.2. sz. Hétszínvirág Óvoda'!$D$5:$S$5,"kötelező",'2.2. sz. Hétszínvirág Óvoda'!$D$3:$S$3,"Módosított előirányzat")+SUMIFS('2.3. sz. Mese Óvoda'!D17:O17,'2.3. sz. Mese Óvoda'!$D$5:$O$5,"kötelező",'2.3. sz. Mese Óvoda'!$D$3:$O$3,"Módosított előirányzat")+SUMIFS('2.4. sz. Bölcsőde'!D17:M17,'2.4. sz. Bölcsőde'!$D$5:$M$5,"kötelező",'2.4. sz. Bölcsőde'!$D$3:$M$3,"Módosított előirányzat")+SUMIFS('2.5. sz. Gyermekjóléti'!D17:Q17,'2.5. sz. Gyermekjóléti'!$D$5:$Q$5,"kötelező",'2.5. sz. Gyermekjóléti'!$D$3:$Q$3,"Módosított előirányzat")+SUMIFS('2.6 sz. Területi'!D17:AO17,'2.6 sz. Területi'!$D$5:$AO$5,"kötelező",'2.6 sz. Területi'!$D$3:$AO$3,"Módosított előirányzat")+SUMIFS('2.7. sz. Könyvtár'!D17:S17,'2.7. sz. Könyvtár'!$D$5:$S$5,"kötelező",'2.7. sz. Könyvtár'!$D$3:$S$3,"Módosított előirányzat")+SUMIFS('2.8. sz. Műv.Ház'!D17:S17,'2.8. sz. Műv.Ház'!$D$5:$S$5,"kötelező",'2.8. sz. Műv.Ház'!$D$3:$S$3,"Módosított előirányzat")+SUMIFS('2.9. sz. Szivárvány Ó.'!D17:Q17,'2.9. sz. Szivárvány Ó.'!$D$5:$Q$5,"kötelező",'2.9. sz. Szivárvány Ó.'!$D$3:$Q$3,"Módosított előirányzat")</f>
        <v>80153896</v>
      </c>
      <c r="F17" s="6">
        <f>SUMIFS('2.1. sz. PMH'!D17:AA17,'2.1. sz. PMH'!$D$5:$AA$5,"önként vállalt",'2.1. sz. PMH'!$D$3:$AA$3,"Eredeti előirányzat")+SUMIFS('2.2. sz. Hétszínvirág Óvoda'!D17:S17,'2.2. sz. Hétszínvirág Óvoda'!$D$5:$S$5,"önként vállalt",'2.2. sz. Hétszínvirág Óvoda'!$D$3:$S$3,"Eredeti előirányzat")+SUMIFS('2.3. sz. Mese Óvoda'!D17:O17,'2.3. sz. Mese Óvoda'!$D$5:$O$5,"önként vállalt",'2.3. sz. Mese Óvoda'!$D$3:$O$3,"Eredeti előirányzat")+SUMIFS('2.4. sz. Bölcsőde'!D17:M17,'2.4. sz. Bölcsőde'!$D$5:$M$5,"önként vállalt",'2.4. sz. Bölcsőde'!$D$3:$M$3,"Eredeti előirányzat")+SUMIFS('2.5. sz. Gyermekjóléti'!D17:Q17,'2.5. sz. Gyermekjóléti'!$D$5:$Q$5,"önként vállalt",'2.5. sz. Gyermekjóléti'!$D$3:$Q$3,"Eredeti előirányzat")+SUMIFS('2.6 sz. Területi'!D17:AO17,'2.6 sz. Területi'!$D$5:$AO$5,"önként vállalt",'2.6 sz. Területi'!$D$3:$AO$3,"Eredeti előirányzat")+SUMIFS('2.7. sz. Könyvtár'!D17:S17,'2.7. sz. Könyvtár'!$D$5:$S$5,"önként vállalt",'2.7. sz. Könyvtár'!$D$3:$S$3,"Eredeti előirányzat")+SUMIFS('2.8. sz. Műv.Ház'!D17:S17,'2.8. sz. Műv.Ház'!$D$5:$S$5,"önként vállalt",'2.8. sz. Műv.Ház'!$D$3:$S$3,"Eredeti előirányzat")+SUMIFS('2.9. sz. Szivárvány Ó.'!D17:Q17,'2.9. sz. Szivárvány Ó.'!$D$5:$Q$5,"önként vállalt",'2.9. sz. Szivárvány Ó.'!$D$3:$Q$3,"Eredeti előirányzat")</f>
        <v>2222500</v>
      </c>
      <c r="G17" s="6">
        <f>SUMIFS('2.1. sz. PMH'!D17:AA17,'2.1. sz. PMH'!$D$5:$AA$5,"önként vállalt",'2.1. sz. PMH'!$D$3:$AA$3,"Módosított előirányzat")+SUMIFS('2.2. sz. Hétszínvirág Óvoda'!D17:S17,'2.2. sz. Hétszínvirág Óvoda'!$D$5:$S$5,"önként vállalt",'2.2. sz. Hétszínvirág Óvoda'!$D$3:$S$3,"Módosított előirányzat")+SUMIFS('2.3. sz. Mese Óvoda'!D17:O17,'2.3. sz. Mese Óvoda'!$D$5:$O$5,"önként vállalt",'2.3. sz. Mese Óvoda'!$D$3:$O$3,"Módosított előirányzat")+SUMIFS('2.4. sz. Bölcsőde'!D17:M17,'2.4. sz. Bölcsőde'!$D$5:$M$5,"önként vállalt",'2.4. sz. Bölcsőde'!$D$3:$M$3,"Módosított előirányzat")+SUMIFS('2.5. sz. Gyermekjóléti'!D17:Q17,'2.5. sz. Gyermekjóléti'!$D$5:$Q$5,"önként vállalt",'2.5. sz. Gyermekjóléti'!$D$3:$Q$3,"Módosított előirányzat")+SUMIFS('2.6 sz. Területi'!D17:AO17,'2.6 sz. Területi'!$D$5:$AO$5,"önként vállalt",'2.6 sz. Területi'!$D$3:$AO$3,"Módosított előirányzat")+SUMIFS('2.7. sz. Könyvtár'!D17:S17,'2.7. sz. Könyvtár'!$D$5:$S$5,"önként vállalt",'2.7. sz. Könyvtár'!$D$3:$S$3,"Módosított előirányzat")+SUMIFS('2.8. sz. Műv.Ház'!D17:S17,'2.8. sz. Műv.Ház'!$D$5:$S$5,"önként vállalt",'2.8. sz. Műv.Ház'!$D$3:$S$3,"Módosított előirányzat")+SUMIFS('2.9. sz. Szivárvány Ó.'!D17:Q17,'2.9. sz. Szivárvány Ó.'!$D$5:$Q$5,"önként vállalt",'2.9. sz. Szivárvány Ó.'!$D$3:$Q$3,"Módosított előirányzat")</f>
        <v>2222500</v>
      </c>
      <c r="H17" s="6">
        <f>SUMIFS('2.1. sz. PMH'!D17:AA17,'2.1. sz. PMH'!$D$5:$AA$5,"államigazgatási",'2.1. sz. PMH'!$D$3:$AA$3,"Eredeti előirányzat")+SUMIFS('2.2. sz. Hétszínvirág Óvoda'!D17:S17,'2.2. sz. Hétszínvirág Óvoda'!$D$5:$S$5,"államigazgatási",'2.2. sz. Hétszínvirág Óvoda'!$D$3:$S$3,"Eredeti előirányzat")+SUMIFS('2.3. sz. Mese Óvoda'!D17:O17,'2.3. sz. Mese Óvoda'!$D$5:$O$5,"államigazgatási",'2.3. sz. Mese Óvoda'!$D$3:$O$3,"Eredeti előirányzat")+SUMIFS('2.4. sz. Bölcsőde'!D17:M17,'2.4. sz. Bölcsőde'!$D$5:$M$5,"államigazgatási",'2.4. sz. Bölcsőde'!$D$3:$M$3,"Eredeti előirányzat")+SUMIFS('2.5. sz. Gyermekjóléti'!D17:Q17,'2.5. sz. Gyermekjóléti'!$D$5:$Q$5,"államigazgatási",'2.5. sz. Gyermekjóléti'!$D$3:$Q$3,"Eredeti előirányzat")+SUMIFS('2.6 sz. Területi'!D17:AO17,'2.6 sz. Területi'!$D$5:$AO$5,"államigazgatási",'2.6 sz. Területi'!$D$3:$AO$3,"Eredeti előirányzat")+SUMIFS('2.7. sz. Könyvtár'!D17:S17,'2.7. sz. Könyvtár'!$D$5:$S$5,"államigazgatási",'2.7. sz. Könyvtár'!$D$3:$S$3,"Eredeti előirányzat")+SUMIFS('2.8. sz. Műv.Ház'!D17:S17,'2.8. sz. Műv.Ház'!$D$5:$S$5,"államigazgatási",'2.8. sz. Műv.Ház'!$D$3:$S$3,"Eredeti előirányzat")+SUMIFS('2.9. sz. Szivárvány Ó.'!D17:Q17,'2.9. sz. Szivárvány Ó.'!$D$5:$Q$5,"államigazgatási",'2.9. sz. Szivárvány Ó.'!$D$3:$Q$3,"Eredeti előirányzat")</f>
        <v>7240500</v>
      </c>
      <c r="I17" s="6">
        <f>SUMIFS('2.1. sz. PMH'!D17:AA17,'2.1. sz. PMH'!$D$5:$AA$5,"államigazgatási",'2.1. sz. PMH'!$D$3:$AA$3,"Módosított előirányzat")+SUMIFS('2.2. sz. Hétszínvirág Óvoda'!D17:S17,'2.2. sz. Hétszínvirág Óvoda'!$D$5:$S$5,"államigazgatási",'2.2. sz. Hétszínvirág Óvoda'!$D$3:$S$3,"Módosított előirányzat")+SUMIFS('2.3. sz. Mese Óvoda'!D17:O17,'2.3. sz. Mese Óvoda'!$D$5:$O$5,"államigazgatási",'2.3. sz. Mese Óvoda'!$D$3:$O$3,"Módosított előirányzat")+SUMIFS('2.4. sz. Bölcsőde'!D17:M17,'2.4. sz. Bölcsőde'!$D$5:$M$5,"államigazgatási",'2.4. sz. Bölcsőde'!$D$3:$M$3,"Módosított előirányzat")+SUMIFS('2.5. sz. Gyermekjóléti'!D17:Q17,'2.5. sz. Gyermekjóléti'!$D$5:$Q$5,"államigazgatási",'2.5. sz. Gyermekjóléti'!$D$3:$Q$3,"Módosított előirányzat")+SUMIFS('2.6 sz. Területi'!D17:AO17,'2.6 sz. Területi'!$D$5:$AO$5,"államigazgatási",'2.6 sz. Területi'!$D$3:$AO$3,"Módosított előirányzat")+SUMIFS('2.7. sz. Könyvtár'!D17:S17,'2.7. sz. Könyvtár'!$D$5:$S$5,"államigazgatási",'2.7. sz. Könyvtár'!$D$3:$S$3,"Módosított előirányzat")+SUMIFS('2.8. sz. Műv.Ház'!D17:S17,'2.8. sz. Műv.Ház'!$D$5:$S$5,"államigazgatási",'2.8. sz. Műv.Ház'!$D$3:$S$3,"Módosított előirányzat")+SUMIFS('2.9. sz. Szivárvány Ó.'!D17:Q17,'2.9. sz. Szivárvány Ó.'!$D$5:$Q$5,"államigazgatási",'2.9. sz. Szivárvány Ó.'!$D$3:$Q$3,"Módosított előirányzat")</f>
        <v>11280737</v>
      </c>
      <c r="J17" s="6">
        <f t="shared" si="0"/>
        <v>60859015</v>
      </c>
      <c r="K17" s="1179">
        <f t="shared" si="1"/>
        <v>93657133</v>
      </c>
    </row>
    <row r="18" spans="1:12" ht="23.25" customHeight="1" x14ac:dyDescent="0.25">
      <c r="A18" s="26" t="s">
        <v>203</v>
      </c>
      <c r="B18" s="29" t="s">
        <v>338</v>
      </c>
      <c r="C18" s="27" t="s">
        <v>212</v>
      </c>
      <c r="D18" s="6">
        <f>SUMIFS('2.1. sz. PMH'!D18:AA18,'2.1. sz. PMH'!$D$5:$AA$5,"kötelező",'2.1. sz. PMH'!$D$3:$AA$3,"Eredeti előirányzat")+SUMIFS('2.2. sz. Hétszínvirág Óvoda'!D18:S18,'2.2. sz. Hétszínvirág Óvoda'!$D$5:$S$5,"kötelező",'2.2. sz. Hétszínvirág Óvoda'!$D$3:$S$3,"Eredeti előirányzat")+SUMIFS('2.3. sz. Mese Óvoda'!D18:O18,'2.3. sz. Mese Óvoda'!$D$5:$O$5,"kötelező",'2.3. sz. Mese Óvoda'!$D$3:$O$3,"Eredeti előirányzat")+SUMIFS('2.4. sz. Bölcsőde'!D18:M18,'2.4. sz. Bölcsőde'!$D$5:$M$5,"kötelező",'2.4. sz. Bölcsőde'!$D$3:$M$3,"Eredeti előirányzat")+SUMIFS('2.5. sz. Gyermekjóléti'!D18:Q18,'2.5. sz. Gyermekjóléti'!$D$5:$Q$5,"kötelező",'2.5. sz. Gyermekjóléti'!$D$3:$Q$3,"Eredeti előirányzat")+SUMIFS('2.6 sz. Területi'!D18:AO18,'2.6 sz. Területi'!$D$5:$AO$5,"kötelező",'2.6 sz. Területi'!$D$3:$AO$3,"Eredeti előirányzat")+SUMIFS('2.7. sz. Könyvtár'!D18:S18,'2.7. sz. Könyvtár'!$D$5:$S$5,"kötelező",'2.7. sz. Könyvtár'!$D$3:$S$3,"Eredeti előirányzat")+SUMIFS('2.8. sz. Műv.Ház'!D18:S18,'2.8. sz. Műv.Ház'!$D$5:$S$5,"kötelező",'2.8. sz. Műv.Ház'!$D$3:$S$3,"Eredeti előirányzat")+SUMIFS('2.9. sz. Szivárvány Ó.'!D18:Q18,'2.9. sz. Szivárvány Ó.'!$D$5:$Q$5,"kötelező",'2.9. sz. Szivárvány Ó.'!$D$3:$Q$3,"Eredeti előirányzat")</f>
        <v>0</v>
      </c>
      <c r="E18" s="6">
        <f>SUMIFS('2.1. sz. PMH'!D18:AA18,'2.1. sz. PMH'!$D$5:$AA$5,"kötelező",'2.1. sz. PMH'!$D$3:$AA$3,"Módosított előirányzat")+SUMIFS('2.2. sz. Hétszínvirág Óvoda'!D18:S18,'2.2. sz. Hétszínvirág Óvoda'!$D$5:$S$5,"kötelező",'2.2. sz. Hétszínvirág Óvoda'!$D$3:$S$3,"Módosított előirányzat")+SUMIFS('2.3. sz. Mese Óvoda'!D18:O18,'2.3. sz. Mese Óvoda'!$D$5:$O$5,"kötelező",'2.3. sz. Mese Óvoda'!$D$3:$O$3,"Módosított előirányzat")+SUMIFS('2.4. sz. Bölcsőde'!D18:M18,'2.4. sz. Bölcsőde'!$D$5:$M$5,"kötelező",'2.4. sz. Bölcsőde'!$D$3:$M$3,"Módosított előirányzat")+SUMIFS('2.5. sz. Gyermekjóléti'!D18:Q18,'2.5. sz. Gyermekjóléti'!$D$5:$Q$5,"kötelező",'2.5. sz. Gyermekjóléti'!$D$3:$Q$3,"Módosított előirányzat")+SUMIFS('2.6 sz. Területi'!D18:AO18,'2.6 sz. Területi'!$D$5:$AO$5,"kötelező",'2.6 sz. Területi'!$D$3:$AO$3,"Módosított előirányzat")+SUMIFS('2.7. sz. Könyvtár'!D18:S18,'2.7. sz. Könyvtár'!$D$5:$S$5,"kötelező",'2.7. sz. Könyvtár'!$D$3:$S$3,"Módosított előirányzat")+SUMIFS('2.8. sz. Műv.Ház'!D18:S18,'2.8. sz. Műv.Ház'!$D$5:$S$5,"kötelező",'2.8. sz. Műv.Ház'!$D$3:$S$3,"Módosított előirányzat")+SUMIFS('2.9. sz. Szivárvány Ó.'!D18:Q18,'2.9. sz. Szivárvány Ó.'!$D$5:$Q$5,"kötelező",'2.9. sz. Szivárvány Ó.'!$D$3:$Q$3,"Módosított előirányzat")</f>
        <v>0</v>
      </c>
      <c r="F18" s="6">
        <f>SUMIFS('2.1. sz. PMH'!D18:AA18,'2.1. sz. PMH'!$D$5:$AA$5,"önként vállalt",'2.1. sz. PMH'!$D$3:$AA$3,"Eredeti előirányzat")+SUMIFS('2.2. sz. Hétszínvirág Óvoda'!D18:S18,'2.2. sz. Hétszínvirág Óvoda'!$D$5:$S$5,"önként vállalt",'2.2. sz. Hétszínvirág Óvoda'!$D$3:$S$3,"Eredeti előirányzat")+SUMIFS('2.3. sz. Mese Óvoda'!D18:O18,'2.3. sz. Mese Óvoda'!$D$5:$O$5,"önként vállalt",'2.3. sz. Mese Óvoda'!$D$3:$O$3,"Eredeti előirányzat")+SUMIFS('2.4. sz. Bölcsőde'!D18:M18,'2.4. sz. Bölcsőde'!$D$5:$M$5,"önként vállalt",'2.4. sz. Bölcsőde'!$D$3:$M$3,"Eredeti előirányzat")+SUMIFS('2.5. sz. Gyermekjóléti'!D18:Q18,'2.5. sz. Gyermekjóléti'!$D$5:$Q$5,"önként vállalt",'2.5. sz. Gyermekjóléti'!$D$3:$Q$3,"Eredeti előirányzat")+SUMIFS('2.6 sz. Területi'!D18:AO18,'2.6 sz. Területi'!$D$5:$AO$5,"önként vállalt",'2.6 sz. Területi'!$D$3:$AO$3,"Eredeti előirányzat")+SUMIFS('2.7. sz. Könyvtár'!D18:S18,'2.7. sz. Könyvtár'!$D$5:$S$5,"önként vállalt",'2.7. sz. Könyvtár'!$D$3:$S$3,"Eredeti előirányzat")+SUMIFS('2.8. sz. Műv.Ház'!D18:S18,'2.8. sz. Műv.Ház'!$D$5:$S$5,"önként vállalt",'2.8. sz. Műv.Ház'!$D$3:$S$3,"Eredeti előirányzat")+SUMIFS('2.9. sz. Szivárvány Ó.'!D18:Q18,'2.9. sz. Szivárvány Ó.'!$D$5:$Q$5,"önként vállalt",'2.9. sz. Szivárvány Ó.'!$D$3:$Q$3,"Eredeti előirányzat")</f>
        <v>0</v>
      </c>
      <c r="G18" s="6">
        <f>SUMIFS('2.1. sz. PMH'!D18:AA18,'2.1. sz. PMH'!$D$5:$AA$5,"önként vállalt",'2.1. sz. PMH'!$D$3:$AA$3,"Módosított előirányzat")+SUMIFS('2.2. sz. Hétszínvirág Óvoda'!D18:S18,'2.2. sz. Hétszínvirág Óvoda'!$D$5:$S$5,"önként vállalt",'2.2. sz. Hétszínvirág Óvoda'!$D$3:$S$3,"Módosított előirányzat")+SUMIFS('2.3. sz. Mese Óvoda'!D18:O18,'2.3. sz. Mese Óvoda'!$D$5:$O$5,"önként vállalt",'2.3. sz. Mese Óvoda'!$D$3:$O$3,"Módosított előirányzat")+SUMIFS('2.4. sz. Bölcsőde'!D18:M18,'2.4. sz. Bölcsőde'!$D$5:$M$5,"önként vállalt",'2.4. sz. Bölcsőde'!$D$3:$M$3,"Módosított előirányzat")+SUMIFS('2.5. sz. Gyermekjóléti'!D18:Q18,'2.5. sz. Gyermekjóléti'!$D$5:$Q$5,"önként vállalt",'2.5. sz. Gyermekjóléti'!$D$3:$Q$3,"Módosított előirányzat")+SUMIFS('2.6 sz. Területi'!D18:AO18,'2.6 sz. Területi'!$D$5:$AO$5,"önként vállalt",'2.6 sz. Területi'!$D$3:$AO$3,"Módosított előirányzat")+SUMIFS('2.7. sz. Könyvtár'!D18:S18,'2.7. sz. Könyvtár'!$D$5:$S$5,"önként vállalt",'2.7. sz. Könyvtár'!$D$3:$S$3,"Módosított előirányzat")+SUMIFS('2.8. sz. Műv.Ház'!D18:S18,'2.8. sz. Műv.Ház'!$D$5:$S$5,"önként vállalt",'2.8. sz. Műv.Ház'!$D$3:$S$3,"Módosított előirányzat")+SUMIFS('2.9. sz. Szivárvány Ó.'!D18:Q18,'2.9. sz. Szivárvány Ó.'!$D$5:$Q$5,"önként vállalt",'2.9. sz. Szivárvány Ó.'!$D$3:$Q$3,"Módosított előirányzat")</f>
        <v>0</v>
      </c>
      <c r="H18" s="6">
        <f>SUMIFS('2.1. sz. PMH'!D18:AA18,'2.1. sz. PMH'!$D$5:$AA$5,"államigazgatási",'2.1. sz. PMH'!$D$3:$AA$3,"Eredeti előirányzat")+SUMIFS('2.2. sz. Hétszínvirág Óvoda'!D18:S18,'2.2. sz. Hétszínvirág Óvoda'!$D$5:$S$5,"államigazgatási",'2.2. sz. Hétszínvirág Óvoda'!$D$3:$S$3,"Eredeti előirányzat")+SUMIFS('2.3. sz. Mese Óvoda'!D18:O18,'2.3. sz. Mese Óvoda'!$D$5:$O$5,"államigazgatási",'2.3. sz. Mese Óvoda'!$D$3:$O$3,"Eredeti előirányzat")+SUMIFS('2.4. sz. Bölcsőde'!D18:M18,'2.4. sz. Bölcsőde'!$D$5:$M$5,"államigazgatási",'2.4. sz. Bölcsőde'!$D$3:$M$3,"Eredeti előirányzat")+SUMIFS('2.5. sz. Gyermekjóléti'!D18:Q18,'2.5. sz. Gyermekjóléti'!$D$5:$Q$5,"államigazgatási",'2.5. sz. Gyermekjóléti'!$D$3:$Q$3,"Eredeti előirányzat")+SUMIFS('2.6 sz. Területi'!D18:AO18,'2.6 sz. Területi'!$D$5:$AO$5,"államigazgatási",'2.6 sz. Területi'!$D$3:$AO$3,"Eredeti előirányzat")+SUMIFS('2.7. sz. Könyvtár'!D18:S18,'2.7. sz. Könyvtár'!$D$5:$S$5,"államigazgatási",'2.7. sz. Könyvtár'!$D$3:$S$3,"Eredeti előirányzat")+SUMIFS('2.8. sz. Műv.Ház'!D18:S18,'2.8. sz. Műv.Ház'!$D$5:$S$5,"államigazgatási",'2.8. sz. Műv.Ház'!$D$3:$S$3,"Eredeti előirányzat")+SUMIFS('2.9. sz. Szivárvány Ó.'!D18:Q18,'2.9. sz. Szivárvány Ó.'!$D$5:$Q$5,"államigazgatási",'2.9. sz. Szivárvány Ó.'!$D$3:$Q$3,"Eredeti előirányzat")</f>
        <v>0</v>
      </c>
      <c r="I18" s="6">
        <f>SUMIFS('2.1. sz. PMH'!D18:AA18,'2.1. sz. PMH'!$D$5:$AA$5,"államigazgatási",'2.1. sz. PMH'!$D$3:$AA$3,"Módosított előirányzat")+SUMIFS('2.2. sz. Hétszínvirág Óvoda'!D18:S18,'2.2. sz. Hétszínvirág Óvoda'!$D$5:$S$5,"államigazgatási",'2.2. sz. Hétszínvirág Óvoda'!$D$3:$S$3,"Módosított előirányzat")+SUMIFS('2.3. sz. Mese Óvoda'!D18:O18,'2.3. sz. Mese Óvoda'!$D$5:$O$5,"államigazgatási",'2.3. sz. Mese Óvoda'!$D$3:$O$3,"Módosított előirányzat")+SUMIFS('2.4. sz. Bölcsőde'!D18:M18,'2.4. sz. Bölcsőde'!$D$5:$M$5,"államigazgatási",'2.4. sz. Bölcsőde'!$D$3:$M$3,"Módosított előirányzat")+SUMIFS('2.5. sz. Gyermekjóléti'!D18:Q18,'2.5. sz. Gyermekjóléti'!$D$5:$Q$5,"államigazgatási",'2.5. sz. Gyermekjóléti'!$D$3:$Q$3,"Módosított előirányzat")+SUMIFS('2.6 sz. Területi'!D18:AO18,'2.6 sz. Területi'!$D$5:$AO$5,"államigazgatási",'2.6 sz. Területi'!$D$3:$AO$3,"Módosított előirányzat")+SUMIFS('2.7. sz. Könyvtár'!D18:S18,'2.7. sz. Könyvtár'!$D$5:$S$5,"államigazgatási",'2.7. sz. Könyvtár'!$D$3:$S$3,"Módosított előirányzat")+SUMIFS('2.8. sz. Műv.Ház'!D18:S18,'2.8. sz. Műv.Ház'!$D$5:$S$5,"államigazgatási",'2.8. sz. Műv.Ház'!$D$3:$S$3,"Módosított előirányzat")+SUMIFS('2.9. sz. Szivárvány Ó.'!D18:Q18,'2.9. sz. Szivárvány Ó.'!$D$5:$Q$5,"államigazgatási",'2.9. sz. Szivárvány Ó.'!$D$3:$Q$3,"Módosított előirányzat")</f>
        <v>0</v>
      </c>
      <c r="J18" s="6">
        <f t="shared" si="0"/>
        <v>0</v>
      </c>
      <c r="K18" s="1179">
        <f t="shared" si="1"/>
        <v>0</v>
      </c>
    </row>
    <row r="19" spans="1:12" ht="23.25" customHeight="1" x14ac:dyDescent="0.25">
      <c r="A19" s="26" t="s">
        <v>204</v>
      </c>
      <c r="B19" s="29" t="s">
        <v>241</v>
      </c>
      <c r="C19" s="27" t="s">
        <v>213</v>
      </c>
      <c r="D19" s="6">
        <f>SUMIFS('2.1. sz. PMH'!D19:AA19,'2.1. sz. PMH'!$D$5:$AA$5,"kötelező",'2.1. sz. PMH'!$D$3:$AA$3,"Eredeti előirányzat")+SUMIFS('2.2. sz. Hétszínvirág Óvoda'!D19:S19,'2.2. sz. Hétszínvirág Óvoda'!$D$5:$S$5,"kötelező",'2.2. sz. Hétszínvirág Óvoda'!$D$3:$S$3,"Eredeti előirányzat")+SUMIFS('2.3. sz. Mese Óvoda'!D19:O19,'2.3. sz. Mese Óvoda'!$D$5:$O$5,"kötelező",'2.3. sz. Mese Óvoda'!$D$3:$O$3,"Eredeti előirányzat")+SUMIFS('2.4. sz. Bölcsőde'!D19:M19,'2.4. sz. Bölcsőde'!$D$5:$M$5,"kötelező",'2.4. sz. Bölcsőde'!$D$3:$M$3,"Eredeti előirányzat")+SUMIFS('2.5. sz. Gyermekjóléti'!D19:Q19,'2.5. sz. Gyermekjóléti'!$D$5:$Q$5,"kötelező",'2.5. sz. Gyermekjóléti'!$D$3:$Q$3,"Eredeti előirányzat")+SUMIFS('2.6 sz. Területi'!D19:AO19,'2.6 sz. Területi'!$D$5:$AO$5,"kötelező",'2.6 sz. Területi'!$D$3:$AO$3,"Eredeti előirányzat")+SUMIFS('2.7. sz. Könyvtár'!D19:S19,'2.7. sz. Könyvtár'!$D$5:$S$5,"kötelező",'2.7. sz. Könyvtár'!$D$3:$S$3,"Eredeti előirányzat")+SUMIFS('2.8. sz. Műv.Ház'!D19:S19,'2.8. sz. Műv.Ház'!$D$5:$S$5,"kötelező",'2.8. sz. Műv.Ház'!$D$3:$S$3,"Eredeti előirányzat")+SUMIFS('2.9. sz. Szivárvány Ó.'!D19:Q19,'2.9. sz. Szivárvány Ó.'!$D$5:$Q$5,"kötelező",'2.9. sz. Szivárvány Ó.'!$D$3:$Q$3,"Eredeti előirányzat")</f>
        <v>10000000</v>
      </c>
      <c r="E19" s="6">
        <f>SUMIFS('2.1. sz. PMH'!D19:AA19,'2.1. sz. PMH'!$D$5:$AA$5,"kötelező",'2.1. sz. PMH'!$D$3:$AA$3,"Módosított előirányzat")+SUMIFS('2.2. sz. Hétszínvirág Óvoda'!D19:S19,'2.2. sz. Hétszínvirág Óvoda'!$D$5:$S$5,"kötelező",'2.2. sz. Hétszínvirág Óvoda'!$D$3:$S$3,"Módosított előirányzat")+SUMIFS('2.3. sz. Mese Óvoda'!D19:O19,'2.3. sz. Mese Óvoda'!$D$5:$O$5,"kötelező",'2.3. sz. Mese Óvoda'!$D$3:$O$3,"Módosított előirányzat")+SUMIFS('2.4. sz. Bölcsőde'!D19:M19,'2.4. sz. Bölcsőde'!$D$5:$M$5,"kötelező",'2.4. sz. Bölcsőde'!$D$3:$M$3,"Módosított előirányzat")+SUMIFS('2.5. sz. Gyermekjóléti'!D19:Q19,'2.5. sz. Gyermekjóléti'!$D$5:$Q$5,"kötelező",'2.5. sz. Gyermekjóléti'!$D$3:$Q$3,"Módosított előirányzat")+SUMIFS('2.6 sz. Területi'!D19:AO19,'2.6 sz. Területi'!$D$5:$AO$5,"kötelező",'2.6 sz. Területi'!$D$3:$AO$3,"Módosított előirányzat")+SUMIFS('2.7. sz. Könyvtár'!D19:S19,'2.7. sz. Könyvtár'!$D$5:$S$5,"kötelező",'2.7. sz. Könyvtár'!$D$3:$S$3,"Módosított előirányzat")+SUMIFS('2.8. sz. Műv.Ház'!D19:S19,'2.8. sz. Műv.Ház'!$D$5:$S$5,"kötelező",'2.8. sz. Műv.Ház'!$D$3:$S$3,"Módosított előirányzat")+SUMIFS('2.9. sz. Szivárvány Ó.'!D19:Q19,'2.9. sz. Szivárvány Ó.'!$D$5:$Q$5,"kötelező",'2.9. sz. Szivárvány Ó.'!$D$3:$Q$3,"Módosított előirányzat")</f>
        <v>15500000</v>
      </c>
      <c r="F19" s="6">
        <f>SUMIFS('2.1. sz. PMH'!D19:AA19,'2.1. sz. PMH'!$D$5:$AA$5,"önként vállalt",'2.1. sz. PMH'!$D$3:$AA$3,"Eredeti előirányzat")+SUMIFS('2.2. sz. Hétszínvirág Óvoda'!D19:S19,'2.2. sz. Hétszínvirág Óvoda'!$D$5:$S$5,"önként vállalt",'2.2. sz. Hétszínvirág Óvoda'!$D$3:$S$3,"Eredeti előirányzat")+SUMIFS('2.3. sz. Mese Óvoda'!D19:O19,'2.3. sz. Mese Óvoda'!$D$5:$O$5,"önként vállalt",'2.3. sz. Mese Óvoda'!$D$3:$O$3,"Eredeti előirányzat")+SUMIFS('2.4. sz. Bölcsőde'!D19:M19,'2.4. sz. Bölcsőde'!$D$5:$M$5,"önként vállalt",'2.4. sz. Bölcsőde'!$D$3:$M$3,"Eredeti előirányzat")+SUMIFS('2.5. sz. Gyermekjóléti'!D19:Q19,'2.5. sz. Gyermekjóléti'!$D$5:$Q$5,"önként vállalt",'2.5. sz. Gyermekjóléti'!$D$3:$Q$3,"Eredeti előirányzat")+SUMIFS('2.6 sz. Területi'!D19:AO19,'2.6 sz. Területi'!$D$5:$AO$5,"önként vállalt",'2.6 sz. Területi'!$D$3:$AO$3,"Eredeti előirányzat")+SUMIFS('2.7. sz. Könyvtár'!D19:S19,'2.7. sz. Könyvtár'!$D$5:$S$5,"önként vállalt",'2.7. sz. Könyvtár'!$D$3:$S$3,"Eredeti előirányzat")+SUMIFS('2.8. sz. Műv.Ház'!D19:S19,'2.8. sz. Műv.Ház'!$D$5:$S$5,"önként vállalt",'2.8. sz. Műv.Ház'!$D$3:$S$3,"Eredeti előirányzat")+SUMIFS('2.9. sz. Szivárvány Ó.'!D19:Q19,'2.9. sz. Szivárvány Ó.'!$D$5:$Q$5,"önként vállalt",'2.9. sz. Szivárvány Ó.'!$D$3:$Q$3,"Eredeti előirányzat")</f>
        <v>0</v>
      </c>
      <c r="G19" s="6">
        <f>SUMIFS('2.1. sz. PMH'!D19:AA19,'2.1. sz. PMH'!$D$5:$AA$5,"önként vállalt",'2.1. sz. PMH'!$D$3:$AA$3,"Módosított előirányzat")+SUMIFS('2.2. sz. Hétszínvirág Óvoda'!D19:S19,'2.2. sz. Hétszínvirág Óvoda'!$D$5:$S$5,"önként vállalt",'2.2. sz. Hétszínvirág Óvoda'!$D$3:$S$3,"Módosított előirányzat")+SUMIFS('2.3. sz. Mese Óvoda'!D19:O19,'2.3. sz. Mese Óvoda'!$D$5:$O$5,"önként vállalt",'2.3. sz. Mese Óvoda'!$D$3:$O$3,"Módosított előirányzat")+SUMIFS('2.4. sz. Bölcsőde'!D19:M19,'2.4. sz. Bölcsőde'!$D$5:$M$5,"önként vállalt",'2.4. sz. Bölcsőde'!$D$3:$M$3,"Módosított előirányzat")+SUMIFS('2.5. sz. Gyermekjóléti'!D19:Q19,'2.5. sz. Gyermekjóléti'!$D$5:$Q$5,"önként vállalt",'2.5. sz. Gyermekjóléti'!$D$3:$Q$3,"Módosított előirányzat")+SUMIFS('2.6 sz. Területi'!D19:AO19,'2.6 sz. Területi'!$D$5:$AO$5,"önként vállalt",'2.6 sz. Területi'!$D$3:$AO$3,"Módosított előirányzat")+SUMIFS('2.7. sz. Könyvtár'!D19:S19,'2.7. sz. Könyvtár'!$D$5:$S$5,"önként vállalt",'2.7. sz. Könyvtár'!$D$3:$S$3,"Módosított előirányzat")+SUMIFS('2.8. sz. Műv.Ház'!D19:S19,'2.8. sz. Műv.Ház'!$D$5:$S$5,"önként vállalt",'2.8. sz. Műv.Ház'!$D$3:$S$3,"Módosított előirányzat")+SUMIFS('2.9. sz. Szivárvány Ó.'!D19:Q19,'2.9. sz. Szivárvány Ó.'!$D$5:$Q$5,"önként vállalt",'2.9. sz. Szivárvány Ó.'!$D$3:$Q$3,"Módosított előirányzat")</f>
        <v>0</v>
      </c>
      <c r="H19" s="6">
        <f>SUMIFS('2.1. sz. PMH'!D19:AA19,'2.1. sz. PMH'!$D$5:$AA$5,"államigazgatási",'2.1. sz. PMH'!$D$3:$AA$3,"Eredeti előirányzat")+SUMIFS('2.2. sz. Hétszínvirág Óvoda'!D19:S19,'2.2. sz. Hétszínvirág Óvoda'!$D$5:$S$5,"államigazgatási",'2.2. sz. Hétszínvirág Óvoda'!$D$3:$S$3,"Eredeti előirányzat")+SUMIFS('2.3. sz. Mese Óvoda'!D19:O19,'2.3. sz. Mese Óvoda'!$D$5:$O$5,"államigazgatási",'2.3. sz. Mese Óvoda'!$D$3:$O$3,"Eredeti előirányzat")+SUMIFS('2.4. sz. Bölcsőde'!D19:M19,'2.4. sz. Bölcsőde'!$D$5:$M$5,"államigazgatási",'2.4. sz. Bölcsőde'!$D$3:$M$3,"Eredeti előirányzat")+SUMIFS('2.5. sz. Gyermekjóléti'!D19:Q19,'2.5. sz. Gyermekjóléti'!$D$5:$Q$5,"államigazgatási",'2.5. sz. Gyermekjóléti'!$D$3:$Q$3,"Eredeti előirányzat")+SUMIFS('2.6 sz. Területi'!D19:AO19,'2.6 sz. Területi'!$D$5:$AO$5,"államigazgatási",'2.6 sz. Területi'!$D$3:$AO$3,"Eredeti előirányzat")+SUMIFS('2.7. sz. Könyvtár'!D19:S19,'2.7. sz. Könyvtár'!$D$5:$S$5,"államigazgatási",'2.7. sz. Könyvtár'!$D$3:$S$3,"Eredeti előirányzat")+SUMIFS('2.8. sz. Műv.Ház'!D19:S19,'2.8. sz. Műv.Ház'!$D$5:$S$5,"államigazgatási",'2.8. sz. Műv.Ház'!$D$3:$S$3,"Eredeti előirányzat")+SUMIFS('2.9. sz. Szivárvány Ó.'!D19:Q19,'2.9. sz. Szivárvány Ó.'!$D$5:$Q$5,"államigazgatási",'2.9. sz. Szivárvány Ó.'!$D$3:$Q$3,"Eredeti előirányzat")</f>
        <v>0</v>
      </c>
      <c r="I19" s="6">
        <f>SUMIFS('2.1. sz. PMH'!D19:AA19,'2.1. sz. PMH'!$D$5:$AA$5,"államigazgatási",'2.1. sz. PMH'!$D$3:$AA$3,"Módosított előirányzat")+SUMIFS('2.2. sz. Hétszínvirág Óvoda'!D19:S19,'2.2. sz. Hétszínvirág Óvoda'!$D$5:$S$5,"államigazgatási",'2.2. sz. Hétszínvirág Óvoda'!$D$3:$S$3,"Módosított előirányzat")+SUMIFS('2.3. sz. Mese Óvoda'!D19:O19,'2.3. sz. Mese Óvoda'!$D$5:$O$5,"államigazgatási",'2.3. sz. Mese Óvoda'!$D$3:$O$3,"Módosított előirányzat")+SUMIFS('2.4. sz. Bölcsőde'!D19:M19,'2.4. sz. Bölcsőde'!$D$5:$M$5,"államigazgatási",'2.4. sz. Bölcsőde'!$D$3:$M$3,"Módosított előirányzat")+SUMIFS('2.5. sz. Gyermekjóléti'!D19:Q19,'2.5. sz. Gyermekjóléti'!$D$5:$Q$5,"államigazgatási",'2.5. sz. Gyermekjóléti'!$D$3:$Q$3,"Módosított előirányzat")+SUMIFS('2.6 sz. Területi'!D19:AO19,'2.6 sz. Területi'!$D$5:$AO$5,"államigazgatási",'2.6 sz. Területi'!$D$3:$AO$3,"Módosított előirányzat")+SUMIFS('2.7. sz. Könyvtár'!D19:S19,'2.7. sz. Könyvtár'!$D$5:$S$5,"államigazgatási",'2.7. sz. Könyvtár'!$D$3:$S$3,"Módosított előirányzat")+SUMIFS('2.8. sz. Műv.Ház'!D19:S19,'2.8. sz. Műv.Ház'!$D$5:$S$5,"államigazgatási",'2.8. sz. Műv.Ház'!$D$3:$S$3,"Módosított előirányzat")+SUMIFS('2.9. sz. Szivárvány Ó.'!D19:Q19,'2.9. sz. Szivárvány Ó.'!$D$5:$Q$5,"államigazgatási",'2.9. sz. Szivárvány Ó.'!$D$3:$Q$3,"Módosított előirányzat")</f>
        <v>0</v>
      </c>
      <c r="J19" s="6">
        <f t="shared" si="0"/>
        <v>10000000</v>
      </c>
      <c r="K19" s="1179">
        <f t="shared" si="1"/>
        <v>15500000</v>
      </c>
    </row>
    <row r="20" spans="1:12" ht="23.25" customHeight="1" x14ac:dyDescent="0.25">
      <c r="A20" s="26" t="s">
        <v>231</v>
      </c>
      <c r="B20" s="30" t="s">
        <v>124</v>
      </c>
      <c r="C20" s="27"/>
      <c r="D20" s="6">
        <f>SUMIFS('2.1. sz. PMH'!D20:AA20,'2.1. sz. PMH'!$D$5:$AA$5,"kötelező",'2.1. sz. PMH'!$D$3:$AA$3,"Eredeti előirányzat")+SUMIFS('2.2. sz. Hétszínvirág Óvoda'!D20:S20,'2.2. sz. Hétszínvirág Óvoda'!$D$5:$S$5,"kötelező",'2.2. sz. Hétszínvirág Óvoda'!$D$3:$S$3,"Eredeti előirányzat")+SUMIFS('2.3. sz. Mese Óvoda'!D20:O20,'2.3. sz. Mese Óvoda'!$D$5:$O$5,"kötelező",'2.3. sz. Mese Óvoda'!$D$3:$O$3,"Eredeti előirányzat")+SUMIFS('2.4. sz. Bölcsőde'!D20:M20,'2.4. sz. Bölcsőde'!$D$5:$M$5,"kötelező",'2.4. sz. Bölcsőde'!$D$3:$M$3,"Eredeti előirányzat")+SUMIFS('2.5. sz. Gyermekjóléti'!D20:Q20,'2.5. sz. Gyermekjóléti'!$D$5:$Q$5,"kötelező",'2.5. sz. Gyermekjóléti'!$D$3:$Q$3,"Eredeti előirányzat")+SUMIFS('2.6 sz. Területi'!D20:AO20,'2.6 sz. Területi'!$D$5:$AO$5,"kötelező",'2.6 sz. Területi'!$D$3:$AO$3,"Eredeti előirányzat")+SUMIFS('2.7. sz. Könyvtár'!D20:S20,'2.7. sz. Könyvtár'!$D$5:$S$5,"kötelező",'2.7. sz. Könyvtár'!$D$3:$S$3,"Eredeti előirányzat")+SUMIFS('2.8. sz. Műv.Ház'!D20:S20,'2.8. sz. Műv.Ház'!$D$5:$S$5,"kötelező",'2.8. sz. Műv.Ház'!$D$3:$S$3,"Eredeti előirányzat")+SUMIFS('2.9. sz. Szivárvány Ó.'!D20:Q20,'2.9. sz. Szivárvány Ó.'!$D$5:$Q$5,"kötelező",'2.9. sz. Szivárvány Ó.'!$D$3:$Q$3,"Eredeti előirányzat")</f>
        <v>10000000</v>
      </c>
      <c r="E20" s="6">
        <f>SUMIFS('2.1. sz. PMH'!D20:AA20,'2.1. sz. PMH'!$D$5:$AA$5,"kötelező",'2.1. sz. PMH'!$D$3:$AA$3,"Módosított előirányzat")+SUMIFS('2.2. sz. Hétszínvirág Óvoda'!D20:S20,'2.2. sz. Hétszínvirág Óvoda'!$D$5:$S$5,"kötelező",'2.2. sz. Hétszínvirág Óvoda'!$D$3:$S$3,"Módosított előirányzat")+SUMIFS('2.3. sz. Mese Óvoda'!D20:O20,'2.3. sz. Mese Óvoda'!$D$5:$O$5,"kötelező",'2.3. sz. Mese Óvoda'!$D$3:$O$3,"Módosított előirányzat")+SUMIFS('2.4. sz. Bölcsőde'!D20:M20,'2.4. sz. Bölcsőde'!$D$5:$M$5,"kötelező",'2.4. sz. Bölcsőde'!$D$3:$M$3,"Módosított előirányzat")+SUMIFS('2.5. sz. Gyermekjóléti'!D20:Q20,'2.5. sz. Gyermekjóléti'!$D$5:$Q$5,"kötelező",'2.5. sz. Gyermekjóléti'!$D$3:$Q$3,"Módosított előirányzat")+SUMIFS('2.6 sz. Területi'!D20:AO20,'2.6 sz. Területi'!$D$5:$AO$5,"kötelező",'2.6 sz. Területi'!$D$3:$AO$3,"Módosított előirányzat")+SUMIFS('2.7. sz. Könyvtár'!D20:S20,'2.7. sz. Könyvtár'!$D$5:$S$5,"kötelező",'2.7. sz. Könyvtár'!$D$3:$S$3,"Módosított előirányzat")+SUMIFS('2.8. sz. Műv.Ház'!D20:S20,'2.8. sz. Műv.Ház'!$D$5:$S$5,"kötelező",'2.8. sz. Műv.Ház'!$D$3:$S$3,"Módosított előirányzat")+SUMIFS('2.9. sz. Szivárvány Ó.'!D20:Q20,'2.9. sz. Szivárvány Ó.'!$D$5:$Q$5,"kötelező",'2.9. sz. Szivárvány Ó.'!$D$3:$Q$3,"Módosított előirányzat")</f>
        <v>15500000</v>
      </c>
      <c r="F20" s="6">
        <f>SUMIFS('2.1. sz. PMH'!D20:AA20,'2.1. sz. PMH'!$D$5:$AA$5,"önként vállalt",'2.1. sz. PMH'!$D$3:$AA$3,"Eredeti előirányzat")+SUMIFS('2.2. sz. Hétszínvirág Óvoda'!D20:S20,'2.2. sz. Hétszínvirág Óvoda'!$D$5:$S$5,"önként vállalt",'2.2. sz. Hétszínvirág Óvoda'!$D$3:$S$3,"Eredeti előirányzat")+SUMIFS('2.3. sz. Mese Óvoda'!D20:O20,'2.3. sz. Mese Óvoda'!$D$5:$O$5,"önként vállalt",'2.3. sz. Mese Óvoda'!$D$3:$O$3,"Eredeti előirányzat")+SUMIFS('2.4. sz. Bölcsőde'!D20:M20,'2.4. sz. Bölcsőde'!$D$5:$M$5,"önként vállalt",'2.4. sz. Bölcsőde'!$D$3:$M$3,"Eredeti előirányzat")+SUMIFS('2.5. sz. Gyermekjóléti'!D20:Q20,'2.5. sz. Gyermekjóléti'!$D$5:$Q$5,"önként vállalt",'2.5. sz. Gyermekjóléti'!$D$3:$Q$3,"Eredeti előirányzat")+SUMIFS('2.6 sz. Területi'!D20:AO20,'2.6 sz. Területi'!$D$5:$AO$5,"önként vállalt",'2.6 sz. Területi'!$D$3:$AO$3,"Eredeti előirányzat")+SUMIFS('2.7. sz. Könyvtár'!D20:S20,'2.7. sz. Könyvtár'!$D$5:$S$5,"önként vállalt",'2.7. sz. Könyvtár'!$D$3:$S$3,"Eredeti előirányzat")+SUMIFS('2.8. sz. Műv.Ház'!D20:S20,'2.8. sz. Műv.Ház'!$D$5:$S$5,"önként vállalt",'2.8. sz. Műv.Ház'!$D$3:$S$3,"Eredeti előirányzat")+SUMIFS('2.9. sz. Szivárvány Ó.'!D20:Q20,'2.9. sz. Szivárvány Ó.'!$D$5:$Q$5,"önként vállalt",'2.9. sz. Szivárvány Ó.'!$D$3:$Q$3,"Eredeti előirányzat")</f>
        <v>0</v>
      </c>
      <c r="G20" s="6">
        <f>SUMIFS('2.1. sz. PMH'!D20:AA20,'2.1. sz. PMH'!$D$5:$AA$5,"önként vállalt",'2.1. sz. PMH'!$D$3:$AA$3,"Módosított előirányzat")+SUMIFS('2.2. sz. Hétszínvirág Óvoda'!D20:S20,'2.2. sz. Hétszínvirág Óvoda'!$D$5:$S$5,"önként vállalt",'2.2. sz. Hétszínvirág Óvoda'!$D$3:$S$3,"Módosított előirányzat")+SUMIFS('2.3. sz. Mese Óvoda'!D20:O20,'2.3. sz. Mese Óvoda'!$D$5:$O$5,"önként vállalt",'2.3. sz. Mese Óvoda'!$D$3:$O$3,"Módosított előirányzat")+SUMIFS('2.4. sz. Bölcsőde'!D20:M20,'2.4. sz. Bölcsőde'!$D$5:$M$5,"önként vállalt",'2.4. sz. Bölcsőde'!$D$3:$M$3,"Módosított előirányzat")+SUMIFS('2.5. sz. Gyermekjóléti'!D20:Q20,'2.5. sz. Gyermekjóléti'!$D$5:$Q$5,"önként vállalt",'2.5. sz. Gyermekjóléti'!$D$3:$Q$3,"Módosított előirányzat")+SUMIFS('2.6 sz. Területi'!D20:AO20,'2.6 sz. Területi'!$D$5:$AO$5,"önként vállalt",'2.6 sz. Területi'!$D$3:$AO$3,"Módosított előirányzat")+SUMIFS('2.7. sz. Könyvtár'!D20:S20,'2.7. sz. Könyvtár'!$D$5:$S$5,"önként vállalt",'2.7. sz. Könyvtár'!$D$3:$S$3,"Módosított előirányzat")+SUMIFS('2.8. sz. Műv.Ház'!D20:S20,'2.8. sz. Műv.Ház'!$D$5:$S$5,"önként vállalt",'2.8. sz. Műv.Ház'!$D$3:$S$3,"Módosított előirányzat")+SUMIFS('2.9. sz. Szivárvány Ó.'!D20:Q20,'2.9. sz. Szivárvány Ó.'!$D$5:$Q$5,"önként vállalt",'2.9. sz. Szivárvány Ó.'!$D$3:$Q$3,"Módosított előirányzat")</f>
        <v>0</v>
      </c>
      <c r="H20" s="6">
        <f>SUMIFS('2.1. sz. PMH'!D20:AA20,'2.1. sz. PMH'!$D$5:$AA$5,"államigazgatási",'2.1. sz. PMH'!$D$3:$AA$3,"Eredeti előirányzat")+SUMIFS('2.2. sz. Hétszínvirág Óvoda'!D20:S20,'2.2. sz. Hétszínvirág Óvoda'!$D$5:$S$5,"államigazgatási",'2.2. sz. Hétszínvirág Óvoda'!$D$3:$S$3,"Eredeti előirányzat")+SUMIFS('2.3. sz. Mese Óvoda'!D20:O20,'2.3. sz. Mese Óvoda'!$D$5:$O$5,"államigazgatási",'2.3. sz. Mese Óvoda'!$D$3:$O$3,"Eredeti előirányzat")+SUMIFS('2.4. sz. Bölcsőde'!D20:M20,'2.4. sz. Bölcsőde'!$D$5:$M$5,"államigazgatási",'2.4. sz. Bölcsőde'!$D$3:$M$3,"Eredeti előirányzat")+SUMIFS('2.5. sz. Gyermekjóléti'!D20:Q20,'2.5. sz. Gyermekjóléti'!$D$5:$Q$5,"államigazgatási",'2.5. sz. Gyermekjóléti'!$D$3:$Q$3,"Eredeti előirányzat")+SUMIFS('2.6 sz. Területi'!D20:AO20,'2.6 sz. Területi'!$D$5:$AO$5,"államigazgatási",'2.6 sz. Területi'!$D$3:$AO$3,"Eredeti előirányzat")+SUMIFS('2.7. sz. Könyvtár'!D20:S20,'2.7. sz. Könyvtár'!$D$5:$S$5,"államigazgatási",'2.7. sz. Könyvtár'!$D$3:$S$3,"Eredeti előirányzat")+SUMIFS('2.8. sz. Műv.Ház'!D20:S20,'2.8. sz. Műv.Ház'!$D$5:$S$5,"államigazgatási",'2.8. sz. Műv.Ház'!$D$3:$S$3,"Eredeti előirányzat")+SUMIFS('2.9. sz. Szivárvány Ó.'!D20:Q20,'2.9. sz. Szivárvány Ó.'!$D$5:$Q$5,"államigazgatási",'2.9. sz. Szivárvány Ó.'!$D$3:$Q$3,"Eredeti előirányzat")</f>
        <v>0</v>
      </c>
      <c r="I20" s="6">
        <f>SUMIFS('2.1. sz. PMH'!D20:AA20,'2.1. sz. PMH'!$D$5:$AA$5,"államigazgatási",'2.1. sz. PMH'!$D$3:$AA$3,"Módosított előirányzat")+SUMIFS('2.2. sz. Hétszínvirág Óvoda'!D20:S20,'2.2. sz. Hétszínvirág Óvoda'!$D$5:$S$5,"államigazgatási",'2.2. sz. Hétszínvirág Óvoda'!$D$3:$S$3,"Módosított előirányzat")+SUMIFS('2.3. sz. Mese Óvoda'!D20:O20,'2.3. sz. Mese Óvoda'!$D$5:$O$5,"államigazgatási",'2.3. sz. Mese Óvoda'!$D$3:$O$3,"Módosított előirányzat")+SUMIFS('2.4. sz. Bölcsőde'!D20:M20,'2.4. sz. Bölcsőde'!$D$5:$M$5,"államigazgatási",'2.4. sz. Bölcsőde'!$D$3:$M$3,"Módosított előirányzat")+SUMIFS('2.5. sz. Gyermekjóléti'!D20:Q20,'2.5. sz. Gyermekjóléti'!$D$5:$Q$5,"államigazgatási",'2.5. sz. Gyermekjóléti'!$D$3:$Q$3,"Módosított előirányzat")+SUMIFS('2.6 sz. Területi'!D20:AO20,'2.6 sz. Területi'!$D$5:$AO$5,"államigazgatási",'2.6 sz. Területi'!$D$3:$AO$3,"Módosított előirányzat")+SUMIFS('2.7. sz. Könyvtár'!D20:S20,'2.7. sz. Könyvtár'!$D$5:$S$5,"államigazgatási",'2.7. sz. Könyvtár'!$D$3:$S$3,"Módosított előirányzat")+SUMIFS('2.8. sz. Műv.Ház'!D20:S20,'2.8. sz. Műv.Ház'!$D$5:$S$5,"államigazgatási",'2.8. sz. Műv.Ház'!$D$3:$S$3,"Módosított előirányzat")+SUMIFS('2.9. sz. Szivárvány Ó.'!D20:Q20,'2.9. sz. Szivárvány Ó.'!$D$5:$Q$5,"államigazgatási",'2.9. sz. Szivárvány Ó.'!$D$3:$Q$3,"Módosított előirányzat")</f>
        <v>0</v>
      </c>
      <c r="J20" s="6">
        <f t="shared" si="0"/>
        <v>10000000</v>
      </c>
      <c r="K20" s="1179">
        <f t="shared" si="1"/>
        <v>15500000</v>
      </c>
    </row>
    <row r="21" spans="1:12" ht="23.25" customHeight="1" x14ac:dyDescent="0.25">
      <c r="A21" s="26" t="s">
        <v>232</v>
      </c>
      <c r="B21" s="32" t="s">
        <v>242</v>
      </c>
      <c r="C21" s="27" t="s">
        <v>214</v>
      </c>
      <c r="D21" s="7">
        <f>SUMIFS('2.1. sz. PMH'!D21:AA21,'2.1. sz. PMH'!$D$5:$AA$5,"kötelező",'2.1. sz. PMH'!$D$3:$AA$3,"Eredeti előirányzat")+SUMIFS('2.2. sz. Hétszínvirág Óvoda'!D21:S21,'2.2. sz. Hétszínvirág Óvoda'!$D$5:$S$5,"kötelező",'2.2. sz. Hétszínvirág Óvoda'!$D$3:$S$3,"Eredeti előirányzat")+SUMIFS('2.3. sz. Mese Óvoda'!D21:O21,'2.3. sz. Mese Óvoda'!$D$5:$O$5,"kötelező",'2.3. sz. Mese Óvoda'!$D$3:$O$3,"Eredeti előirányzat")+SUMIFS('2.4. sz. Bölcsőde'!D21:M21,'2.4. sz. Bölcsőde'!$D$5:$M$5,"kötelező",'2.4. sz. Bölcsőde'!$D$3:$M$3,"Eredeti előirányzat")+SUMIFS('2.5. sz. Gyermekjóléti'!D21:Q21,'2.5. sz. Gyermekjóléti'!$D$5:$Q$5,"kötelező",'2.5. sz. Gyermekjóléti'!$D$3:$Q$3,"Eredeti előirányzat")+SUMIFS('2.6 sz. Területi'!D21:AO21,'2.6 sz. Területi'!$D$5:$AO$5,"kötelező",'2.6 sz. Területi'!$D$3:$AO$3,"Eredeti előirányzat")+SUMIFS('2.7. sz. Könyvtár'!D21:S21,'2.7. sz. Könyvtár'!$D$5:$S$5,"kötelező",'2.7. sz. Könyvtár'!$D$3:$S$3,"Eredeti előirányzat")+SUMIFS('2.8. sz. Műv.Ház'!D21:S21,'2.8. sz. Műv.Ház'!$D$5:$S$5,"kötelező",'2.8. sz. Műv.Ház'!$D$3:$S$3,"Eredeti előirányzat")+SUMIFS('2.9. sz. Szivárvány Ó.'!D21:Q21,'2.9. sz. Szivárvány Ó.'!$D$5:$Q$5,"kötelező",'2.9. sz. Szivárvány Ó.'!$D$3:$Q$3,"Eredeti előirányzat")</f>
        <v>3657493407</v>
      </c>
      <c r="E21" s="7">
        <f>SUMIFS('2.1. sz. PMH'!D21:AA21,'2.1. sz. PMH'!$D$5:$AA$5,"kötelező",'2.1. sz. PMH'!$D$3:$AA$3,"Módosított előirányzat")+SUMIFS('2.2. sz. Hétszínvirág Óvoda'!D21:S21,'2.2. sz. Hétszínvirág Óvoda'!$D$5:$S$5,"kötelező",'2.2. sz. Hétszínvirág Óvoda'!$D$3:$S$3,"Módosított előirányzat")+SUMIFS('2.3. sz. Mese Óvoda'!D21:O21,'2.3. sz. Mese Óvoda'!$D$5:$O$5,"kötelező",'2.3. sz. Mese Óvoda'!$D$3:$O$3,"Módosított előirányzat")+SUMIFS('2.4. sz. Bölcsőde'!D21:M21,'2.4. sz. Bölcsőde'!$D$5:$M$5,"kötelező",'2.4. sz. Bölcsőde'!$D$3:$M$3,"Módosított előirányzat")+SUMIFS('2.5. sz. Gyermekjóléti'!D21:Q21,'2.5. sz. Gyermekjóléti'!$D$5:$Q$5,"kötelező",'2.5. sz. Gyermekjóléti'!$D$3:$Q$3,"Módosított előirányzat")+SUMIFS('2.6 sz. Területi'!D21:AO21,'2.6 sz. Területi'!$D$5:$AO$5,"kötelező",'2.6 sz. Területi'!$D$3:$AO$3,"Módosított előirányzat")+SUMIFS('2.7. sz. Könyvtár'!D21:S21,'2.7. sz. Könyvtár'!$D$5:$S$5,"kötelező",'2.7. sz. Könyvtár'!$D$3:$S$3,"Módosított előirányzat")+SUMIFS('2.8. sz. Műv.Ház'!D21:S21,'2.8. sz. Műv.Ház'!$D$5:$S$5,"kötelező",'2.8. sz. Műv.Ház'!$D$3:$S$3,"Módosított előirányzat")+SUMIFS('2.9. sz. Szivárvány Ó.'!D21:Q21,'2.9. sz. Szivárvány Ó.'!$D$5:$Q$5,"kötelező",'2.9. sz. Szivárvány Ó.'!$D$3:$Q$3,"Módosított előirányzat")</f>
        <v>4118531709</v>
      </c>
      <c r="F21" s="7">
        <f>SUMIFS('2.1. sz. PMH'!D21:AA21,'2.1. sz. PMH'!$D$5:$AA$5,"önként vállalt",'2.1. sz. PMH'!$D$3:$AA$3,"Eredeti előirányzat")+SUMIFS('2.2. sz. Hétszínvirág Óvoda'!D21:S21,'2.2. sz. Hétszínvirág Óvoda'!$D$5:$S$5,"önként vállalt",'2.2. sz. Hétszínvirág Óvoda'!$D$3:$S$3,"Eredeti előirányzat")+SUMIFS('2.3. sz. Mese Óvoda'!D21:O21,'2.3. sz. Mese Óvoda'!$D$5:$O$5,"önként vállalt",'2.3. sz. Mese Óvoda'!$D$3:$O$3,"Eredeti előirányzat")+SUMIFS('2.4. sz. Bölcsőde'!D21:M21,'2.4. sz. Bölcsőde'!$D$5:$M$5,"önként vállalt",'2.4. sz. Bölcsőde'!$D$3:$M$3,"Eredeti előirányzat")+SUMIFS('2.5. sz. Gyermekjóléti'!D21:Q21,'2.5. sz. Gyermekjóléti'!$D$5:$Q$5,"önként vállalt",'2.5. sz. Gyermekjóléti'!$D$3:$Q$3,"Eredeti előirányzat")+SUMIFS('2.6 sz. Területi'!D21:AO21,'2.6 sz. Területi'!$D$5:$AO$5,"önként vállalt",'2.6 sz. Területi'!$D$3:$AO$3,"Eredeti előirányzat")+SUMIFS('2.7. sz. Könyvtár'!D21:S21,'2.7. sz. Könyvtár'!$D$5:$S$5,"önként vállalt",'2.7. sz. Könyvtár'!$D$3:$S$3,"Eredeti előirányzat")+SUMIFS('2.8. sz. Műv.Ház'!D21:S21,'2.8. sz. Műv.Ház'!$D$5:$S$5,"önként vállalt",'2.8. sz. Műv.Ház'!$D$3:$S$3,"Eredeti előirányzat")+SUMIFS('2.9. sz. Szivárvány Ó.'!D21:Q21,'2.9. sz. Szivárvány Ó.'!$D$5:$Q$5,"önként vállalt",'2.9. sz. Szivárvány Ó.'!$D$3:$Q$3,"Eredeti előirányzat")</f>
        <v>129834970</v>
      </c>
      <c r="G21" s="7">
        <f>SUMIFS('2.1. sz. PMH'!D21:AA21,'2.1. sz. PMH'!$D$5:$AA$5,"önként vállalt",'2.1. sz. PMH'!$D$3:$AA$3,"Módosított előirányzat")+SUMIFS('2.2. sz. Hétszínvirág Óvoda'!D21:S21,'2.2. sz. Hétszínvirág Óvoda'!$D$5:$S$5,"önként vállalt",'2.2. sz. Hétszínvirág Óvoda'!$D$3:$S$3,"Módosított előirányzat")+SUMIFS('2.3. sz. Mese Óvoda'!D21:O21,'2.3. sz. Mese Óvoda'!$D$5:$O$5,"önként vállalt",'2.3. sz. Mese Óvoda'!$D$3:$O$3,"Módosított előirányzat")+SUMIFS('2.4. sz. Bölcsőde'!D21:M21,'2.4. sz. Bölcsőde'!$D$5:$M$5,"önként vállalt",'2.4. sz. Bölcsőde'!$D$3:$M$3,"Módosított előirányzat")+SUMIFS('2.5. sz. Gyermekjóléti'!D21:Q21,'2.5. sz. Gyermekjóléti'!$D$5:$Q$5,"önként vállalt",'2.5. sz. Gyermekjóléti'!$D$3:$Q$3,"Módosított előirányzat")+SUMIFS('2.6 sz. Területi'!D21:AO21,'2.6 sz. Területi'!$D$5:$AO$5,"önként vállalt",'2.6 sz. Területi'!$D$3:$AO$3,"Módosított előirányzat")+SUMIFS('2.7. sz. Könyvtár'!D21:S21,'2.7. sz. Könyvtár'!$D$5:$S$5,"önként vállalt",'2.7. sz. Könyvtár'!$D$3:$S$3,"Módosított előirányzat")+SUMIFS('2.8. sz. Műv.Ház'!D21:S21,'2.8. sz. Műv.Ház'!$D$5:$S$5,"önként vállalt",'2.8. sz. Műv.Ház'!$D$3:$S$3,"Módosított előirányzat")+SUMIFS('2.9. sz. Szivárvány Ó.'!D21:Q21,'2.9. sz. Szivárvány Ó.'!$D$5:$Q$5,"önként vállalt",'2.9. sz. Szivárvány Ó.'!$D$3:$Q$3,"Módosított előirányzat")</f>
        <v>135650913</v>
      </c>
      <c r="H21" s="7">
        <f>SUMIFS('2.1. sz. PMH'!D21:AA21,'2.1. sz. PMH'!$D$5:$AA$5,"államigazgatási",'2.1. sz. PMH'!$D$3:$AA$3,"Eredeti előirányzat")+SUMIFS('2.2. sz. Hétszínvirág Óvoda'!D21:S21,'2.2. sz. Hétszínvirág Óvoda'!$D$5:$S$5,"államigazgatási",'2.2. sz. Hétszínvirág Óvoda'!$D$3:$S$3,"Eredeti előirányzat")+SUMIFS('2.3. sz. Mese Óvoda'!D21:O21,'2.3. sz. Mese Óvoda'!$D$5:$O$5,"államigazgatási",'2.3. sz. Mese Óvoda'!$D$3:$O$3,"Eredeti előirányzat")+SUMIFS('2.4. sz. Bölcsőde'!D21:M21,'2.4. sz. Bölcsőde'!$D$5:$M$5,"államigazgatási",'2.4. sz. Bölcsőde'!$D$3:$M$3,"Eredeti előirányzat")+SUMIFS('2.5. sz. Gyermekjóléti'!D21:Q21,'2.5. sz. Gyermekjóléti'!$D$5:$Q$5,"államigazgatási",'2.5. sz. Gyermekjóléti'!$D$3:$Q$3,"Eredeti előirányzat")+SUMIFS('2.6 sz. Területi'!D21:AO21,'2.6 sz. Területi'!$D$5:$AO$5,"államigazgatási",'2.6 sz. Területi'!$D$3:$AO$3,"Eredeti előirányzat")+SUMIFS('2.7. sz. Könyvtár'!D21:S21,'2.7. sz. Könyvtár'!$D$5:$S$5,"államigazgatási",'2.7. sz. Könyvtár'!$D$3:$S$3,"Eredeti előirányzat")+SUMIFS('2.8. sz. Műv.Ház'!D21:S21,'2.8. sz. Műv.Ház'!$D$5:$S$5,"államigazgatási",'2.8. sz. Műv.Ház'!$D$3:$S$3,"Eredeti előirányzat")+SUMIFS('2.9. sz. Szivárvány Ó.'!D21:Q21,'2.9. sz. Szivárvány Ó.'!$D$5:$Q$5,"államigazgatási",'2.9. sz. Szivárvány Ó.'!$D$3:$Q$3,"Eredeti előirányzat")</f>
        <v>128958177</v>
      </c>
      <c r="I21" s="7">
        <f>SUMIFS('2.1. sz. PMH'!D21:AA21,'2.1. sz. PMH'!$D$5:$AA$5,"államigazgatási",'2.1. sz. PMH'!$D$3:$AA$3,"Módosított előirányzat")+SUMIFS('2.2. sz. Hétszínvirág Óvoda'!D21:S21,'2.2. sz. Hétszínvirág Óvoda'!$D$5:$S$5,"államigazgatási",'2.2. sz. Hétszínvirág Óvoda'!$D$3:$S$3,"Módosított előirányzat")+SUMIFS('2.3. sz. Mese Óvoda'!D21:O21,'2.3. sz. Mese Óvoda'!$D$5:$O$5,"államigazgatási",'2.3. sz. Mese Óvoda'!$D$3:$O$3,"Módosított előirányzat")+SUMIFS('2.4. sz. Bölcsőde'!D21:M21,'2.4. sz. Bölcsőde'!$D$5:$M$5,"államigazgatási",'2.4. sz. Bölcsőde'!$D$3:$M$3,"Módosított előirányzat")+SUMIFS('2.5. sz. Gyermekjóléti'!D21:Q21,'2.5. sz. Gyermekjóléti'!$D$5:$Q$5,"államigazgatási",'2.5. sz. Gyermekjóléti'!$D$3:$Q$3,"Módosított előirányzat")+SUMIFS('2.6 sz. Területi'!D21:AO21,'2.6 sz. Területi'!$D$5:$AO$5,"államigazgatási",'2.6 sz. Területi'!$D$3:$AO$3,"Módosított előirányzat")+SUMIFS('2.7. sz. Könyvtár'!D21:S21,'2.7. sz. Könyvtár'!$D$5:$S$5,"államigazgatási",'2.7. sz. Könyvtár'!$D$3:$S$3,"Módosított előirányzat")+SUMIFS('2.8. sz. Műv.Ház'!D21:S21,'2.8. sz. Műv.Ház'!$D$5:$S$5,"államigazgatási",'2.8. sz. Műv.Ház'!$D$3:$S$3,"Módosított előirányzat")+SUMIFS('2.9. sz. Szivárvány Ó.'!D21:Q21,'2.9. sz. Szivárvány Ó.'!$D$5:$Q$5,"államigazgatási",'2.9. sz. Szivárvány Ó.'!$D$3:$Q$3,"Módosított előirányzat")</f>
        <v>169106866</v>
      </c>
      <c r="J21" s="7">
        <f t="shared" si="0"/>
        <v>3916286554</v>
      </c>
      <c r="K21" s="1180">
        <f>E21+G21+I21</f>
        <v>4423289488</v>
      </c>
      <c r="L21" s="84">
        <f>+H9+H10+H11+H17</f>
        <v>128958177</v>
      </c>
    </row>
    <row r="22" spans="1:12" ht="23.25" customHeight="1" x14ac:dyDescent="0.25">
      <c r="A22" s="26" t="s">
        <v>233</v>
      </c>
      <c r="B22" s="32" t="s">
        <v>227</v>
      </c>
      <c r="C22" s="27" t="s">
        <v>223</v>
      </c>
      <c r="D22" s="6">
        <f>SUMIFS('2.1. sz. PMH'!D22:AA22,'2.1. sz. PMH'!$D$5:$AA$5,"kötelező",'2.1. sz. PMH'!$D$3:$AA$3,"Eredeti előirányzat")+SUMIFS('2.2. sz. Hétszínvirág Óvoda'!D22:S22,'2.2. sz. Hétszínvirág Óvoda'!$D$5:$S$5,"kötelező",'2.2. sz. Hétszínvirág Óvoda'!$D$3:$S$3,"Eredeti előirányzat")+SUMIFS('2.3. sz. Mese Óvoda'!D22:O22,'2.3. sz. Mese Óvoda'!$D$5:$O$5,"kötelező",'2.3. sz. Mese Óvoda'!$D$3:$O$3,"Eredeti előirányzat")+SUMIFS('2.4. sz. Bölcsőde'!D22:M22,'2.4. sz. Bölcsőde'!$D$5:$M$5,"kötelező",'2.4. sz. Bölcsőde'!$D$3:$M$3,"Eredeti előirányzat")+SUMIFS('2.5. sz. Gyermekjóléti'!D22:Q22,'2.5. sz. Gyermekjóléti'!$D$5:$Q$5,"kötelező",'2.5. sz. Gyermekjóléti'!$D$3:$Q$3,"Eredeti előirányzat")+SUMIFS('2.6 sz. Területi'!D22:AO22,'2.6 sz. Területi'!$D$5:$AO$5,"kötelező",'2.6 sz. Területi'!$D$3:$AO$3,"Eredeti előirányzat")+SUMIFS('2.7. sz. Könyvtár'!D22:S22,'2.7. sz. Könyvtár'!$D$5:$S$5,"kötelező",'2.7. sz. Könyvtár'!$D$3:$S$3,"Eredeti előirányzat")+SUMIFS('2.8. sz. Műv.Ház'!D22:S22,'2.8. sz. Műv.Ház'!$D$5:$S$5,"kötelező",'2.8. sz. Műv.Ház'!$D$3:$S$3,"Eredeti előirányzat")+SUMIFS('2.9. sz. Szivárvány Ó.'!D22:Q22,'2.9. sz. Szivárvány Ó.'!$D$5:$Q$5,"kötelező",'2.9. sz. Szivárvány Ó.'!$D$3:$Q$3,"Eredeti előirányzat")</f>
        <v>0</v>
      </c>
      <c r="E22" s="6">
        <f>SUMIFS('2.1. sz. PMH'!D22:AA22,'2.1. sz. PMH'!$D$5:$AA$5,"kötelező",'2.1. sz. PMH'!$D$3:$AA$3,"Módosított előirányzat")+SUMIFS('2.2. sz. Hétszínvirág Óvoda'!D22:S22,'2.2. sz. Hétszínvirág Óvoda'!$D$5:$S$5,"kötelező",'2.2. sz. Hétszínvirág Óvoda'!$D$3:$S$3,"Módosított előirányzat")+SUMIFS('2.3. sz. Mese Óvoda'!D22:O22,'2.3. sz. Mese Óvoda'!$D$5:$O$5,"kötelező",'2.3. sz. Mese Óvoda'!$D$3:$O$3,"Módosított előirányzat")+SUMIFS('2.4. sz. Bölcsőde'!D22:M22,'2.4. sz. Bölcsőde'!$D$5:$M$5,"kötelező",'2.4. sz. Bölcsőde'!$D$3:$M$3,"Módosított előirányzat")+SUMIFS('2.5. sz. Gyermekjóléti'!D22:Q22,'2.5. sz. Gyermekjóléti'!$D$5:$Q$5,"kötelező",'2.5. sz. Gyermekjóléti'!$D$3:$Q$3,"Módosított előirányzat")+SUMIFS('2.6 sz. Területi'!D22:AO22,'2.6 sz. Területi'!$D$5:$AO$5,"kötelező",'2.6 sz. Területi'!$D$3:$AO$3,"Módosított előirányzat")+SUMIFS('2.7. sz. Könyvtár'!D22:S22,'2.7. sz. Könyvtár'!$D$5:$S$5,"kötelező",'2.7. sz. Könyvtár'!$D$3:$S$3,"Módosított előirányzat")+SUMIFS('2.8. sz. Műv.Ház'!D22:S22,'2.8. sz. Műv.Ház'!$D$5:$S$5,"kötelező",'2.8. sz. Műv.Ház'!$D$3:$S$3,"Módosított előirányzat")+SUMIFS('2.9. sz. Szivárvány Ó.'!D22:Q22,'2.9. sz. Szivárvány Ó.'!$D$5:$Q$5,"kötelező",'2.9. sz. Szivárvány Ó.'!$D$3:$Q$3,"Módosított előirányzat")</f>
        <v>0</v>
      </c>
      <c r="F22" s="6">
        <f>SUMIFS('2.1. sz. PMH'!D22:AA22,'2.1. sz. PMH'!$D$5:$AA$5,"önként vállalt",'2.1. sz. PMH'!$D$3:$AA$3,"Eredeti előirányzat")+SUMIFS('2.2. sz. Hétszínvirág Óvoda'!D22:S22,'2.2. sz. Hétszínvirág Óvoda'!$D$5:$S$5,"önként vállalt",'2.2. sz. Hétszínvirág Óvoda'!$D$3:$S$3,"Eredeti előirányzat")+SUMIFS('2.3. sz. Mese Óvoda'!D22:O22,'2.3. sz. Mese Óvoda'!$D$5:$O$5,"önként vállalt",'2.3. sz. Mese Óvoda'!$D$3:$O$3,"Eredeti előirányzat")+SUMIFS('2.4. sz. Bölcsőde'!D22:M22,'2.4. sz. Bölcsőde'!$D$5:$M$5,"önként vállalt",'2.4. sz. Bölcsőde'!$D$3:$M$3,"Eredeti előirányzat")+SUMIFS('2.5. sz. Gyermekjóléti'!D22:Q22,'2.5. sz. Gyermekjóléti'!$D$5:$Q$5,"önként vállalt",'2.5. sz. Gyermekjóléti'!$D$3:$Q$3,"Eredeti előirányzat")+SUMIFS('2.6 sz. Területi'!D22:AO22,'2.6 sz. Területi'!$D$5:$AO$5,"önként vállalt",'2.6 sz. Területi'!$D$3:$AO$3,"Eredeti előirányzat")+SUMIFS('2.7. sz. Könyvtár'!D22:S22,'2.7. sz. Könyvtár'!$D$5:$S$5,"önként vállalt",'2.7. sz. Könyvtár'!$D$3:$S$3,"Eredeti előirányzat")+SUMIFS('2.8. sz. Műv.Ház'!D22:S22,'2.8. sz. Műv.Ház'!$D$5:$S$5,"önként vállalt",'2.8. sz. Műv.Ház'!$D$3:$S$3,"Eredeti előirányzat")+SUMIFS('2.9. sz. Szivárvány Ó.'!D22:Q22,'2.9. sz. Szivárvány Ó.'!$D$5:$Q$5,"önként vállalt",'2.9. sz. Szivárvány Ó.'!$D$3:$Q$3,"Eredeti előirányzat")</f>
        <v>0</v>
      </c>
      <c r="G22" s="6">
        <f>SUMIFS('2.1. sz. PMH'!D22:AA22,'2.1. sz. PMH'!$D$5:$AA$5,"önként vállalt",'2.1. sz. PMH'!$D$3:$AA$3,"Módosított előirányzat")+SUMIFS('2.2. sz. Hétszínvirág Óvoda'!D22:S22,'2.2. sz. Hétszínvirág Óvoda'!$D$5:$S$5,"önként vállalt",'2.2. sz. Hétszínvirág Óvoda'!$D$3:$S$3,"Módosított előirányzat")+SUMIFS('2.3. sz. Mese Óvoda'!D22:O22,'2.3. sz. Mese Óvoda'!$D$5:$O$5,"önként vállalt",'2.3. sz. Mese Óvoda'!$D$3:$O$3,"Módosított előirányzat")+SUMIFS('2.4. sz. Bölcsőde'!D22:M22,'2.4. sz. Bölcsőde'!$D$5:$M$5,"önként vállalt",'2.4. sz. Bölcsőde'!$D$3:$M$3,"Módosított előirányzat")+SUMIFS('2.5. sz. Gyermekjóléti'!D22:Q22,'2.5. sz. Gyermekjóléti'!$D$5:$Q$5,"önként vállalt",'2.5. sz. Gyermekjóléti'!$D$3:$Q$3,"Módosított előirányzat")+SUMIFS('2.6 sz. Területi'!D22:AO22,'2.6 sz. Területi'!$D$5:$AO$5,"önként vállalt",'2.6 sz. Területi'!$D$3:$AO$3,"Módosított előirányzat")+SUMIFS('2.7. sz. Könyvtár'!D22:S22,'2.7. sz. Könyvtár'!$D$5:$S$5,"önként vállalt",'2.7. sz. Könyvtár'!$D$3:$S$3,"Módosított előirányzat")+SUMIFS('2.8. sz. Műv.Ház'!D22:S22,'2.8. sz. Műv.Ház'!$D$5:$S$5,"önként vállalt",'2.8. sz. Műv.Ház'!$D$3:$S$3,"Módosított előirányzat")+SUMIFS('2.9. sz. Szivárvány Ó.'!D22:Q22,'2.9. sz. Szivárvány Ó.'!$D$5:$Q$5,"önként vállalt",'2.9. sz. Szivárvány Ó.'!$D$3:$Q$3,"Módosított előirányzat")</f>
        <v>0</v>
      </c>
      <c r="H22" s="6">
        <f>SUMIFS('2.1. sz. PMH'!D22:AA22,'2.1. sz. PMH'!$D$5:$AA$5,"államigazgatási",'2.1. sz. PMH'!$D$3:$AA$3,"Eredeti előirányzat")+SUMIFS('2.2. sz. Hétszínvirág Óvoda'!D22:S22,'2.2. sz. Hétszínvirág Óvoda'!$D$5:$S$5,"államigazgatási",'2.2. sz. Hétszínvirág Óvoda'!$D$3:$S$3,"Eredeti előirányzat")+SUMIFS('2.3. sz. Mese Óvoda'!D22:O22,'2.3. sz. Mese Óvoda'!$D$5:$O$5,"államigazgatási",'2.3. sz. Mese Óvoda'!$D$3:$O$3,"Eredeti előirányzat")+SUMIFS('2.4. sz. Bölcsőde'!D22:M22,'2.4. sz. Bölcsőde'!$D$5:$M$5,"államigazgatási",'2.4. sz. Bölcsőde'!$D$3:$M$3,"Eredeti előirányzat")+SUMIFS('2.5. sz. Gyermekjóléti'!D22:Q22,'2.5. sz. Gyermekjóléti'!$D$5:$Q$5,"államigazgatási",'2.5. sz. Gyermekjóléti'!$D$3:$Q$3,"Eredeti előirányzat")+SUMIFS('2.6 sz. Területi'!D22:AO22,'2.6 sz. Területi'!$D$5:$AO$5,"államigazgatási",'2.6 sz. Területi'!$D$3:$AO$3,"Eredeti előirányzat")+SUMIFS('2.7. sz. Könyvtár'!D22:S22,'2.7. sz. Könyvtár'!$D$5:$S$5,"államigazgatási",'2.7. sz. Könyvtár'!$D$3:$S$3,"Eredeti előirányzat")+SUMIFS('2.8. sz. Műv.Ház'!D22:S22,'2.8. sz. Műv.Ház'!$D$5:$S$5,"államigazgatási",'2.8. sz. Műv.Ház'!$D$3:$S$3,"Eredeti előirányzat")+SUMIFS('2.9. sz. Szivárvány Ó.'!D22:Q22,'2.9. sz. Szivárvány Ó.'!$D$5:$Q$5,"államigazgatási",'2.9. sz. Szivárvány Ó.'!$D$3:$Q$3,"Eredeti előirányzat")</f>
        <v>0</v>
      </c>
      <c r="I22" s="6">
        <f>SUMIFS('2.1. sz. PMH'!D22:AA22,'2.1. sz. PMH'!$D$5:$AA$5,"államigazgatási",'2.1. sz. PMH'!$D$3:$AA$3,"Módosított előirányzat")+SUMIFS('2.2. sz. Hétszínvirág Óvoda'!D22:S22,'2.2. sz. Hétszínvirág Óvoda'!$D$5:$S$5,"államigazgatási",'2.2. sz. Hétszínvirág Óvoda'!$D$3:$S$3,"Módosított előirányzat")+SUMIFS('2.3. sz. Mese Óvoda'!D22:O22,'2.3. sz. Mese Óvoda'!$D$5:$O$5,"államigazgatási",'2.3. sz. Mese Óvoda'!$D$3:$O$3,"Módosított előirányzat")+SUMIFS('2.4. sz. Bölcsőde'!D22:M22,'2.4. sz. Bölcsőde'!$D$5:$M$5,"államigazgatási",'2.4. sz. Bölcsőde'!$D$3:$M$3,"Módosított előirányzat")+SUMIFS('2.5. sz. Gyermekjóléti'!D22:Q22,'2.5. sz. Gyermekjóléti'!$D$5:$Q$5,"államigazgatási",'2.5. sz. Gyermekjóléti'!$D$3:$Q$3,"Módosított előirányzat")+SUMIFS('2.6 sz. Területi'!D22:AO22,'2.6 sz. Területi'!$D$5:$AO$5,"államigazgatási",'2.6 sz. Területi'!$D$3:$AO$3,"Módosított előirányzat")+SUMIFS('2.7. sz. Könyvtár'!D22:S22,'2.7. sz. Könyvtár'!$D$5:$S$5,"államigazgatási",'2.7. sz. Könyvtár'!$D$3:$S$3,"Módosított előirányzat")+SUMIFS('2.8. sz. Műv.Ház'!D22:S22,'2.8. sz. Műv.Ház'!$D$5:$S$5,"államigazgatási",'2.8. sz. Műv.Ház'!$D$3:$S$3,"Módosított előirányzat")+SUMIFS('2.9. sz. Szivárvány Ó.'!D22:Q22,'2.9. sz. Szivárvány Ó.'!$D$5:$Q$5,"államigazgatási",'2.9. sz. Szivárvány Ó.'!$D$3:$Q$3,"Módosított előirányzat")</f>
        <v>0</v>
      </c>
      <c r="J22" s="6">
        <f t="shared" si="0"/>
        <v>0</v>
      </c>
      <c r="K22" s="1179">
        <f t="shared" si="1"/>
        <v>0</v>
      </c>
    </row>
    <row r="23" spans="1:12" ht="23.25" customHeight="1" x14ac:dyDescent="0.25">
      <c r="A23" s="26" t="s">
        <v>234</v>
      </c>
      <c r="B23" s="94" t="s">
        <v>182</v>
      </c>
      <c r="C23" s="31"/>
      <c r="D23" s="6">
        <f>SUMIFS('2.1. sz. PMH'!D23:AA23,'2.1. sz. PMH'!$D$5:$AA$5,"kötelező",'2.1. sz. PMH'!$D$3:$AA$3,"Eredeti előirányzat")+SUMIFS('2.2. sz. Hétszínvirág Óvoda'!D23:S23,'2.2. sz. Hétszínvirág Óvoda'!$D$5:$S$5,"kötelező",'2.2. sz. Hétszínvirág Óvoda'!$D$3:$S$3,"Eredeti előirányzat")+SUMIFS('2.3. sz. Mese Óvoda'!D23:O23,'2.3. sz. Mese Óvoda'!$D$5:$O$5,"kötelező",'2.3. sz. Mese Óvoda'!$D$3:$O$3,"Eredeti előirányzat")+SUMIFS('2.4. sz. Bölcsőde'!D23:M23,'2.4. sz. Bölcsőde'!$D$5:$M$5,"kötelező",'2.4. sz. Bölcsőde'!$D$3:$M$3,"Eredeti előirányzat")+SUMIFS('2.5. sz. Gyermekjóléti'!D23:Q23,'2.5. sz. Gyermekjóléti'!$D$5:$Q$5,"kötelező",'2.5. sz. Gyermekjóléti'!$D$3:$Q$3,"Eredeti előirányzat")+SUMIFS('2.6 sz. Területi'!D23:AO23,'2.6 sz. Területi'!$D$5:$AO$5,"kötelező",'2.6 sz. Területi'!$D$3:$AO$3,"Eredeti előirányzat")+SUMIFS('2.7. sz. Könyvtár'!D23:S23,'2.7. sz. Könyvtár'!$D$5:$S$5,"kötelező",'2.7. sz. Könyvtár'!$D$3:$S$3,"Eredeti előirányzat")+SUMIFS('2.8. sz. Műv.Ház'!D23:S23,'2.8. sz. Műv.Ház'!$D$5:$S$5,"kötelező",'2.8. sz. Műv.Ház'!$D$3:$S$3,"Eredeti előirányzat")+SUMIFS('2.9. sz. Szivárvány Ó.'!D23:Q23,'2.9. sz. Szivárvány Ó.'!$D$5:$Q$5,"kötelező",'2.9. sz. Szivárvány Ó.'!$D$3:$Q$3,"Eredeti előirányzat")</f>
        <v>0</v>
      </c>
      <c r="E23" s="6">
        <f>SUMIFS('2.1. sz. PMH'!D23:AA23,'2.1. sz. PMH'!$D$5:$AA$5,"kötelező",'2.1. sz. PMH'!$D$3:$AA$3,"Módosított előirányzat")+SUMIFS('2.2. sz. Hétszínvirág Óvoda'!D23:S23,'2.2. sz. Hétszínvirág Óvoda'!$D$5:$S$5,"kötelező",'2.2. sz. Hétszínvirág Óvoda'!$D$3:$S$3,"Módosított előirányzat")+SUMIFS('2.3. sz. Mese Óvoda'!D23:O23,'2.3. sz. Mese Óvoda'!$D$5:$O$5,"kötelező",'2.3. sz. Mese Óvoda'!$D$3:$O$3,"Módosított előirányzat")+SUMIFS('2.4. sz. Bölcsőde'!D23:M23,'2.4. sz. Bölcsőde'!$D$5:$M$5,"kötelező",'2.4. sz. Bölcsőde'!$D$3:$M$3,"Módosított előirányzat")+SUMIFS('2.5. sz. Gyermekjóléti'!D23:Q23,'2.5. sz. Gyermekjóléti'!$D$5:$Q$5,"kötelező",'2.5. sz. Gyermekjóléti'!$D$3:$Q$3,"Módosított előirányzat")+SUMIFS('2.6 sz. Területi'!D23:AO23,'2.6 sz. Területi'!$D$5:$AO$5,"kötelező",'2.6 sz. Területi'!$D$3:$AO$3,"Módosított előirányzat")+SUMIFS('2.7. sz. Könyvtár'!D23:S23,'2.7. sz. Könyvtár'!$D$5:$S$5,"kötelező",'2.7. sz. Könyvtár'!$D$3:$S$3,"Módosított előirányzat")+SUMIFS('2.8. sz. Műv.Ház'!D23:S23,'2.8. sz. Műv.Ház'!$D$5:$S$5,"kötelező",'2.8. sz. Műv.Ház'!$D$3:$S$3,"Módosított előirányzat")+SUMIFS('2.9. sz. Szivárvány Ó.'!D23:Q23,'2.9. sz. Szivárvány Ó.'!$D$5:$Q$5,"kötelező",'2.9. sz. Szivárvány Ó.'!$D$3:$Q$3,"Módosított előirányzat")</f>
        <v>0</v>
      </c>
      <c r="F23" s="6">
        <f>SUMIFS('2.1. sz. PMH'!D23:AA23,'2.1. sz. PMH'!$D$5:$AA$5,"önként vállalt",'2.1. sz. PMH'!$D$3:$AA$3,"Eredeti előirányzat")+SUMIFS('2.2. sz. Hétszínvirág Óvoda'!D23:S23,'2.2. sz. Hétszínvirág Óvoda'!$D$5:$S$5,"önként vállalt",'2.2. sz. Hétszínvirág Óvoda'!$D$3:$S$3,"Eredeti előirányzat")+SUMIFS('2.3. sz. Mese Óvoda'!D23:O23,'2.3. sz. Mese Óvoda'!$D$5:$O$5,"önként vállalt",'2.3. sz. Mese Óvoda'!$D$3:$O$3,"Eredeti előirányzat")+SUMIFS('2.4. sz. Bölcsőde'!D23:M23,'2.4. sz. Bölcsőde'!$D$5:$M$5,"önként vállalt",'2.4. sz. Bölcsőde'!$D$3:$M$3,"Eredeti előirányzat")+SUMIFS('2.5. sz. Gyermekjóléti'!D23:Q23,'2.5. sz. Gyermekjóléti'!$D$5:$Q$5,"önként vállalt",'2.5. sz. Gyermekjóléti'!$D$3:$Q$3,"Eredeti előirányzat")+SUMIFS('2.6 sz. Területi'!D23:AO23,'2.6 sz. Területi'!$D$5:$AO$5,"önként vállalt",'2.6 sz. Területi'!$D$3:$AO$3,"Eredeti előirányzat")+SUMIFS('2.7. sz. Könyvtár'!D23:S23,'2.7. sz. Könyvtár'!$D$5:$S$5,"önként vállalt",'2.7. sz. Könyvtár'!$D$3:$S$3,"Eredeti előirányzat")+SUMIFS('2.8. sz. Műv.Ház'!D23:S23,'2.8. sz. Műv.Ház'!$D$5:$S$5,"önként vállalt",'2.8. sz. Műv.Ház'!$D$3:$S$3,"Eredeti előirányzat")+SUMIFS('2.9. sz. Szivárvány Ó.'!D23:Q23,'2.9. sz. Szivárvány Ó.'!$D$5:$Q$5,"önként vállalt",'2.9. sz. Szivárvány Ó.'!$D$3:$Q$3,"Eredeti előirányzat")</f>
        <v>0</v>
      </c>
      <c r="G23" s="6">
        <f>SUMIFS('2.1. sz. PMH'!D23:AA23,'2.1. sz. PMH'!$D$5:$AA$5,"önként vállalt",'2.1. sz. PMH'!$D$3:$AA$3,"Módosított előirányzat")+SUMIFS('2.2. sz. Hétszínvirág Óvoda'!D23:S23,'2.2. sz. Hétszínvirág Óvoda'!$D$5:$S$5,"önként vállalt",'2.2. sz. Hétszínvirág Óvoda'!$D$3:$S$3,"Módosított előirányzat")+SUMIFS('2.3. sz. Mese Óvoda'!D23:O23,'2.3. sz. Mese Óvoda'!$D$5:$O$5,"önként vállalt",'2.3. sz. Mese Óvoda'!$D$3:$O$3,"Módosított előirányzat")+SUMIFS('2.4. sz. Bölcsőde'!D23:M23,'2.4. sz. Bölcsőde'!$D$5:$M$5,"önként vállalt",'2.4. sz. Bölcsőde'!$D$3:$M$3,"Módosított előirányzat")+SUMIFS('2.5. sz. Gyermekjóléti'!D23:Q23,'2.5. sz. Gyermekjóléti'!$D$5:$Q$5,"önként vállalt",'2.5. sz. Gyermekjóléti'!$D$3:$Q$3,"Módosított előirányzat")+SUMIFS('2.6 sz. Területi'!D23:AO23,'2.6 sz. Területi'!$D$5:$AO$5,"önként vállalt",'2.6 sz. Területi'!$D$3:$AO$3,"Módosított előirányzat")+SUMIFS('2.7. sz. Könyvtár'!D23:S23,'2.7. sz. Könyvtár'!$D$5:$S$5,"önként vállalt",'2.7. sz. Könyvtár'!$D$3:$S$3,"Módosított előirányzat")+SUMIFS('2.8. sz. Műv.Ház'!D23:S23,'2.8. sz. Műv.Ház'!$D$5:$S$5,"önként vállalt",'2.8. sz. Műv.Ház'!$D$3:$S$3,"Módosított előirányzat")+SUMIFS('2.9. sz. Szivárvány Ó.'!D23:Q23,'2.9. sz. Szivárvány Ó.'!$D$5:$Q$5,"önként vállalt",'2.9. sz. Szivárvány Ó.'!$D$3:$Q$3,"Módosított előirányzat")</f>
        <v>0</v>
      </c>
      <c r="H23" s="6">
        <f>SUMIFS('2.1. sz. PMH'!D23:AA23,'2.1. sz. PMH'!$D$5:$AA$5,"államigazgatási",'2.1. sz. PMH'!$D$3:$AA$3,"Eredeti előirányzat")+SUMIFS('2.2. sz. Hétszínvirág Óvoda'!D23:S23,'2.2. sz. Hétszínvirág Óvoda'!$D$5:$S$5,"államigazgatási",'2.2. sz. Hétszínvirág Óvoda'!$D$3:$S$3,"Eredeti előirányzat")+SUMIFS('2.3. sz. Mese Óvoda'!D23:O23,'2.3. sz. Mese Óvoda'!$D$5:$O$5,"államigazgatási",'2.3. sz. Mese Óvoda'!$D$3:$O$3,"Eredeti előirányzat")+SUMIFS('2.4. sz. Bölcsőde'!D23:M23,'2.4. sz. Bölcsőde'!$D$5:$M$5,"államigazgatási",'2.4. sz. Bölcsőde'!$D$3:$M$3,"Eredeti előirányzat")+SUMIFS('2.5. sz. Gyermekjóléti'!D23:Q23,'2.5. sz. Gyermekjóléti'!$D$5:$Q$5,"államigazgatási",'2.5. sz. Gyermekjóléti'!$D$3:$Q$3,"Eredeti előirányzat")+SUMIFS('2.6 sz. Területi'!D23:AO23,'2.6 sz. Területi'!$D$5:$AO$5,"államigazgatási",'2.6 sz. Területi'!$D$3:$AO$3,"Eredeti előirányzat")+SUMIFS('2.7. sz. Könyvtár'!D23:S23,'2.7. sz. Könyvtár'!$D$5:$S$5,"államigazgatási",'2.7. sz. Könyvtár'!$D$3:$S$3,"Eredeti előirányzat")+SUMIFS('2.8. sz. Műv.Ház'!D23:S23,'2.8. sz. Műv.Ház'!$D$5:$S$5,"államigazgatási",'2.8. sz. Műv.Ház'!$D$3:$S$3,"Eredeti előirányzat")+SUMIFS('2.9. sz. Szivárvány Ó.'!D23:Q23,'2.9. sz. Szivárvány Ó.'!$D$5:$Q$5,"államigazgatási",'2.9. sz. Szivárvány Ó.'!$D$3:$Q$3,"Eredeti előirányzat")</f>
        <v>0</v>
      </c>
      <c r="I23" s="6">
        <f>SUMIFS('2.1. sz. PMH'!D23:AA23,'2.1. sz. PMH'!$D$5:$AA$5,"államigazgatási",'2.1. sz. PMH'!$D$3:$AA$3,"Módosított előirányzat")+SUMIFS('2.2. sz. Hétszínvirág Óvoda'!D23:S23,'2.2. sz. Hétszínvirág Óvoda'!$D$5:$S$5,"államigazgatási",'2.2. sz. Hétszínvirág Óvoda'!$D$3:$S$3,"Módosított előirányzat")+SUMIFS('2.3. sz. Mese Óvoda'!D23:O23,'2.3. sz. Mese Óvoda'!$D$5:$O$5,"államigazgatási",'2.3. sz. Mese Óvoda'!$D$3:$O$3,"Módosított előirányzat")+SUMIFS('2.4. sz. Bölcsőde'!D23:M23,'2.4. sz. Bölcsőde'!$D$5:$M$5,"államigazgatási",'2.4. sz. Bölcsőde'!$D$3:$M$3,"Módosított előirányzat")+SUMIFS('2.5. sz. Gyermekjóléti'!D23:Q23,'2.5. sz. Gyermekjóléti'!$D$5:$Q$5,"államigazgatási",'2.5. sz. Gyermekjóléti'!$D$3:$Q$3,"Módosított előirányzat")+SUMIFS('2.6 sz. Területi'!D23:AO23,'2.6 sz. Területi'!$D$5:$AO$5,"államigazgatási",'2.6 sz. Területi'!$D$3:$AO$3,"Módosított előirányzat")+SUMIFS('2.7. sz. Könyvtár'!D23:S23,'2.7. sz. Könyvtár'!$D$5:$S$5,"államigazgatási",'2.7. sz. Könyvtár'!$D$3:$S$3,"Módosított előirányzat")+SUMIFS('2.8. sz. Műv.Ház'!D23:S23,'2.8. sz. Műv.Ház'!$D$5:$S$5,"államigazgatási",'2.8. sz. Műv.Ház'!$D$3:$S$3,"Módosított előirányzat")+SUMIFS('2.9. sz. Szivárvány Ó.'!D23:Q23,'2.9. sz. Szivárvány Ó.'!$D$5:$Q$5,"államigazgatási",'2.9. sz. Szivárvány Ó.'!$D$3:$Q$3,"Módosított előirányzat")</f>
        <v>0</v>
      </c>
      <c r="J23" s="6">
        <f t="shared" si="0"/>
        <v>0</v>
      </c>
      <c r="K23" s="1179">
        <f t="shared" si="1"/>
        <v>0</v>
      </c>
    </row>
    <row r="24" spans="1:12" ht="23.25" customHeight="1" x14ac:dyDescent="0.25">
      <c r="A24" s="26" t="s">
        <v>235</v>
      </c>
      <c r="B24" s="33" t="s">
        <v>569</v>
      </c>
      <c r="C24" s="31"/>
      <c r="D24" s="6">
        <f>SUMIFS('2.1. sz. PMH'!D24:AA24,'2.1. sz. PMH'!$D$5:$AA$5,"kötelező",'2.1. sz. PMH'!$D$3:$AA$3,"Eredeti előirányzat")+SUMIFS('2.2. sz. Hétszínvirág Óvoda'!D24:S24,'2.2. sz. Hétszínvirág Óvoda'!$D$5:$S$5,"kötelező",'2.2. sz. Hétszínvirág Óvoda'!$D$3:$S$3,"Eredeti előirányzat")+SUMIFS('2.3. sz. Mese Óvoda'!D24:O24,'2.3. sz. Mese Óvoda'!$D$5:$O$5,"kötelező",'2.3. sz. Mese Óvoda'!$D$3:$O$3,"Eredeti előirányzat")+SUMIFS('2.4. sz. Bölcsőde'!D24:M24,'2.4. sz. Bölcsőde'!$D$5:$M$5,"kötelező",'2.4. sz. Bölcsőde'!$D$3:$M$3,"Eredeti előirányzat")+SUMIFS('2.5. sz. Gyermekjóléti'!D24:Q24,'2.5. sz. Gyermekjóléti'!$D$5:$Q$5,"kötelező",'2.5. sz. Gyermekjóléti'!$D$3:$Q$3,"Eredeti előirányzat")+SUMIFS('2.6 sz. Területi'!D24:AO24,'2.6 sz. Területi'!$D$5:$AO$5,"kötelező",'2.6 sz. Területi'!$D$3:$AO$3,"Eredeti előirányzat")+SUMIFS('2.7. sz. Könyvtár'!D24:S24,'2.7. sz. Könyvtár'!$D$5:$S$5,"kötelező",'2.7. sz. Könyvtár'!$D$3:$S$3,"Eredeti előirányzat")+SUMIFS('2.8. sz. Műv.Ház'!D24:S24,'2.8. sz. Műv.Ház'!$D$5:$S$5,"kötelező",'2.8. sz. Műv.Ház'!$D$3:$S$3,"Eredeti előirányzat")+SUMIFS('2.9. sz. Szivárvány Ó.'!D24:Q24,'2.9. sz. Szivárvány Ó.'!$D$5:$Q$5,"kötelező",'2.9. sz. Szivárvány Ó.'!$D$3:$Q$3,"Eredeti előirányzat")</f>
        <v>0</v>
      </c>
      <c r="E24" s="6">
        <f>SUMIFS('2.1. sz. PMH'!D24:AA24,'2.1. sz. PMH'!$D$5:$AA$5,"kötelező",'2.1. sz. PMH'!$D$3:$AA$3,"Módosított előirányzat")+SUMIFS('2.2. sz. Hétszínvirág Óvoda'!D24:S24,'2.2. sz. Hétszínvirág Óvoda'!$D$5:$S$5,"kötelező",'2.2. sz. Hétszínvirág Óvoda'!$D$3:$S$3,"Módosított előirányzat")+SUMIFS('2.3. sz. Mese Óvoda'!D24:O24,'2.3. sz. Mese Óvoda'!$D$5:$O$5,"kötelező",'2.3. sz. Mese Óvoda'!$D$3:$O$3,"Módosított előirányzat")+SUMIFS('2.4. sz. Bölcsőde'!D24:M24,'2.4. sz. Bölcsőde'!$D$5:$M$5,"kötelező",'2.4. sz. Bölcsőde'!$D$3:$M$3,"Módosított előirányzat")+SUMIFS('2.5. sz. Gyermekjóléti'!D24:Q24,'2.5. sz. Gyermekjóléti'!$D$5:$Q$5,"kötelező",'2.5. sz. Gyermekjóléti'!$D$3:$Q$3,"Módosított előirányzat")+SUMIFS('2.6 sz. Területi'!D24:AO24,'2.6 sz. Területi'!$D$5:$AO$5,"kötelező",'2.6 sz. Területi'!$D$3:$AO$3,"Módosított előirányzat")+SUMIFS('2.7. sz. Könyvtár'!D24:S24,'2.7. sz. Könyvtár'!$D$5:$S$5,"kötelező",'2.7. sz. Könyvtár'!$D$3:$S$3,"Módosított előirányzat")+SUMIFS('2.8. sz. Műv.Ház'!D24:S24,'2.8. sz. Műv.Ház'!$D$5:$S$5,"kötelező",'2.8. sz. Műv.Ház'!$D$3:$S$3,"Módosított előirányzat")+SUMIFS('2.9. sz. Szivárvány Ó.'!D24:Q24,'2.9. sz. Szivárvány Ó.'!$D$5:$Q$5,"kötelező",'2.9. sz. Szivárvány Ó.'!$D$3:$Q$3,"Módosított előirányzat")</f>
        <v>0</v>
      </c>
      <c r="F24" s="6">
        <f>SUMIFS('2.1. sz. PMH'!D24:AA24,'2.1. sz. PMH'!$D$5:$AA$5,"önként vállalt",'2.1. sz. PMH'!$D$3:$AA$3,"Eredeti előirányzat")+SUMIFS('2.2. sz. Hétszínvirág Óvoda'!D24:S24,'2.2. sz. Hétszínvirág Óvoda'!$D$5:$S$5,"önként vállalt",'2.2. sz. Hétszínvirág Óvoda'!$D$3:$S$3,"Eredeti előirányzat")+SUMIFS('2.3. sz. Mese Óvoda'!D24:O24,'2.3. sz. Mese Óvoda'!$D$5:$O$5,"önként vállalt",'2.3. sz. Mese Óvoda'!$D$3:$O$3,"Eredeti előirányzat")+SUMIFS('2.4. sz. Bölcsőde'!D24:M24,'2.4. sz. Bölcsőde'!$D$5:$M$5,"önként vállalt",'2.4. sz. Bölcsőde'!$D$3:$M$3,"Eredeti előirányzat")+SUMIFS('2.5. sz. Gyermekjóléti'!D24:Q24,'2.5. sz. Gyermekjóléti'!$D$5:$Q$5,"önként vállalt",'2.5. sz. Gyermekjóléti'!$D$3:$Q$3,"Eredeti előirányzat")+SUMIFS('2.6 sz. Területi'!D24:AO24,'2.6 sz. Területi'!$D$5:$AO$5,"önként vállalt",'2.6 sz. Területi'!$D$3:$AO$3,"Eredeti előirányzat")+SUMIFS('2.7. sz. Könyvtár'!D24:S24,'2.7. sz. Könyvtár'!$D$5:$S$5,"önként vállalt",'2.7. sz. Könyvtár'!$D$3:$S$3,"Eredeti előirányzat")+SUMIFS('2.8. sz. Műv.Ház'!D24:S24,'2.8. sz. Műv.Ház'!$D$5:$S$5,"önként vállalt",'2.8. sz. Műv.Ház'!$D$3:$S$3,"Eredeti előirányzat")+SUMIFS('2.9. sz. Szivárvány Ó.'!D24:Q24,'2.9. sz. Szivárvány Ó.'!$D$5:$Q$5,"önként vállalt",'2.9. sz. Szivárvány Ó.'!$D$3:$Q$3,"Eredeti előirányzat")</f>
        <v>0</v>
      </c>
      <c r="G24" s="6">
        <f>SUMIFS('2.1. sz. PMH'!D24:AA24,'2.1. sz. PMH'!$D$5:$AA$5,"önként vállalt",'2.1. sz. PMH'!$D$3:$AA$3,"Módosított előirányzat")+SUMIFS('2.2. sz. Hétszínvirág Óvoda'!D24:S24,'2.2. sz. Hétszínvirág Óvoda'!$D$5:$S$5,"önként vállalt",'2.2. sz. Hétszínvirág Óvoda'!$D$3:$S$3,"Módosított előirányzat")+SUMIFS('2.3. sz. Mese Óvoda'!D24:O24,'2.3. sz. Mese Óvoda'!$D$5:$O$5,"önként vállalt",'2.3. sz. Mese Óvoda'!$D$3:$O$3,"Módosított előirányzat")+SUMIFS('2.4. sz. Bölcsőde'!D24:M24,'2.4. sz. Bölcsőde'!$D$5:$M$5,"önként vállalt",'2.4. sz. Bölcsőde'!$D$3:$M$3,"Módosított előirányzat")+SUMIFS('2.5. sz. Gyermekjóléti'!D24:Q24,'2.5. sz. Gyermekjóléti'!$D$5:$Q$5,"önként vállalt",'2.5. sz. Gyermekjóléti'!$D$3:$Q$3,"Módosított előirányzat")+SUMIFS('2.6 sz. Területi'!D24:AO24,'2.6 sz. Területi'!$D$5:$AO$5,"önként vállalt",'2.6 sz. Területi'!$D$3:$AO$3,"Módosított előirányzat")+SUMIFS('2.7. sz. Könyvtár'!D24:S24,'2.7. sz. Könyvtár'!$D$5:$S$5,"önként vállalt",'2.7. sz. Könyvtár'!$D$3:$S$3,"Módosított előirányzat")+SUMIFS('2.8. sz. Műv.Ház'!D24:S24,'2.8. sz. Műv.Ház'!$D$5:$S$5,"önként vállalt",'2.8. sz. Műv.Ház'!$D$3:$S$3,"Módosított előirányzat")+SUMIFS('2.9. sz. Szivárvány Ó.'!D24:Q24,'2.9. sz. Szivárvány Ó.'!$D$5:$Q$5,"önként vállalt",'2.9. sz. Szivárvány Ó.'!$D$3:$Q$3,"Módosított előirányzat")</f>
        <v>0</v>
      </c>
      <c r="H24" s="6">
        <f>SUMIFS('2.1. sz. PMH'!D24:AA24,'2.1. sz. PMH'!$D$5:$AA$5,"államigazgatási",'2.1. sz. PMH'!$D$3:$AA$3,"Eredeti előirányzat")+SUMIFS('2.2. sz. Hétszínvirág Óvoda'!D24:S24,'2.2. sz. Hétszínvirág Óvoda'!$D$5:$S$5,"államigazgatási",'2.2. sz. Hétszínvirág Óvoda'!$D$3:$S$3,"Eredeti előirányzat")+SUMIFS('2.3. sz. Mese Óvoda'!D24:O24,'2.3. sz. Mese Óvoda'!$D$5:$O$5,"államigazgatási",'2.3. sz. Mese Óvoda'!$D$3:$O$3,"Eredeti előirányzat")+SUMIFS('2.4. sz. Bölcsőde'!D24:M24,'2.4. sz. Bölcsőde'!$D$5:$M$5,"államigazgatási",'2.4. sz. Bölcsőde'!$D$3:$M$3,"Eredeti előirányzat")+SUMIFS('2.5. sz. Gyermekjóléti'!D24:Q24,'2.5. sz. Gyermekjóléti'!$D$5:$Q$5,"államigazgatási",'2.5. sz. Gyermekjóléti'!$D$3:$Q$3,"Eredeti előirányzat")+SUMIFS('2.6 sz. Területi'!D24:AO24,'2.6 sz. Területi'!$D$5:$AO$5,"államigazgatási",'2.6 sz. Területi'!$D$3:$AO$3,"Eredeti előirányzat")+SUMIFS('2.7. sz. Könyvtár'!D24:S24,'2.7. sz. Könyvtár'!$D$5:$S$5,"államigazgatási",'2.7. sz. Könyvtár'!$D$3:$S$3,"Eredeti előirányzat")+SUMIFS('2.8. sz. Műv.Ház'!D24:S24,'2.8. sz. Műv.Ház'!$D$5:$S$5,"államigazgatási",'2.8. sz. Műv.Ház'!$D$3:$S$3,"Eredeti előirányzat")+SUMIFS('2.9. sz. Szivárvány Ó.'!D24:Q24,'2.9. sz. Szivárvány Ó.'!$D$5:$Q$5,"államigazgatási",'2.9. sz. Szivárvány Ó.'!$D$3:$Q$3,"Eredeti előirányzat")</f>
        <v>0</v>
      </c>
      <c r="I24" s="6">
        <f>SUMIFS('2.1. sz. PMH'!D24:AA24,'2.1. sz. PMH'!$D$5:$AA$5,"államigazgatási",'2.1. sz. PMH'!$D$3:$AA$3,"Módosított előirányzat")+SUMIFS('2.2. sz. Hétszínvirág Óvoda'!D24:S24,'2.2. sz. Hétszínvirág Óvoda'!$D$5:$S$5,"államigazgatási",'2.2. sz. Hétszínvirág Óvoda'!$D$3:$S$3,"Módosított előirányzat")+SUMIFS('2.3. sz. Mese Óvoda'!D24:O24,'2.3. sz. Mese Óvoda'!$D$5:$O$5,"államigazgatási",'2.3. sz. Mese Óvoda'!$D$3:$O$3,"Módosított előirányzat")+SUMIFS('2.4. sz. Bölcsőde'!D24:M24,'2.4. sz. Bölcsőde'!$D$5:$M$5,"államigazgatási",'2.4. sz. Bölcsőde'!$D$3:$M$3,"Módosított előirányzat")+SUMIFS('2.5. sz. Gyermekjóléti'!D24:Q24,'2.5. sz. Gyermekjóléti'!$D$5:$Q$5,"államigazgatási",'2.5. sz. Gyermekjóléti'!$D$3:$Q$3,"Módosított előirányzat")+SUMIFS('2.6 sz. Területi'!D24:AO24,'2.6 sz. Területi'!$D$5:$AO$5,"államigazgatási",'2.6 sz. Területi'!$D$3:$AO$3,"Módosított előirányzat")+SUMIFS('2.7. sz. Könyvtár'!D24:S24,'2.7. sz. Könyvtár'!$D$5:$S$5,"államigazgatási",'2.7. sz. Könyvtár'!$D$3:$S$3,"Módosított előirányzat")+SUMIFS('2.8. sz. Műv.Ház'!D24:S24,'2.8. sz. Műv.Ház'!$D$5:$S$5,"államigazgatási",'2.8. sz. Műv.Ház'!$D$3:$S$3,"Módosított előirányzat")+SUMIFS('2.9. sz. Szivárvány Ó.'!D24:Q24,'2.9. sz. Szivárvány Ó.'!$D$5:$Q$5,"államigazgatási",'2.9. sz. Szivárvány Ó.'!$D$3:$Q$3,"Módosított előirányzat")</f>
        <v>0</v>
      </c>
      <c r="J24" s="6">
        <f t="shared" si="0"/>
        <v>0</v>
      </c>
      <c r="K24" s="1179">
        <f t="shared" si="1"/>
        <v>0</v>
      </c>
    </row>
    <row r="25" spans="1:12" ht="23.25" customHeight="1" x14ac:dyDescent="0.25">
      <c r="A25" s="26" t="s">
        <v>236</v>
      </c>
      <c r="B25" s="33" t="s">
        <v>570</v>
      </c>
      <c r="C25" s="31"/>
      <c r="D25" s="6">
        <f>SUMIFS('2.1. sz. PMH'!D25:AA25,'2.1. sz. PMH'!$D$5:$AA$5,"kötelező",'2.1. sz. PMH'!$D$3:$AA$3,"Eredeti előirányzat")+SUMIFS('2.2. sz. Hétszínvirág Óvoda'!D25:S25,'2.2. sz. Hétszínvirág Óvoda'!$D$5:$S$5,"kötelező",'2.2. sz. Hétszínvirág Óvoda'!$D$3:$S$3,"Eredeti előirányzat")+SUMIFS('2.3. sz. Mese Óvoda'!D25:O25,'2.3. sz. Mese Óvoda'!$D$5:$O$5,"kötelező",'2.3. sz. Mese Óvoda'!$D$3:$O$3,"Eredeti előirányzat")+SUMIFS('2.4. sz. Bölcsőde'!D25:M25,'2.4. sz. Bölcsőde'!$D$5:$M$5,"kötelező",'2.4. sz. Bölcsőde'!$D$3:$M$3,"Eredeti előirányzat")+SUMIFS('2.5. sz. Gyermekjóléti'!D25:Q25,'2.5. sz. Gyermekjóléti'!$D$5:$Q$5,"kötelező",'2.5. sz. Gyermekjóléti'!$D$3:$Q$3,"Eredeti előirányzat")+SUMIFS('2.6 sz. Területi'!D25:AO25,'2.6 sz. Területi'!$D$5:$AO$5,"kötelező",'2.6 sz. Területi'!$D$3:$AO$3,"Eredeti előirányzat")+SUMIFS('2.7. sz. Könyvtár'!D25:S25,'2.7. sz. Könyvtár'!$D$5:$S$5,"kötelező",'2.7. sz. Könyvtár'!$D$3:$S$3,"Eredeti előirányzat")+SUMIFS('2.8. sz. Műv.Ház'!D25:S25,'2.8. sz. Műv.Ház'!$D$5:$S$5,"kötelező",'2.8. sz. Műv.Ház'!$D$3:$S$3,"Eredeti előirányzat")+SUMIFS('2.9. sz. Szivárvány Ó.'!D25:Q25,'2.9. sz. Szivárvány Ó.'!$D$5:$Q$5,"kötelező",'2.9. sz. Szivárvány Ó.'!$D$3:$Q$3,"Eredeti előirányzat")</f>
        <v>0</v>
      </c>
      <c r="E25" s="6">
        <f>SUMIFS('2.1. sz. PMH'!D25:AA25,'2.1. sz. PMH'!$D$5:$AA$5,"kötelező",'2.1. sz. PMH'!$D$3:$AA$3,"Módosított előirányzat")+SUMIFS('2.2. sz. Hétszínvirág Óvoda'!D25:S25,'2.2. sz. Hétszínvirág Óvoda'!$D$5:$S$5,"kötelező",'2.2. sz. Hétszínvirág Óvoda'!$D$3:$S$3,"Módosított előirányzat")+SUMIFS('2.3. sz. Mese Óvoda'!D25:O25,'2.3. sz. Mese Óvoda'!$D$5:$O$5,"kötelező",'2.3. sz. Mese Óvoda'!$D$3:$O$3,"Módosított előirányzat")+SUMIFS('2.4. sz. Bölcsőde'!D25:M25,'2.4. sz. Bölcsőde'!$D$5:$M$5,"kötelező",'2.4. sz. Bölcsőde'!$D$3:$M$3,"Módosított előirányzat")+SUMIFS('2.5. sz. Gyermekjóléti'!D25:Q25,'2.5. sz. Gyermekjóléti'!$D$5:$Q$5,"kötelező",'2.5. sz. Gyermekjóléti'!$D$3:$Q$3,"Módosított előirányzat")+SUMIFS('2.6 sz. Területi'!D25:AO25,'2.6 sz. Területi'!$D$5:$AO$5,"kötelező",'2.6 sz. Területi'!$D$3:$AO$3,"Módosított előirányzat")+SUMIFS('2.7. sz. Könyvtár'!D25:S25,'2.7. sz. Könyvtár'!$D$5:$S$5,"kötelező",'2.7. sz. Könyvtár'!$D$3:$S$3,"Módosított előirányzat")+SUMIFS('2.8. sz. Műv.Ház'!D25:S25,'2.8. sz. Műv.Ház'!$D$5:$S$5,"kötelező",'2.8. sz. Műv.Ház'!$D$3:$S$3,"Módosított előirányzat")+SUMIFS('2.9. sz. Szivárvány Ó.'!D25:Q25,'2.9. sz. Szivárvány Ó.'!$D$5:$Q$5,"kötelező",'2.9. sz. Szivárvány Ó.'!$D$3:$Q$3,"Módosított előirányzat")</f>
        <v>0</v>
      </c>
      <c r="F25" s="6">
        <f>SUMIFS('2.1. sz. PMH'!D25:AA25,'2.1. sz. PMH'!$D$5:$AA$5,"önként vállalt",'2.1. sz. PMH'!$D$3:$AA$3,"Eredeti előirányzat")+SUMIFS('2.2. sz. Hétszínvirág Óvoda'!D25:S25,'2.2. sz. Hétszínvirág Óvoda'!$D$5:$S$5,"önként vállalt",'2.2. sz. Hétszínvirág Óvoda'!$D$3:$S$3,"Eredeti előirányzat")+SUMIFS('2.3. sz. Mese Óvoda'!D25:O25,'2.3. sz. Mese Óvoda'!$D$5:$O$5,"önként vállalt",'2.3. sz. Mese Óvoda'!$D$3:$O$3,"Eredeti előirányzat")+SUMIFS('2.4. sz. Bölcsőde'!D25:M25,'2.4. sz. Bölcsőde'!$D$5:$M$5,"önként vállalt",'2.4. sz. Bölcsőde'!$D$3:$M$3,"Eredeti előirányzat")+SUMIFS('2.5. sz. Gyermekjóléti'!D25:Q25,'2.5. sz. Gyermekjóléti'!$D$5:$Q$5,"önként vállalt",'2.5. sz. Gyermekjóléti'!$D$3:$Q$3,"Eredeti előirányzat")+SUMIFS('2.6 sz. Területi'!D25:AO25,'2.6 sz. Területi'!$D$5:$AO$5,"önként vállalt",'2.6 sz. Területi'!$D$3:$AO$3,"Eredeti előirányzat")+SUMIFS('2.7. sz. Könyvtár'!D25:S25,'2.7. sz. Könyvtár'!$D$5:$S$5,"önként vállalt",'2.7. sz. Könyvtár'!$D$3:$S$3,"Eredeti előirányzat")+SUMIFS('2.8. sz. Műv.Ház'!D25:S25,'2.8. sz. Műv.Ház'!$D$5:$S$5,"önként vállalt",'2.8. sz. Műv.Ház'!$D$3:$S$3,"Eredeti előirányzat")+SUMIFS('2.9. sz. Szivárvány Ó.'!D25:Q25,'2.9. sz. Szivárvány Ó.'!$D$5:$Q$5,"önként vállalt",'2.9. sz. Szivárvány Ó.'!$D$3:$Q$3,"Eredeti előirányzat")</f>
        <v>0</v>
      </c>
      <c r="G25" s="6">
        <f>SUMIFS('2.1. sz. PMH'!D25:AA25,'2.1. sz. PMH'!$D$5:$AA$5,"önként vállalt",'2.1. sz. PMH'!$D$3:$AA$3,"Módosított előirányzat")+SUMIFS('2.2. sz. Hétszínvirág Óvoda'!D25:S25,'2.2. sz. Hétszínvirág Óvoda'!$D$5:$S$5,"önként vállalt",'2.2. sz. Hétszínvirág Óvoda'!$D$3:$S$3,"Módosított előirányzat")+SUMIFS('2.3. sz. Mese Óvoda'!D25:O25,'2.3. sz. Mese Óvoda'!$D$5:$O$5,"önként vállalt",'2.3. sz. Mese Óvoda'!$D$3:$O$3,"Módosított előirányzat")+SUMIFS('2.4. sz. Bölcsőde'!D25:M25,'2.4. sz. Bölcsőde'!$D$5:$M$5,"önként vállalt",'2.4. sz. Bölcsőde'!$D$3:$M$3,"Módosított előirányzat")+SUMIFS('2.5. sz. Gyermekjóléti'!D25:Q25,'2.5. sz. Gyermekjóléti'!$D$5:$Q$5,"önként vállalt",'2.5. sz. Gyermekjóléti'!$D$3:$Q$3,"Módosított előirányzat")+SUMIFS('2.6 sz. Területi'!D25:AO25,'2.6 sz. Területi'!$D$5:$AO$5,"önként vállalt",'2.6 sz. Területi'!$D$3:$AO$3,"Módosított előirányzat")+SUMIFS('2.7. sz. Könyvtár'!D25:S25,'2.7. sz. Könyvtár'!$D$5:$S$5,"önként vállalt",'2.7. sz. Könyvtár'!$D$3:$S$3,"Módosított előirányzat")+SUMIFS('2.8. sz. Műv.Ház'!D25:S25,'2.8. sz. Műv.Ház'!$D$5:$S$5,"önként vállalt",'2.8. sz. Műv.Ház'!$D$3:$S$3,"Módosított előirányzat")+SUMIFS('2.9. sz. Szivárvány Ó.'!D25:Q25,'2.9. sz. Szivárvány Ó.'!$D$5:$Q$5,"önként vállalt",'2.9. sz. Szivárvány Ó.'!$D$3:$Q$3,"Módosított előirányzat")</f>
        <v>0</v>
      </c>
      <c r="H25" s="6">
        <f>SUMIFS('2.1. sz. PMH'!D25:AA25,'2.1. sz. PMH'!$D$5:$AA$5,"államigazgatási",'2.1. sz. PMH'!$D$3:$AA$3,"Eredeti előirányzat")+SUMIFS('2.2. sz. Hétszínvirág Óvoda'!D25:S25,'2.2. sz. Hétszínvirág Óvoda'!$D$5:$S$5,"államigazgatási",'2.2. sz. Hétszínvirág Óvoda'!$D$3:$S$3,"Eredeti előirányzat")+SUMIFS('2.3. sz. Mese Óvoda'!D25:O25,'2.3. sz. Mese Óvoda'!$D$5:$O$5,"államigazgatási",'2.3. sz. Mese Óvoda'!$D$3:$O$3,"Eredeti előirányzat")+SUMIFS('2.4. sz. Bölcsőde'!D25:M25,'2.4. sz. Bölcsőde'!$D$5:$M$5,"államigazgatási",'2.4. sz. Bölcsőde'!$D$3:$M$3,"Eredeti előirányzat")+SUMIFS('2.5. sz. Gyermekjóléti'!D25:Q25,'2.5. sz. Gyermekjóléti'!$D$5:$Q$5,"államigazgatási",'2.5. sz. Gyermekjóléti'!$D$3:$Q$3,"Eredeti előirányzat")+SUMIFS('2.6 sz. Területi'!D25:AO25,'2.6 sz. Területi'!$D$5:$AO$5,"államigazgatási",'2.6 sz. Területi'!$D$3:$AO$3,"Eredeti előirányzat")+SUMIFS('2.7. sz. Könyvtár'!D25:S25,'2.7. sz. Könyvtár'!$D$5:$S$5,"államigazgatási",'2.7. sz. Könyvtár'!$D$3:$S$3,"Eredeti előirányzat")+SUMIFS('2.8. sz. Műv.Ház'!D25:S25,'2.8. sz. Műv.Ház'!$D$5:$S$5,"államigazgatási",'2.8. sz. Műv.Ház'!$D$3:$S$3,"Eredeti előirányzat")+SUMIFS('2.9. sz. Szivárvány Ó.'!D25:Q25,'2.9. sz. Szivárvány Ó.'!$D$5:$Q$5,"államigazgatási",'2.9. sz. Szivárvány Ó.'!$D$3:$Q$3,"Eredeti előirányzat")</f>
        <v>0</v>
      </c>
      <c r="I25" s="6">
        <f>SUMIFS('2.1. sz. PMH'!D25:AA25,'2.1. sz. PMH'!$D$5:$AA$5,"államigazgatási",'2.1. sz. PMH'!$D$3:$AA$3,"Módosított előirányzat")+SUMIFS('2.2. sz. Hétszínvirág Óvoda'!D25:S25,'2.2. sz. Hétszínvirág Óvoda'!$D$5:$S$5,"államigazgatási",'2.2. sz. Hétszínvirág Óvoda'!$D$3:$S$3,"Módosított előirányzat")+SUMIFS('2.3. sz. Mese Óvoda'!D25:O25,'2.3. sz. Mese Óvoda'!$D$5:$O$5,"államigazgatási",'2.3. sz. Mese Óvoda'!$D$3:$O$3,"Módosított előirányzat")+SUMIFS('2.4. sz. Bölcsőde'!D25:M25,'2.4. sz. Bölcsőde'!$D$5:$M$5,"államigazgatási",'2.4. sz. Bölcsőde'!$D$3:$M$3,"Módosított előirányzat")+SUMIFS('2.5. sz. Gyermekjóléti'!D25:Q25,'2.5. sz. Gyermekjóléti'!$D$5:$Q$5,"államigazgatási",'2.5. sz. Gyermekjóléti'!$D$3:$Q$3,"Módosított előirányzat")+SUMIFS('2.6 sz. Területi'!D25:AO25,'2.6 sz. Területi'!$D$5:$AO$5,"államigazgatási",'2.6 sz. Területi'!$D$3:$AO$3,"Módosított előirányzat")+SUMIFS('2.7. sz. Könyvtár'!D25:S25,'2.7. sz. Könyvtár'!$D$5:$S$5,"államigazgatási",'2.7. sz. Könyvtár'!$D$3:$S$3,"Módosított előirányzat")+SUMIFS('2.8. sz. Műv.Ház'!D25:S25,'2.8. sz. Műv.Ház'!$D$5:$S$5,"államigazgatási",'2.8. sz. Műv.Ház'!$D$3:$S$3,"Módosított előirányzat")+SUMIFS('2.9. sz. Szivárvány Ó.'!D25:Q25,'2.9. sz. Szivárvány Ó.'!$D$5:$Q$5,"államigazgatási",'2.9. sz. Szivárvány Ó.'!$D$3:$Q$3,"Módosított előirányzat")</f>
        <v>0</v>
      </c>
      <c r="J25" s="6">
        <f t="shared" si="0"/>
        <v>0</v>
      </c>
      <c r="K25" s="1179">
        <f t="shared" si="1"/>
        <v>0</v>
      </c>
    </row>
    <row r="26" spans="1:12" ht="23.25" customHeight="1" x14ac:dyDescent="0.25">
      <c r="A26" s="26" t="s">
        <v>237</v>
      </c>
      <c r="B26" s="33" t="s">
        <v>126</v>
      </c>
      <c r="C26" s="31"/>
      <c r="D26" s="6">
        <f>SUMIFS('2.1. sz. PMH'!D26:AA26,'2.1. sz. PMH'!$D$5:$AA$5,"kötelező",'2.1. sz. PMH'!$D$3:$AA$3,"Eredeti előirányzat")+SUMIFS('2.2. sz. Hétszínvirág Óvoda'!D26:S26,'2.2. sz. Hétszínvirág Óvoda'!$D$5:$S$5,"kötelező",'2.2. sz. Hétszínvirág Óvoda'!$D$3:$S$3,"Eredeti előirányzat")+SUMIFS('2.3. sz. Mese Óvoda'!D26:O26,'2.3. sz. Mese Óvoda'!$D$5:$O$5,"kötelező",'2.3. sz. Mese Óvoda'!$D$3:$O$3,"Eredeti előirányzat")+SUMIFS('2.4. sz. Bölcsőde'!D26:M26,'2.4. sz. Bölcsőde'!$D$5:$M$5,"kötelező",'2.4. sz. Bölcsőde'!$D$3:$M$3,"Eredeti előirányzat")+SUMIFS('2.5. sz. Gyermekjóléti'!D26:Q26,'2.5. sz. Gyermekjóléti'!$D$5:$Q$5,"kötelező",'2.5. sz. Gyermekjóléti'!$D$3:$Q$3,"Eredeti előirányzat")+SUMIFS('2.6 sz. Területi'!D26:AO26,'2.6 sz. Területi'!$D$5:$AO$5,"kötelező",'2.6 sz. Területi'!$D$3:$AO$3,"Eredeti előirányzat")+SUMIFS('2.7. sz. Könyvtár'!D26:S26,'2.7. sz. Könyvtár'!$D$5:$S$5,"kötelező",'2.7. sz. Könyvtár'!$D$3:$S$3,"Eredeti előirányzat")+SUMIFS('2.8. sz. Műv.Ház'!D26:S26,'2.8. sz. Műv.Ház'!$D$5:$S$5,"kötelező",'2.8. sz. Műv.Ház'!$D$3:$S$3,"Eredeti előirányzat")+SUMIFS('2.9. sz. Szivárvány Ó.'!D26:Q26,'2.9. sz. Szivárvány Ó.'!$D$5:$Q$5,"kötelező",'2.9. sz. Szivárvány Ó.'!$D$3:$Q$3,"Eredeti előirányzat")</f>
        <v>0</v>
      </c>
      <c r="E26" s="6">
        <f>SUMIFS('2.1. sz. PMH'!D26:AA26,'2.1. sz. PMH'!$D$5:$AA$5,"kötelező",'2.1. sz. PMH'!$D$3:$AA$3,"Módosított előirányzat")+SUMIFS('2.2. sz. Hétszínvirág Óvoda'!D26:S26,'2.2. sz. Hétszínvirág Óvoda'!$D$5:$S$5,"kötelező",'2.2. sz. Hétszínvirág Óvoda'!$D$3:$S$3,"Módosított előirányzat")+SUMIFS('2.3. sz. Mese Óvoda'!D26:O26,'2.3. sz. Mese Óvoda'!$D$5:$O$5,"kötelező",'2.3. sz. Mese Óvoda'!$D$3:$O$3,"Módosított előirányzat")+SUMIFS('2.4. sz. Bölcsőde'!D26:M26,'2.4. sz. Bölcsőde'!$D$5:$M$5,"kötelező",'2.4. sz. Bölcsőde'!$D$3:$M$3,"Módosított előirányzat")+SUMIFS('2.5. sz. Gyermekjóléti'!D26:Q26,'2.5. sz. Gyermekjóléti'!$D$5:$Q$5,"kötelező",'2.5. sz. Gyermekjóléti'!$D$3:$Q$3,"Módosított előirányzat")+SUMIFS('2.6 sz. Területi'!D26:AO26,'2.6 sz. Területi'!$D$5:$AO$5,"kötelező",'2.6 sz. Területi'!$D$3:$AO$3,"Módosított előirányzat")+SUMIFS('2.7. sz. Könyvtár'!D26:S26,'2.7. sz. Könyvtár'!$D$5:$S$5,"kötelező",'2.7. sz. Könyvtár'!$D$3:$S$3,"Módosított előirányzat")+SUMIFS('2.8. sz. Műv.Ház'!D26:S26,'2.8. sz. Műv.Ház'!$D$5:$S$5,"kötelező",'2.8. sz. Műv.Ház'!$D$3:$S$3,"Módosított előirányzat")+SUMIFS('2.9. sz. Szivárvány Ó.'!D26:Q26,'2.9. sz. Szivárvány Ó.'!$D$5:$Q$5,"kötelező",'2.9. sz. Szivárvány Ó.'!$D$3:$Q$3,"Módosított előirányzat")</f>
        <v>0</v>
      </c>
      <c r="F26" s="6">
        <f>SUMIFS('2.1. sz. PMH'!D26:AA26,'2.1. sz. PMH'!$D$5:$AA$5,"önként vállalt",'2.1. sz. PMH'!$D$3:$AA$3,"Eredeti előirányzat")+SUMIFS('2.2. sz. Hétszínvirág Óvoda'!D26:S26,'2.2. sz. Hétszínvirág Óvoda'!$D$5:$S$5,"önként vállalt",'2.2. sz. Hétszínvirág Óvoda'!$D$3:$S$3,"Eredeti előirányzat")+SUMIFS('2.3. sz. Mese Óvoda'!D26:O26,'2.3. sz. Mese Óvoda'!$D$5:$O$5,"önként vállalt",'2.3. sz. Mese Óvoda'!$D$3:$O$3,"Eredeti előirányzat")+SUMIFS('2.4. sz. Bölcsőde'!D26:M26,'2.4. sz. Bölcsőde'!$D$5:$M$5,"önként vállalt",'2.4. sz. Bölcsőde'!$D$3:$M$3,"Eredeti előirányzat")+SUMIFS('2.5. sz. Gyermekjóléti'!D26:Q26,'2.5. sz. Gyermekjóléti'!$D$5:$Q$5,"önként vállalt",'2.5. sz. Gyermekjóléti'!$D$3:$Q$3,"Eredeti előirányzat")+SUMIFS('2.6 sz. Területi'!D26:AO26,'2.6 sz. Területi'!$D$5:$AO$5,"önként vállalt",'2.6 sz. Területi'!$D$3:$AO$3,"Eredeti előirányzat")+SUMIFS('2.7. sz. Könyvtár'!D26:S26,'2.7. sz. Könyvtár'!$D$5:$S$5,"önként vállalt",'2.7. sz. Könyvtár'!$D$3:$S$3,"Eredeti előirányzat")+SUMIFS('2.8. sz. Műv.Ház'!D26:S26,'2.8. sz. Műv.Ház'!$D$5:$S$5,"önként vállalt",'2.8. sz. Műv.Ház'!$D$3:$S$3,"Eredeti előirányzat")+SUMIFS('2.9. sz. Szivárvány Ó.'!D26:Q26,'2.9. sz. Szivárvány Ó.'!$D$5:$Q$5,"önként vállalt",'2.9. sz. Szivárvány Ó.'!$D$3:$Q$3,"Eredeti előirányzat")</f>
        <v>0</v>
      </c>
      <c r="G26" s="6">
        <f>SUMIFS('2.1. sz. PMH'!D26:AA26,'2.1. sz. PMH'!$D$5:$AA$5,"önként vállalt",'2.1. sz. PMH'!$D$3:$AA$3,"Módosított előirányzat")+SUMIFS('2.2. sz. Hétszínvirág Óvoda'!D26:S26,'2.2. sz. Hétszínvirág Óvoda'!$D$5:$S$5,"önként vállalt",'2.2. sz. Hétszínvirág Óvoda'!$D$3:$S$3,"Módosított előirányzat")+SUMIFS('2.3. sz. Mese Óvoda'!D26:O26,'2.3. sz. Mese Óvoda'!$D$5:$O$5,"önként vállalt",'2.3. sz. Mese Óvoda'!$D$3:$O$3,"Módosított előirányzat")+SUMIFS('2.4. sz. Bölcsőde'!D26:M26,'2.4. sz. Bölcsőde'!$D$5:$M$5,"önként vállalt",'2.4. sz. Bölcsőde'!$D$3:$M$3,"Módosított előirányzat")+SUMIFS('2.5. sz. Gyermekjóléti'!D26:Q26,'2.5. sz. Gyermekjóléti'!$D$5:$Q$5,"önként vállalt",'2.5. sz. Gyermekjóléti'!$D$3:$Q$3,"Módosított előirányzat")+SUMIFS('2.6 sz. Területi'!D26:AO26,'2.6 sz. Területi'!$D$5:$AO$5,"önként vállalt",'2.6 sz. Területi'!$D$3:$AO$3,"Módosított előirányzat")+SUMIFS('2.7. sz. Könyvtár'!D26:S26,'2.7. sz. Könyvtár'!$D$5:$S$5,"önként vállalt",'2.7. sz. Könyvtár'!$D$3:$S$3,"Módosított előirányzat")+SUMIFS('2.8. sz. Műv.Ház'!D26:S26,'2.8. sz. Műv.Ház'!$D$5:$S$5,"önként vállalt",'2.8. sz. Műv.Ház'!$D$3:$S$3,"Módosított előirányzat")+SUMIFS('2.9. sz. Szivárvány Ó.'!D26:Q26,'2.9. sz. Szivárvány Ó.'!$D$5:$Q$5,"önként vállalt",'2.9. sz. Szivárvány Ó.'!$D$3:$Q$3,"Módosított előirányzat")</f>
        <v>0</v>
      </c>
      <c r="H26" s="6">
        <f>SUMIFS('2.1. sz. PMH'!D26:AA26,'2.1. sz. PMH'!$D$5:$AA$5,"államigazgatási",'2.1. sz. PMH'!$D$3:$AA$3,"Eredeti előirányzat")+SUMIFS('2.2. sz. Hétszínvirág Óvoda'!D26:S26,'2.2. sz. Hétszínvirág Óvoda'!$D$5:$S$5,"államigazgatási",'2.2. sz. Hétszínvirág Óvoda'!$D$3:$S$3,"Eredeti előirányzat")+SUMIFS('2.3. sz. Mese Óvoda'!D26:O26,'2.3. sz. Mese Óvoda'!$D$5:$O$5,"államigazgatási",'2.3. sz. Mese Óvoda'!$D$3:$O$3,"Eredeti előirányzat")+SUMIFS('2.4. sz. Bölcsőde'!D26:M26,'2.4. sz. Bölcsőde'!$D$5:$M$5,"államigazgatási",'2.4. sz. Bölcsőde'!$D$3:$M$3,"Eredeti előirányzat")+SUMIFS('2.5. sz. Gyermekjóléti'!D26:Q26,'2.5. sz. Gyermekjóléti'!$D$5:$Q$5,"államigazgatási",'2.5. sz. Gyermekjóléti'!$D$3:$Q$3,"Eredeti előirányzat")+SUMIFS('2.6 sz. Területi'!D26:AO26,'2.6 sz. Területi'!$D$5:$AO$5,"államigazgatási",'2.6 sz. Területi'!$D$3:$AO$3,"Eredeti előirányzat")+SUMIFS('2.7. sz. Könyvtár'!D26:S26,'2.7. sz. Könyvtár'!$D$5:$S$5,"államigazgatási",'2.7. sz. Könyvtár'!$D$3:$S$3,"Eredeti előirányzat")+SUMIFS('2.8. sz. Műv.Ház'!D26:S26,'2.8. sz. Műv.Ház'!$D$5:$S$5,"államigazgatási",'2.8. sz. Műv.Ház'!$D$3:$S$3,"Eredeti előirányzat")+SUMIFS('2.9. sz. Szivárvány Ó.'!D26:Q26,'2.9. sz. Szivárvány Ó.'!$D$5:$Q$5,"államigazgatási",'2.9. sz. Szivárvány Ó.'!$D$3:$Q$3,"Eredeti előirányzat")</f>
        <v>0</v>
      </c>
      <c r="I26" s="6">
        <f>SUMIFS('2.1. sz. PMH'!D26:AA26,'2.1. sz. PMH'!$D$5:$AA$5,"államigazgatási",'2.1. sz. PMH'!$D$3:$AA$3,"Módosított előirányzat")+SUMIFS('2.2. sz. Hétszínvirág Óvoda'!D26:S26,'2.2. sz. Hétszínvirág Óvoda'!$D$5:$S$5,"államigazgatási",'2.2. sz. Hétszínvirág Óvoda'!$D$3:$S$3,"Módosított előirányzat")+SUMIFS('2.3. sz. Mese Óvoda'!D26:O26,'2.3. sz. Mese Óvoda'!$D$5:$O$5,"államigazgatási",'2.3. sz. Mese Óvoda'!$D$3:$O$3,"Módosított előirányzat")+SUMIFS('2.4. sz. Bölcsőde'!D26:M26,'2.4. sz. Bölcsőde'!$D$5:$M$5,"államigazgatási",'2.4. sz. Bölcsőde'!$D$3:$M$3,"Módosított előirányzat")+SUMIFS('2.5. sz. Gyermekjóléti'!D26:Q26,'2.5. sz. Gyermekjóléti'!$D$5:$Q$5,"államigazgatási",'2.5. sz. Gyermekjóléti'!$D$3:$Q$3,"Módosított előirányzat")+SUMIFS('2.6 sz. Területi'!D26:AO26,'2.6 sz. Területi'!$D$5:$AO$5,"államigazgatási",'2.6 sz. Területi'!$D$3:$AO$3,"Módosított előirányzat")+SUMIFS('2.7. sz. Könyvtár'!D26:S26,'2.7. sz. Könyvtár'!$D$5:$S$5,"államigazgatási",'2.7. sz. Könyvtár'!$D$3:$S$3,"Módosított előirányzat")+SUMIFS('2.8. sz. Műv.Ház'!D26:S26,'2.8. sz. Műv.Ház'!$D$5:$S$5,"államigazgatási",'2.8. sz. Műv.Ház'!$D$3:$S$3,"Módosított előirányzat")+SUMIFS('2.9. sz. Szivárvány Ó.'!D26:Q26,'2.9. sz. Szivárvány Ó.'!$D$5:$Q$5,"államigazgatási",'2.9. sz. Szivárvány Ó.'!$D$3:$Q$3,"Módosított előirányzat")</f>
        <v>0</v>
      </c>
      <c r="J26" s="6">
        <f t="shared" si="0"/>
        <v>0</v>
      </c>
      <c r="K26" s="1179">
        <f t="shared" si="1"/>
        <v>0</v>
      </c>
    </row>
    <row r="27" spans="1:12" ht="23.25" customHeight="1" x14ac:dyDescent="0.25">
      <c r="A27" s="26" t="s">
        <v>238</v>
      </c>
      <c r="B27" s="236" t="s">
        <v>847</v>
      </c>
      <c r="C27" s="31"/>
      <c r="D27" s="6">
        <f>SUMIFS('2.1. sz. PMH'!D27:AA27,'2.1. sz. PMH'!$D$5:$AA$5,"kötelező",'2.1. sz. PMH'!$D$3:$AA$3,"Eredeti előirányzat")+SUMIFS('2.2. sz. Hétszínvirág Óvoda'!D27:S27,'2.2. sz. Hétszínvirág Óvoda'!$D$5:$S$5,"kötelező",'2.2. sz. Hétszínvirág Óvoda'!$D$3:$S$3,"Eredeti előirányzat")+SUMIFS('2.3. sz. Mese Óvoda'!D27:O27,'2.3. sz. Mese Óvoda'!$D$5:$O$5,"kötelező",'2.3. sz. Mese Óvoda'!$D$3:$O$3,"Eredeti előirányzat")+SUMIFS('2.4. sz. Bölcsőde'!D27:M27,'2.4. sz. Bölcsőde'!$D$5:$M$5,"kötelező",'2.4. sz. Bölcsőde'!$D$3:$M$3,"Eredeti előirányzat")+SUMIFS('2.5. sz. Gyermekjóléti'!D27:Q27,'2.5. sz. Gyermekjóléti'!$D$5:$Q$5,"kötelező",'2.5. sz. Gyermekjóléti'!$D$3:$Q$3,"Eredeti előirányzat")+SUMIFS('2.6 sz. Területi'!D27:AO27,'2.6 sz. Területi'!$D$5:$AO$5,"kötelező",'2.6 sz. Területi'!$D$3:$AO$3,"Eredeti előirányzat")+SUMIFS('2.7. sz. Könyvtár'!D27:S27,'2.7. sz. Könyvtár'!$D$5:$S$5,"kötelező",'2.7. sz. Könyvtár'!$D$3:$S$3,"Eredeti előirányzat")+SUMIFS('2.8. sz. Műv.Ház'!D27:S27,'2.8. sz. Műv.Ház'!$D$5:$S$5,"kötelező",'2.8. sz. Műv.Ház'!$D$3:$S$3,"Eredeti előirányzat")+SUMIFS('2.9. sz. Szivárvány Ó.'!D27:Q27,'2.9. sz. Szivárvány Ó.'!$D$5:$Q$5,"kötelező",'2.9. sz. Szivárvány Ó.'!$D$3:$Q$3,"Eredeti előirányzat")</f>
        <v>0</v>
      </c>
      <c r="E27" s="6">
        <f>SUMIFS('2.1. sz. PMH'!D27:AA27,'2.1. sz. PMH'!$D$5:$AA$5,"kötelező",'2.1. sz. PMH'!$D$3:$AA$3,"Módosított előirányzat")+SUMIFS('2.2. sz. Hétszínvirág Óvoda'!D27:S27,'2.2. sz. Hétszínvirág Óvoda'!$D$5:$S$5,"kötelező",'2.2. sz. Hétszínvirág Óvoda'!$D$3:$S$3,"Módosított előirányzat")+SUMIFS('2.3. sz. Mese Óvoda'!D27:O27,'2.3. sz. Mese Óvoda'!$D$5:$O$5,"kötelező",'2.3. sz. Mese Óvoda'!$D$3:$O$3,"Módosított előirányzat")+SUMIFS('2.4. sz. Bölcsőde'!D27:M27,'2.4. sz. Bölcsőde'!$D$5:$M$5,"kötelező",'2.4. sz. Bölcsőde'!$D$3:$M$3,"Módosított előirányzat")+SUMIFS('2.5. sz. Gyermekjóléti'!D27:Q27,'2.5. sz. Gyermekjóléti'!$D$5:$Q$5,"kötelező",'2.5. sz. Gyermekjóléti'!$D$3:$Q$3,"Módosított előirányzat")+SUMIFS('2.6 sz. Területi'!D27:AO27,'2.6 sz. Területi'!$D$5:$AO$5,"kötelező",'2.6 sz. Területi'!$D$3:$AO$3,"Módosított előirányzat")+SUMIFS('2.7. sz. Könyvtár'!D27:S27,'2.7. sz. Könyvtár'!$D$5:$S$5,"kötelező",'2.7. sz. Könyvtár'!$D$3:$S$3,"Módosított előirányzat")+SUMIFS('2.8. sz. Műv.Ház'!D27:S27,'2.8. sz. Műv.Ház'!$D$5:$S$5,"kötelező",'2.8. sz. Műv.Ház'!$D$3:$S$3,"Módosított előirányzat")+SUMIFS('2.9. sz. Szivárvány Ó.'!D27:Q27,'2.9. sz. Szivárvány Ó.'!$D$5:$Q$5,"kötelező",'2.9. sz. Szivárvány Ó.'!$D$3:$Q$3,"Módosított előirányzat")</f>
        <v>0</v>
      </c>
      <c r="F27" s="6">
        <f>SUMIFS('2.1. sz. PMH'!D27:AA27,'2.1. sz. PMH'!$D$5:$AA$5,"önként vállalt",'2.1. sz. PMH'!$D$3:$AA$3,"Eredeti előirányzat")+SUMIFS('2.2. sz. Hétszínvirág Óvoda'!D27:S27,'2.2. sz. Hétszínvirág Óvoda'!$D$5:$S$5,"önként vállalt",'2.2. sz. Hétszínvirág Óvoda'!$D$3:$S$3,"Eredeti előirányzat")+SUMIFS('2.3. sz. Mese Óvoda'!D27:O27,'2.3. sz. Mese Óvoda'!$D$5:$O$5,"önként vállalt",'2.3. sz. Mese Óvoda'!$D$3:$O$3,"Eredeti előirányzat")+SUMIFS('2.4. sz. Bölcsőde'!D27:M27,'2.4. sz. Bölcsőde'!$D$5:$M$5,"önként vállalt",'2.4. sz. Bölcsőde'!$D$3:$M$3,"Eredeti előirányzat")+SUMIFS('2.5. sz. Gyermekjóléti'!D27:Q27,'2.5. sz. Gyermekjóléti'!$D$5:$Q$5,"önként vállalt",'2.5. sz. Gyermekjóléti'!$D$3:$Q$3,"Eredeti előirányzat")+SUMIFS('2.6 sz. Területi'!D27:AO27,'2.6 sz. Területi'!$D$5:$AO$5,"önként vállalt",'2.6 sz. Területi'!$D$3:$AO$3,"Eredeti előirányzat")+SUMIFS('2.7. sz. Könyvtár'!D27:S27,'2.7. sz. Könyvtár'!$D$5:$S$5,"önként vállalt",'2.7. sz. Könyvtár'!$D$3:$S$3,"Eredeti előirányzat")+SUMIFS('2.8. sz. Műv.Ház'!D27:S27,'2.8. sz. Műv.Ház'!$D$5:$S$5,"önként vállalt",'2.8. sz. Műv.Ház'!$D$3:$S$3,"Eredeti előirányzat")+SUMIFS('2.9. sz. Szivárvány Ó.'!D27:Q27,'2.9. sz. Szivárvány Ó.'!$D$5:$Q$5,"önként vállalt",'2.9. sz. Szivárvány Ó.'!$D$3:$Q$3,"Eredeti előirányzat")</f>
        <v>0</v>
      </c>
      <c r="G27" s="6">
        <f>SUMIFS('2.1. sz. PMH'!D27:AA27,'2.1. sz. PMH'!$D$5:$AA$5,"önként vállalt",'2.1. sz. PMH'!$D$3:$AA$3,"Módosított előirányzat")+SUMIFS('2.2. sz. Hétszínvirág Óvoda'!D27:S27,'2.2. sz. Hétszínvirág Óvoda'!$D$5:$S$5,"önként vállalt",'2.2. sz. Hétszínvirág Óvoda'!$D$3:$S$3,"Módosított előirányzat")+SUMIFS('2.3. sz. Mese Óvoda'!D27:O27,'2.3. sz. Mese Óvoda'!$D$5:$O$5,"önként vállalt",'2.3. sz. Mese Óvoda'!$D$3:$O$3,"Módosított előirányzat")+SUMIFS('2.4. sz. Bölcsőde'!D27:M27,'2.4. sz. Bölcsőde'!$D$5:$M$5,"önként vállalt",'2.4. sz. Bölcsőde'!$D$3:$M$3,"Módosított előirányzat")+SUMIFS('2.5. sz. Gyermekjóléti'!D27:Q27,'2.5. sz. Gyermekjóléti'!$D$5:$Q$5,"önként vállalt",'2.5. sz. Gyermekjóléti'!$D$3:$Q$3,"Módosított előirányzat")+SUMIFS('2.6 sz. Területi'!D27:AO27,'2.6 sz. Területi'!$D$5:$AO$5,"önként vállalt",'2.6 sz. Területi'!$D$3:$AO$3,"Módosított előirányzat")+SUMIFS('2.7. sz. Könyvtár'!D27:S27,'2.7. sz. Könyvtár'!$D$5:$S$5,"önként vállalt",'2.7. sz. Könyvtár'!$D$3:$S$3,"Módosított előirányzat")+SUMIFS('2.8. sz. Műv.Ház'!D27:S27,'2.8. sz. Műv.Ház'!$D$5:$S$5,"önként vállalt",'2.8. sz. Műv.Ház'!$D$3:$S$3,"Módosított előirányzat")+SUMIFS('2.9. sz. Szivárvány Ó.'!D27:Q27,'2.9. sz. Szivárvány Ó.'!$D$5:$Q$5,"önként vállalt",'2.9. sz. Szivárvány Ó.'!$D$3:$Q$3,"Módosított előirányzat")</f>
        <v>0</v>
      </c>
      <c r="H27" s="6">
        <f>SUMIFS('2.1. sz. PMH'!D27:AA27,'2.1. sz. PMH'!$D$5:$AA$5,"államigazgatási",'2.1. sz. PMH'!$D$3:$AA$3,"Eredeti előirányzat")+SUMIFS('2.2. sz. Hétszínvirág Óvoda'!D27:S27,'2.2. sz. Hétszínvirág Óvoda'!$D$5:$S$5,"államigazgatási",'2.2. sz. Hétszínvirág Óvoda'!$D$3:$S$3,"Eredeti előirányzat")+SUMIFS('2.3. sz. Mese Óvoda'!D27:O27,'2.3. sz. Mese Óvoda'!$D$5:$O$5,"államigazgatási",'2.3. sz. Mese Óvoda'!$D$3:$O$3,"Eredeti előirányzat")+SUMIFS('2.4. sz. Bölcsőde'!D27:M27,'2.4. sz. Bölcsőde'!$D$5:$M$5,"államigazgatási",'2.4. sz. Bölcsőde'!$D$3:$M$3,"Eredeti előirányzat")+SUMIFS('2.5. sz. Gyermekjóléti'!D27:Q27,'2.5. sz. Gyermekjóléti'!$D$5:$Q$5,"államigazgatási",'2.5. sz. Gyermekjóléti'!$D$3:$Q$3,"Eredeti előirányzat")+SUMIFS('2.6 sz. Területi'!D27:AO27,'2.6 sz. Területi'!$D$5:$AO$5,"államigazgatási",'2.6 sz. Területi'!$D$3:$AO$3,"Eredeti előirányzat")+SUMIFS('2.7. sz. Könyvtár'!D27:S27,'2.7. sz. Könyvtár'!$D$5:$S$5,"államigazgatási",'2.7. sz. Könyvtár'!$D$3:$S$3,"Eredeti előirányzat")+SUMIFS('2.8. sz. Műv.Ház'!D27:S27,'2.8. sz. Műv.Ház'!$D$5:$S$5,"államigazgatási",'2.8. sz. Műv.Ház'!$D$3:$S$3,"Eredeti előirányzat")+SUMIFS('2.9. sz. Szivárvány Ó.'!D27:Q27,'2.9. sz. Szivárvány Ó.'!$D$5:$Q$5,"államigazgatási",'2.9. sz. Szivárvány Ó.'!$D$3:$Q$3,"Eredeti előirányzat")</f>
        <v>0</v>
      </c>
      <c r="I27" s="6">
        <f>SUMIFS('2.1. sz. PMH'!D27:AA27,'2.1. sz. PMH'!$D$5:$AA$5,"államigazgatási",'2.1. sz. PMH'!$D$3:$AA$3,"Módosított előirányzat")+SUMIFS('2.2. sz. Hétszínvirág Óvoda'!D27:S27,'2.2. sz. Hétszínvirág Óvoda'!$D$5:$S$5,"államigazgatási",'2.2. sz. Hétszínvirág Óvoda'!$D$3:$S$3,"Módosított előirányzat")+SUMIFS('2.3. sz. Mese Óvoda'!D27:O27,'2.3. sz. Mese Óvoda'!$D$5:$O$5,"államigazgatási",'2.3. sz. Mese Óvoda'!$D$3:$O$3,"Módosított előirányzat")+SUMIFS('2.4. sz. Bölcsőde'!D27:M27,'2.4. sz. Bölcsőde'!$D$5:$M$5,"államigazgatási",'2.4. sz. Bölcsőde'!$D$3:$M$3,"Módosított előirányzat")+SUMIFS('2.5. sz. Gyermekjóléti'!D27:Q27,'2.5. sz. Gyermekjóléti'!$D$5:$Q$5,"államigazgatási",'2.5. sz. Gyermekjóléti'!$D$3:$Q$3,"Módosított előirányzat")+SUMIFS('2.6 sz. Területi'!D27:AO27,'2.6 sz. Területi'!$D$5:$AO$5,"államigazgatási",'2.6 sz. Területi'!$D$3:$AO$3,"Módosított előirányzat")+SUMIFS('2.7. sz. Könyvtár'!D27:S27,'2.7. sz. Könyvtár'!$D$5:$S$5,"államigazgatási",'2.7. sz. Könyvtár'!$D$3:$S$3,"Módosított előirányzat")+SUMIFS('2.8. sz. Műv.Ház'!D27:S27,'2.8. sz. Műv.Ház'!$D$5:$S$5,"államigazgatási",'2.8. sz. Műv.Ház'!$D$3:$S$3,"Módosított előirányzat")+SUMIFS('2.9. sz. Szivárvány Ó.'!D27:Q27,'2.9. sz. Szivárvány Ó.'!$D$5:$Q$5,"államigazgatási",'2.9. sz. Szivárvány Ó.'!$D$3:$Q$3,"Módosított előirányzat")</f>
        <v>0</v>
      </c>
      <c r="J27" s="6">
        <f t="shared" si="0"/>
        <v>0</v>
      </c>
      <c r="K27" s="1179">
        <f t="shared" si="1"/>
        <v>0</v>
      </c>
    </row>
    <row r="28" spans="1:12" s="36" customFormat="1" ht="23.25" customHeight="1" x14ac:dyDescent="0.25">
      <c r="A28" s="26" t="s">
        <v>239</v>
      </c>
      <c r="B28" s="34" t="s">
        <v>32</v>
      </c>
      <c r="C28" s="27"/>
      <c r="D28" s="7">
        <f>SUMIFS('2.1. sz. PMH'!D28:AA28,'2.1. sz. PMH'!$D$5:$AA$5,"kötelező",'2.1. sz. PMH'!$D$3:$AA$3,"Eredeti előirányzat")+SUMIFS('2.2. sz. Hétszínvirág Óvoda'!D28:S28,'2.2. sz. Hétszínvirág Óvoda'!$D$5:$S$5,"kötelező",'2.2. sz. Hétszínvirág Óvoda'!$D$3:$S$3,"Eredeti előirányzat")+SUMIFS('2.3. sz. Mese Óvoda'!D28:O28,'2.3. sz. Mese Óvoda'!$D$5:$O$5,"kötelező",'2.3. sz. Mese Óvoda'!$D$3:$O$3,"Eredeti előirányzat")+SUMIFS('2.4. sz. Bölcsőde'!D28:M28,'2.4. sz. Bölcsőde'!$D$5:$M$5,"kötelező",'2.4. sz. Bölcsőde'!$D$3:$M$3,"Eredeti előirányzat")+SUMIFS('2.5. sz. Gyermekjóléti'!D28:Q28,'2.5. sz. Gyermekjóléti'!$D$5:$Q$5,"kötelező",'2.5. sz. Gyermekjóléti'!$D$3:$Q$3,"Eredeti előirányzat")+SUMIFS('2.6 sz. Területi'!D28:AO28,'2.6 sz. Területi'!$D$5:$AO$5,"kötelező",'2.6 sz. Területi'!$D$3:$AO$3,"Eredeti előirányzat")+SUMIFS('2.7. sz. Könyvtár'!D28:S28,'2.7. sz. Könyvtár'!$D$5:$S$5,"kötelező",'2.7. sz. Könyvtár'!$D$3:$S$3,"Eredeti előirányzat")+SUMIFS('2.8. sz. Műv.Ház'!D28:S28,'2.8. sz. Műv.Ház'!$D$5:$S$5,"kötelező",'2.8. sz. Műv.Ház'!$D$3:$S$3,"Eredeti előirányzat")+SUMIFS('2.9. sz. Szivárvány Ó.'!D28:Q28,'2.9. sz. Szivárvány Ó.'!$D$5:$Q$5,"kötelező",'2.9. sz. Szivárvány Ó.'!$D$3:$Q$3,"Eredeti előirányzat")</f>
        <v>3596097392</v>
      </c>
      <c r="E28" s="7">
        <f>SUMIFS('2.1. sz. PMH'!D28:AA28,'2.1. sz. PMH'!$D$5:$AA$5,"kötelező",'2.1. sz. PMH'!$D$3:$AA$3,"Módosított előirányzat")+SUMIFS('2.2. sz. Hétszínvirág Óvoda'!D28:S28,'2.2. sz. Hétszínvirág Óvoda'!$D$5:$S$5,"kötelező",'2.2. sz. Hétszínvirág Óvoda'!$D$3:$S$3,"Módosított előirányzat")+SUMIFS('2.3. sz. Mese Óvoda'!D28:O28,'2.3. sz. Mese Óvoda'!$D$5:$O$5,"kötelező",'2.3. sz. Mese Óvoda'!$D$3:$O$3,"Módosított előirányzat")+SUMIFS('2.4. sz. Bölcsőde'!D28:M28,'2.4. sz. Bölcsőde'!$D$5:$M$5,"kötelező",'2.4. sz. Bölcsőde'!$D$3:$M$3,"Módosított előirányzat")+SUMIFS('2.5. sz. Gyermekjóléti'!D28:Q28,'2.5. sz. Gyermekjóléti'!$D$5:$Q$5,"kötelező",'2.5. sz. Gyermekjóléti'!$D$3:$Q$3,"Módosított előirányzat")+SUMIFS('2.6 sz. Területi'!D28:AO28,'2.6 sz. Területi'!$D$5:$AO$5,"kötelező",'2.6 sz. Területi'!$D$3:$AO$3,"Módosított előirányzat")+SUMIFS('2.7. sz. Könyvtár'!D28:S28,'2.7. sz. Könyvtár'!$D$5:$S$5,"kötelező",'2.7. sz. Könyvtár'!$D$3:$S$3,"Módosított előirányzat")+SUMIFS('2.8. sz. Műv.Ház'!D28:S28,'2.8. sz. Műv.Ház'!$D$5:$S$5,"kötelező",'2.8. sz. Műv.Ház'!$D$3:$S$3,"Módosított előirányzat")+SUMIFS('2.9. sz. Szivárvány Ó.'!D28:Q28,'2.9. sz. Szivárvány Ó.'!$D$5:$Q$5,"kötelező",'2.9. sz. Szivárvány Ó.'!$D$3:$Q$3,"Módosított előirányzat")</f>
        <v>4022877813</v>
      </c>
      <c r="F28" s="7">
        <f>SUMIFS('2.1. sz. PMH'!D28:AA28,'2.1. sz. PMH'!$D$5:$AA$5,"önként vállalt",'2.1. sz. PMH'!$D$3:$AA$3,"Eredeti előirányzat")+SUMIFS('2.2. sz. Hétszínvirág Óvoda'!D28:S28,'2.2. sz. Hétszínvirág Óvoda'!$D$5:$S$5,"önként vállalt",'2.2. sz. Hétszínvirág Óvoda'!$D$3:$S$3,"Eredeti előirányzat")+SUMIFS('2.3. sz. Mese Óvoda'!D28:O28,'2.3. sz. Mese Óvoda'!$D$5:$O$5,"önként vállalt",'2.3. sz. Mese Óvoda'!$D$3:$O$3,"Eredeti előirányzat")+SUMIFS('2.4. sz. Bölcsőde'!D28:M28,'2.4. sz. Bölcsőde'!$D$5:$M$5,"önként vállalt",'2.4. sz. Bölcsőde'!$D$3:$M$3,"Eredeti előirányzat")+SUMIFS('2.5. sz. Gyermekjóléti'!D28:Q28,'2.5. sz. Gyermekjóléti'!$D$5:$Q$5,"önként vállalt",'2.5. sz. Gyermekjóléti'!$D$3:$Q$3,"Eredeti előirányzat")+SUMIFS('2.6 sz. Területi'!D28:AO28,'2.6 sz. Területi'!$D$5:$AO$5,"önként vállalt",'2.6 sz. Területi'!$D$3:$AO$3,"Eredeti előirányzat")+SUMIFS('2.7. sz. Könyvtár'!D28:S28,'2.7. sz. Könyvtár'!$D$5:$S$5,"önként vállalt",'2.7. sz. Könyvtár'!$D$3:$S$3,"Eredeti előirányzat")+SUMIFS('2.8. sz. Műv.Ház'!D28:S28,'2.8. sz. Műv.Ház'!$D$5:$S$5,"önként vállalt",'2.8. sz. Műv.Ház'!$D$3:$S$3,"Eredeti előirányzat")+SUMIFS('2.9. sz. Szivárvány Ó.'!D28:Q28,'2.9. sz. Szivárvány Ó.'!$D$5:$Q$5,"önként vállalt",'2.9. sz. Szivárvány Ó.'!$D$3:$Q$3,"Eredeti előirányzat")</f>
        <v>127612470</v>
      </c>
      <c r="G28" s="7">
        <f>SUMIFS('2.1. sz. PMH'!D28:AA28,'2.1. sz. PMH'!$D$5:$AA$5,"önként vállalt",'2.1. sz. PMH'!$D$3:$AA$3,"Módosított előirányzat")+SUMIFS('2.2. sz. Hétszínvirág Óvoda'!D28:S28,'2.2. sz. Hétszínvirág Óvoda'!$D$5:$S$5,"önként vállalt",'2.2. sz. Hétszínvirág Óvoda'!$D$3:$S$3,"Módosított előirányzat")+SUMIFS('2.3. sz. Mese Óvoda'!D28:O28,'2.3. sz. Mese Óvoda'!$D$5:$O$5,"önként vállalt",'2.3. sz. Mese Óvoda'!$D$3:$O$3,"Módosított előirányzat")+SUMIFS('2.4. sz. Bölcsőde'!D28:M28,'2.4. sz. Bölcsőde'!$D$5:$M$5,"önként vállalt",'2.4. sz. Bölcsőde'!$D$3:$M$3,"Módosított előirányzat")+SUMIFS('2.5. sz. Gyermekjóléti'!D28:Q28,'2.5. sz. Gyermekjóléti'!$D$5:$Q$5,"önként vállalt",'2.5. sz. Gyermekjóléti'!$D$3:$Q$3,"Módosított előirányzat")+SUMIFS('2.6 sz. Területi'!D28:AO28,'2.6 sz. Területi'!$D$5:$AO$5,"önként vállalt",'2.6 sz. Területi'!$D$3:$AO$3,"Módosított előirányzat")+SUMIFS('2.7. sz. Könyvtár'!D28:S28,'2.7. sz. Könyvtár'!$D$5:$S$5,"önként vállalt",'2.7. sz. Könyvtár'!$D$3:$S$3,"Módosított előirányzat")+SUMIFS('2.8. sz. Műv.Ház'!D28:S28,'2.8. sz. Műv.Ház'!$D$5:$S$5,"önként vállalt",'2.8. sz. Műv.Ház'!$D$3:$S$3,"Módosított előirányzat")+SUMIFS('2.9. sz. Szivárvány Ó.'!D28:Q28,'2.9. sz. Szivárvány Ó.'!$D$5:$Q$5,"önként vállalt",'2.9. sz. Szivárvány Ó.'!$D$3:$Q$3,"Módosított előirányzat")</f>
        <v>133428413</v>
      </c>
      <c r="H28" s="7">
        <f>SUMIFS('2.1. sz. PMH'!D28:AA28,'2.1. sz. PMH'!$D$5:$AA$5,"államigazgatási",'2.1. sz. PMH'!$D$3:$AA$3,"Eredeti előirányzat")+SUMIFS('2.2. sz. Hétszínvirág Óvoda'!D28:S28,'2.2. sz. Hétszínvirág Óvoda'!$D$5:$S$5,"államigazgatási",'2.2. sz. Hétszínvirág Óvoda'!$D$3:$S$3,"Eredeti előirányzat")+SUMIFS('2.3. sz. Mese Óvoda'!D28:O28,'2.3. sz. Mese Óvoda'!$D$5:$O$5,"államigazgatási",'2.3. sz. Mese Óvoda'!$D$3:$O$3,"Eredeti előirányzat")+SUMIFS('2.4. sz. Bölcsőde'!D28:M28,'2.4. sz. Bölcsőde'!$D$5:$M$5,"államigazgatási",'2.4. sz. Bölcsőde'!$D$3:$M$3,"Eredeti előirányzat")+SUMIFS('2.5. sz. Gyermekjóléti'!D28:Q28,'2.5. sz. Gyermekjóléti'!$D$5:$Q$5,"államigazgatási",'2.5. sz. Gyermekjóléti'!$D$3:$Q$3,"Eredeti előirányzat")+SUMIFS('2.6 sz. Területi'!D28:AO28,'2.6 sz. Területi'!$D$5:$AO$5,"államigazgatási",'2.6 sz. Területi'!$D$3:$AO$3,"Eredeti előirányzat")+SUMIFS('2.7. sz. Könyvtár'!D28:S28,'2.7. sz. Könyvtár'!$D$5:$S$5,"államigazgatási",'2.7. sz. Könyvtár'!$D$3:$S$3,"Eredeti előirányzat")+SUMIFS('2.8. sz. Műv.Ház'!D28:S28,'2.8. sz. Műv.Ház'!$D$5:$S$5,"államigazgatási",'2.8. sz. Műv.Ház'!$D$3:$S$3,"Eredeti előirányzat")+SUMIFS('2.9. sz. Szivárvány Ó.'!D28:Q28,'2.9. sz. Szivárvány Ó.'!$D$5:$Q$5,"államigazgatási",'2.9. sz. Szivárvány Ó.'!$D$3:$Q$3,"Eredeti előirányzat")</f>
        <v>121717677</v>
      </c>
      <c r="I28" s="7">
        <f>SUMIFS('2.1. sz. PMH'!D28:AA28,'2.1. sz. PMH'!$D$5:$AA$5,"államigazgatási",'2.1. sz. PMH'!$D$3:$AA$3,"Módosított előirányzat")+SUMIFS('2.2. sz. Hétszínvirág Óvoda'!D28:S28,'2.2. sz. Hétszínvirág Óvoda'!$D$5:$S$5,"államigazgatási",'2.2. sz. Hétszínvirág Óvoda'!$D$3:$S$3,"Módosított előirányzat")+SUMIFS('2.3. sz. Mese Óvoda'!D28:O28,'2.3. sz. Mese Óvoda'!$D$5:$O$5,"államigazgatási",'2.3. sz. Mese Óvoda'!$D$3:$O$3,"Módosított előirányzat")+SUMIFS('2.4. sz. Bölcsőde'!D28:M28,'2.4. sz. Bölcsőde'!$D$5:$M$5,"államigazgatási",'2.4. sz. Bölcsőde'!$D$3:$M$3,"Módosított előirányzat")+SUMIFS('2.5. sz. Gyermekjóléti'!D28:Q28,'2.5. sz. Gyermekjóléti'!$D$5:$Q$5,"államigazgatási",'2.5. sz. Gyermekjóléti'!$D$3:$Q$3,"Módosított előirányzat")+SUMIFS('2.6 sz. Területi'!D28:AO28,'2.6 sz. Területi'!$D$5:$AO$5,"államigazgatási",'2.6 sz. Területi'!$D$3:$AO$3,"Módosított előirányzat")+SUMIFS('2.7. sz. Könyvtár'!D28:S28,'2.7. sz. Könyvtár'!$D$5:$S$5,"államigazgatási",'2.7. sz. Könyvtár'!$D$3:$S$3,"Módosított előirányzat")+SUMIFS('2.8. sz. Műv.Ház'!D28:S28,'2.8. sz. Műv.Ház'!$D$5:$S$5,"államigazgatási",'2.8. sz. Műv.Ház'!$D$3:$S$3,"Módosított előirányzat")+SUMIFS('2.9. sz. Szivárvány Ó.'!D28:Q28,'2.9. sz. Szivárvány Ó.'!$D$5:$Q$5,"államigazgatási",'2.9. sz. Szivárvány Ó.'!$D$3:$Q$3,"Módosított előirányzat")</f>
        <v>157826129</v>
      </c>
      <c r="J28" s="7">
        <f t="shared" si="0"/>
        <v>3845427539</v>
      </c>
      <c r="K28" s="1180">
        <f t="shared" si="1"/>
        <v>4314132355</v>
      </c>
      <c r="L28" s="85">
        <f>+J9+J10+J11+J12+J14+J15+J16</f>
        <v>3845427539</v>
      </c>
    </row>
    <row r="29" spans="1:12" s="36" customFormat="1" ht="23.25" customHeight="1" x14ac:dyDescent="0.25">
      <c r="A29" s="26" t="s">
        <v>266</v>
      </c>
      <c r="B29" s="34" t="s">
        <v>33</v>
      </c>
      <c r="C29" s="27"/>
      <c r="D29" s="7">
        <f>SUMIFS('2.1. sz. PMH'!D29:AA29,'2.1. sz. PMH'!$D$5:$AA$5,"kötelező",'2.1. sz. PMH'!$D$3:$AA$3,"Eredeti előirányzat")+SUMIFS('2.2. sz. Hétszínvirág Óvoda'!D29:S29,'2.2. sz. Hétszínvirág Óvoda'!$D$5:$S$5,"kötelező",'2.2. sz. Hétszínvirág Óvoda'!$D$3:$S$3,"Eredeti előirányzat")+SUMIFS('2.3. sz. Mese Óvoda'!D29:O29,'2.3. sz. Mese Óvoda'!$D$5:$O$5,"kötelező",'2.3. sz. Mese Óvoda'!$D$3:$O$3,"Eredeti előirányzat")+SUMIFS('2.4. sz. Bölcsőde'!D29:M29,'2.4. sz. Bölcsőde'!$D$5:$M$5,"kötelező",'2.4. sz. Bölcsőde'!$D$3:$M$3,"Eredeti előirányzat")+SUMIFS('2.5. sz. Gyermekjóléti'!D29:Q29,'2.5. sz. Gyermekjóléti'!$D$5:$Q$5,"kötelező",'2.5. sz. Gyermekjóléti'!$D$3:$Q$3,"Eredeti előirányzat")+SUMIFS('2.6 sz. Területi'!D29:AO29,'2.6 sz. Területi'!$D$5:$AO$5,"kötelező",'2.6 sz. Területi'!$D$3:$AO$3,"Eredeti előirányzat")+SUMIFS('2.7. sz. Könyvtár'!D29:S29,'2.7. sz. Könyvtár'!$D$5:$S$5,"kötelező",'2.7. sz. Könyvtár'!$D$3:$S$3,"Eredeti előirányzat")+SUMIFS('2.8. sz. Műv.Ház'!D29:S29,'2.8. sz. Műv.Ház'!$D$5:$S$5,"kötelező",'2.8. sz. Műv.Ház'!$D$3:$S$3,"Eredeti előirányzat")+SUMIFS('2.9. sz. Szivárvány Ó.'!D29:Q29,'2.9. sz. Szivárvány Ó.'!$D$5:$Q$5,"kötelező",'2.9. sz. Szivárvány Ó.'!$D$3:$Q$3,"Eredeti előirányzat")</f>
        <v>61396015</v>
      </c>
      <c r="E29" s="7">
        <f>SUMIFS('2.1. sz. PMH'!D29:AA29,'2.1. sz. PMH'!$D$5:$AA$5,"kötelező",'2.1. sz. PMH'!$D$3:$AA$3,"Módosított előirányzat")+SUMIFS('2.2. sz. Hétszínvirág Óvoda'!D29:S29,'2.2. sz. Hétszínvirág Óvoda'!$D$5:$S$5,"kötelező",'2.2. sz. Hétszínvirág Óvoda'!$D$3:$S$3,"Módosított előirányzat")+SUMIFS('2.3. sz. Mese Óvoda'!D29:O29,'2.3. sz. Mese Óvoda'!$D$5:$O$5,"kötelező",'2.3. sz. Mese Óvoda'!$D$3:$O$3,"Módosított előirányzat")+SUMIFS('2.4. sz. Bölcsőde'!D29:M29,'2.4. sz. Bölcsőde'!$D$5:$M$5,"kötelező",'2.4. sz. Bölcsőde'!$D$3:$M$3,"Módosított előirányzat")+SUMIFS('2.5. sz. Gyermekjóléti'!D29:Q29,'2.5. sz. Gyermekjóléti'!$D$5:$Q$5,"kötelező",'2.5. sz. Gyermekjóléti'!$D$3:$Q$3,"Módosított előirányzat")+SUMIFS('2.6 sz. Területi'!D29:AO29,'2.6 sz. Területi'!$D$5:$AO$5,"kötelező",'2.6 sz. Területi'!$D$3:$AO$3,"Módosított előirányzat")+SUMIFS('2.7. sz. Könyvtár'!D29:S29,'2.7. sz. Könyvtár'!$D$5:$S$5,"kötelező",'2.7. sz. Könyvtár'!$D$3:$S$3,"Módosított előirányzat")+SUMIFS('2.8. sz. Műv.Ház'!D29:S29,'2.8. sz. Műv.Ház'!$D$5:$S$5,"kötelező",'2.8. sz. Műv.Ház'!$D$3:$S$3,"Módosított előirányzat")+SUMIFS('2.9. sz. Szivárvány Ó.'!D29:Q29,'2.9. sz. Szivárvány Ó.'!$D$5:$Q$5,"kötelező",'2.9. sz. Szivárvány Ó.'!$D$3:$Q$3,"Módosított előirányzat")</f>
        <v>95653896</v>
      </c>
      <c r="F29" s="7">
        <f>SUMIFS('2.1. sz. PMH'!D29:AA29,'2.1. sz. PMH'!$D$5:$AA$5,"önként vállalt",'2.1. sz. PMH'!$D$3:$AA$3,"Eredeti előirányzat")+SUMIFS('2.2. sz. Hétszínvirág Óvoda'!D29:S29,'2.2. sz. Hétszínvirág Óvoda'!$D$5:$S$5,"önként vállalt",'2.2. sz. Hétszínvirág Óvoda'!$D$3:$S$3,"Eredeti előirányzat")+SUMIFS('2.3. sz. Mese Óvoda'!D29:O29,'2.3. sz. Mese Óvoda'!$D$5:$O$5,"önként vállalt",'2.3. sz. Mese Óvoda'!$D$3:$O$3,"Eredeti előirányzat")+SUMIFS('2.4. sz. Bölcsőde'!D29:M29,'2.4. sz. Bölcsőde'!$D$5:$M$5,"önként vállalt",'2.4. sz. Bölcsőde'!$D$3:$M$3,"Eredeti előirányzat")+SUMIFS('2.5. sz. Gyermekjóléti'!D29:Q29,'2.5. sz. Gyermekjóléti'!$D$5:$Q$5,"önként vállalt",'2.5. sz. Gyermekjóléti'!$D$3:$Q$3,"Eredeti előirányzat")+SUMIFS('2.6 sz. Területi'!D29:AO29,'2.6 sz. Területi'!$D$5:$AO$5,"önként vállalt",'2.6 sz. Területi'!$D$3:$AO$3,"Eredeti előirányzat")+SUMIFS('2.7. sz. Könyvtár'!D29:S29,'2.7. sz. Könyvtár'!$D$5:$S$5,"önként vállalt",'2.7. sz. Könyvtár'!$D$3:$S$3,"Eredeti előirányzat")+SUMIFS('2.8. sz. Műv.Ház'!D29:S29,'2.8. sz. Műv.Ház'!$D$5:$S$5,"önként vállalt",'2.8. sz. Műv.Ház'!$D$3:$S$3,"Eredeti előirányzat")+SUMIFS('2.9. sz. Szivárvány Ó.'!D29:Q29,'2.9. sz. Szivárvány Ó.'!$D$5:$Q$5,"önként vállalt",'2.9. sz. Szivárvány Ó.'!$D$3:$Q$3,"Eredeti előirányzat")</f>
        <v>2222500</v>
      </c>
      <c r="G29" s="7">
        <f>SUMIFS('2.1. sz. PMH'!D29:AA29,'2.1. sz. PMH'!$D$5:$AA$5,"önként vállalt",'2.1. sz. PMH'!$D$3:$AA$3,"Módosított előirányzat")+SUMIFS('2.2. sz. Hétszínvirág Óvoda'!D29:S29,'2.2. sz. Hétszínvirág Óvoda'!$D$5:$S$5,"önként vállalt",'2.2. sz. Hétszínvirág Óvoda'!$D$3:$S$3,"Módosított előirányzat")+SUMIFS('2.3. sz. Mese Óvoda'!D29:O29,'2.3. sz. Mese Óvoda'!$D$5:$O$5,"önként vállalt",'2.3. sz. Mese Óvoda'!$D$3:$O$3,"Módosított előirányzat")+SUMIFS('2.4. sz. Bölcsőde'!D29:M29,'2.4. sz. Bölcsőde'!$D$5:$M$5,"önként vállalt",'2.4. sz. Bölcsőde'!$D$3:$M$3,"Módosított előirányzat")+SUMIFS('2.5. sz. Gyermekjóléti'!D29:Q29,'2.5. sz. Gyermekjóléti'!$D$5:$Q$5,"önként vállalt",'2.5. sz. Gyermekjóléti'!$D$3:$Q$3,"Módosított előirányzat")+SUMIFS('2.6 sz. Területi'!D29:AO29,'2.6 sz. Területi'!$D$5:$AO$5,"önként vállalt",'2.6 sz. Területi'!$D$3:$AO$3,"Módosított előirányzat")+SUMIFS('2.7. sz. Könyvtár'!D29:S29,'2.7. sz. Könyvtár'!$D$5:$S$5,"önként vállalt",'2.7. sz. Könyvtár'!$D$3:$S$3,"Módosított előirányzat")+SUMIFS('2.8. sz. Műv.Ház'!D29:S29,'2.8. sz. Műv.Ház'!$D$5:$S$5,"önként vállalt",'2.8. sz. Műv.Ház'!$D$3:$S$3,"Módosított előirányzat")+SUMIFS('2.9. sz. Szivárvány Ó.'!D29:Q29,'2.9. sz. Szivárvány Ó.'!$D$5:$Q$5,"önként vállalt",'2.9. sz. Szivárvány Ó.'!$D$3:$Q$3,"Módosított előirányzat")</f>
        <v>2222500</v>
      </c>
      <c r="H29" s="7">
        <f>SUMIFS('2.1. sz. PMH'!D29:AA29,'2.1. sz. PMH'!$D$5:$AA$5,"államigazgatási",'2.1. sz. PMH'!$D$3:$AA$3,"Eredeti előirányzat")+SUMIFS('2.2. sz. Hétszínvirág Óvoda'!D29:S29,'2.2. sz. Hétszínvirág Óvoda'!$D$5:$S$5,"államigazgatási",'2.2. sz. Hétszínvirág Óvoda'!$D$3:$S$3,"Eredeti előirányzat")+SUMIFS('2.3. sz. Mese Óvoda'!D29:O29,'2.3. sz. Mese Óvoda'!$D$5:$O$5,"államigazgatási",'2.3. sz. Mese Óvoda'!$D$3:$O$3,"Eredeti előirányzat")+SUMIFS('2.4. sz. Bölcsőde'!D29:M29,'2.4. sz. Bölcsőde'!$D$5:$M$5,"államigazgatási",'2.4. sz. Bölcsőde'!$D$3:$M$3,"Eredeti előirányzat")+SUMIFS('2.5. sz. Gyermekjóléti'!D29:Q29,'2.5. sz. Gyermekjóléti'!$D$5:$Q$5,"államigazgatási",'2.5. sz. Gyermekjóléti'!$D$3:$Q$3,"Eredeti előirányzat")+SUMIFS('2.6 sz. Területi'!D29:AO29,'2.6 sz. Területi'!$D$5:$AO$5,"államigazgatási",'2.6 sz. Területi'!$D$3:$AO$3,"Eredeti előirányzat")+SUMIFS('2.7. sz. Könyvtár'!D29:S29,'2.7. sz. Könyvtár'!$D$5:$S$5,"államigazgatási",'2.7. sz. Könyvtár'!$D$3:$S$3,"Eredeti előirányzat")+SUMIFS('2.8. sz. Műv.Ház'!D29:S29,'2.8. sz. Műv.Ház'!$D$5:$S$5,"államigazgatási",'2.8. sz. Műv.Ház'!$D$3:$S$3,"Eredeti előirányzat")+SUMIFS('2.9. sz. Szivárvány Ó.'!D29:Q29,'2.9. sz. Szivárvány Ó.'!$D$5:$Q$5,"államigazgatási",'2.9. sz. Szivárvány Ó.'!$D$3:$Q$3,"Eredeti előirányzat")</f>
        <v>7240500</v>
      </c>
      <c r="I29" s="7">
        <f>SUMIFS('2.1. sz. PMH'!D29:AA29,'2.1. sz. PMH'!$D$5:$AA$5,"államigazgatási",'2.1. sz. PMH'!$D$3:$AA$3,"Módosított előirányzat")+SUMIFS('2.2. sz. Hétszínvirág Óvoda'!D29:S29,'2.2. sz. Hétszínvirág Óvoda'!$D$5:$S$5,"államigazgatási",'2.2. sz. Hétszínvirág Óvoda'!$D$3:$S$3,"Módosított előirányzat")+SUMIFS('2.3. sz. Mese Óvoda'!D29:O29,'2.3. sz. Mese Óvoda'!$D$5:$O$5,"államigazgatási",'2.3. sz. Mese Óvoda'!$D$3:$O$3,"Módosított előirányzat")+SUMIFS('2.4. sz. Bölcsőde'!D29:M29,'2.4. sz. Bölcsőde'!$D$5:$M$5,"államigazgatási",'2.4. sz. Bölcsőde'!$D$3:$M$3,"Módosított előirányzat")+SUMIFS('2.5. sz. Gyermekjóléti'!D29:Q29,'2.5. sz. Gyermekjóléti'!$D$5:$Q$5,"államigazgatási",'2.5. sz. Gyermekjóléti'!$D$3:$Q$3,"Módosított előirányzat")+SUMIFS('2.6 sz. Területi'!D29:AO29,'2.6 sz. Területi'!$D$5:$AO$5,"államigazgatási",'2.6 sz. Területi'!$D$3:$AO$3,"Módosított előirányzat")+SUMIFS('2.7. sz. Könyvtár'!D29:S29,'2.7. sz. Könyvtár'!$D$5:$S$5,"államigazgatási",'2.7. sz. Könyvtár'!$D$3:$S$3,"Módosított előirányzat")+SUMIFS('2.8. sz. Műv.Ház'!D29:S29,'2.8. sz. Műv.Ház'!$D$5:$S$5,"államigazgatási",'2.8. sz. Műv.Ház'!$D$3:$S$3,"Módosított előirányzat")+SUMIFS('2.9. sz. Szivárvány Ó.'!D29:Q29,'2.9. sz. Szivárvány Ó.'!$D$5:$Q$5,"államigazgatási",'2.9. sz. Szivárvány Ó.'!$D$3:$Q$3,"Módosított előirányzat")</f>
        <v>11280737</v>
      </c>
      <c r="J29" s="7">
        <f t="shared" si="0"/>
        <v>70859015</v>
      </c>
      <c r="K29" s="1180">
        <f t="shared" si="1"/>
        <v>109157133</v>
      </c>
    </row>
    <row r="30" spans="1:12" s="36" customFormat="1" ht="23.25" customHeight="1" x14ac:dyDescent="0.25">
      <c r="A30" s="26" t="s">
        <v>267</v>
      </c>
      <c r="B30" s="34" t="s">
        <v>333</v>
      </c>
      <c r="C30" s="27" t="s">
        <v>31</v>
      </c>
      <c r="D30" s="7">
        <f>SUMIFS('2.1. sz. PMH'!D30:AA30,'2.1. sz. PMH'!$D$5:$AA$5,"kötelező",'2.1. sz. PMH'!$D$3:$AA$3,"Eredeti előirányzat")+SUMIFS('2.2. sz. Hétszínvirág Óvoda'!D30:S30,'2.2. sz. Hétszínvirág Óvoda'!$D$5:$S$5,"kötelező",'2.2. sz. Hétszínvirág Óvoda'!$D$3:$S$3,"Eredeti előirányzat")+SUMIFS('2.3. sz. Mese Óvoda'!D30:O30,'2.3. sz. Mese Óvoda'!$D$5:$O$5,"kötelező",'2.3. sz. Mese Óvoda'!$D$3:$O$3,"Eredeti előirányzat")+SUMIFS('2.4. sz. Bölcsőde'!D30:M30,'2.4. sz. Bölcsőde'!$D$5:$M$5,"kötelező",'2.4. sz. Bölcsőde'!$D$3:$M$3,"Eredeti előirányzat")+SUMIFS('2.5. sz. Gyermekjóléti'!D30:Q30,'2.5. sz. Gyermekjóléti'!$D$5:$Q$5,"kötelező",'2.5. sz. Gyermekjóléti'!$D$3:$Q$3,"Eredeti előirányzat")+SUMIFS('2.6 sz. Területi'!D30:AO30,'2.6 sz. Területi'!$D$5:$AO$5,"kötelező",'2.6 sz. Területi'!$D$3:$AO$3,"Eredeti előirányzat")+SUMIFS('2.7. sz. Könyvtár'!D30:S30,'2.7. sz. Könyvtár'!$D$5:$S$5,"kötelező",'2.7. sz. Könyvtár'!$D$3:$S$3,"Eredeti előirányzat")+SUMIFS('2.8. sz. Műv.Ház'!D30:S30,'2.8. sz. Műv.Ház'!$D$5:$S$5,"kötelező",'2.8. sz. Műv.Ház'!$D$3:$S$3,"Eredeti előirányzat")+SUMIFS('2.9. sz. Szivárvány Ó.'!D30:Q30,'2.9. sz. Szivárvány Ó.'!$D$5:$Q$5,"kötelező",'2.9. sz. Szivárvány Ó.'!$D$3:$Q$3,"Eredeti előirányzat")</f>
        <v>3657493407</v>
      </c>
      <c r="E30" s="7">
        <f>SUMIFS('2.1. sz. PMH'!D30:AA30,'2.1. sz. PMH'!$D$5:$AA$5,"kötelező",'2.1. sz. PMH'!$D$3:$AA$3,"Módosított előirányzat")+SUMIFS('2.2. sz. Hétszínvirág Óvoda'!D30:S30,'2.2. sz. Hétszínvirág Óvoda'!$D$5:$S$5,"kötelező",'2.2. sz. Hétszínvirág Óvoda'!$D$3:$S$3,"Módosított előirányzat")+SUMIFS('2.3. sz. Mese Óvoda'!D30:O30,'2.3. sz. Mese Óvoda'!$D$5:$O$5,"kötelező",'2.3. sz. Mese Óvoda'!$D$3:$O$3,"Módosított előirányzat")+SUMIFS('2.4. sz. Bölcsőde'!D30:M30,'2.4. sz. Bölcsőde'!$D$5:$M$5,"kötelező",'2.4. sz. Bölcsőde'!$D$3:$M$3,"Módosított előirányzat")+SUMIFS('2.5. sz. Gyermekjóléti'!D30:Q30,'2.5. sz. Gyermekjóléti'!$D$5:$Q$5,"kötelező",'2.5. sz. Gyermekjóléti'!$D$3:$Q$3,"Módosított előirányzat")+SUMIFS('2.6 sz. Területi'!D30:AO30,'2.6 sz. Területi'!$D$5:$AO$5,"kötelező",'2.6 sz. Területi'!$D$3:$AO$3,"Módosított előirányzat")+SUMIFS('2.7. sz. Könyvtár'!D30:S30,'2.7. sz. Könyvtár'!$D$5:$S$5,"kötelező",'2.7. sz. Könyvtár'!$D$3:$S$3,"Módosított előirányzat")+SUMIFS('2.8. sz. Műv.Ház'!D30:S30,'2.8. sz. Műv.Ház'!$D$5:$S$5,"kötelező",'2.8. sz. Műv.Ház'!$D$3:$S$3,"Módosított előirányzat")+SUMIFS('2.9. sz. Szivárvány Ó.'!D30:Q30,'2.9. sz. Szivárvány Ó.'!$D$5:$Q$5,"kötelező",'2.9. sz. Szivárvány Ó.'!$D$3:$Q$3,"Módosított előirányzat")</f>
        <v>4118531709</v>
      </c>
      <c r="F30" s="7">
        <f>SUMIFS('2.1. sz. PMH'!D30:AA30,'2.1. sz. PMH'!$D$5:$AA$5,"önként vállalt",'2.1. sz. PMH'!$D$3:$AA$3,"Eredeti előirányzat")+SUMIFS('2.2. sz. Hétszínvirág Óvoda'!D30:S30,'2.2. sz. Hétszínvirág Óvoda'!$D$5:$S$5,"önként vállalt",'2.2. sz. Hétszínvirág Óvoda'!$D$3:$S$3,"Eredeti előirányzat")+SUMIFS('2.3. sz. Mese Óvoda'!D30:O30,'2.3. sz. Mese Óvoda'!$D$5:$O$5,"önként vállalt",'2.3. sz. Mese Óvoda'!$D$3:$O$3,"Eredeti előirányzat")+SUMIFS('2.4. sz. Bölcsőde'!D30:M30,'2.4. sz. Bölcsőde'!$D$5:$M$5,"önként vállalt",'2.4. sz. Bölcsőde'!$D$3:$M$3,"Eredeti előirányzat")+SUMIFS('2.5. sz. Gyermekjóléti'!D30:Q30,'2.5. sz. Gyermekjóléti'!$D$5:$Q$5,"önként vállalt",'2.5. sz. Gyermekjóléti'!$D$3:$Q$3,"Eredeti előirányzat")+SUMIFS('2.6 sz. Területi'!D30:AO30,'2.6 sz. Területi'!$D$5:$AO$5,"önként vállalt",'2.6 sz. Területi'!$D$3:$AO$3,"Eredeti előirányzat")+SUMIFS('2.7. sz. Könyvtár'!D30:S30,'2.7. sz. Könyvtár'!$D$5:$S$5,"önként vállalt",'2.7. sz. Könyvtár'!$D$3:$S$3,"Eredeti előirányzat")+SUMIFS('2.8. sz. Műv.Ház'!D30:S30,'2.8. sz. Műv.Ház'!$D$5:$S$5,"önként vállalt",'2.8. sz. Műv.Ház'!$D$3:$S$3,"Eredeti előirányzat")+SUMIFS('2.9. sz. Szivárvány Ó.'!D30:Q30,'2.9. sz. Szivárvány Ó.'!$D$5:$Q$5,"önként vállalt",'2.9. sz. Szivárvány Ó.'!$D$3:$Q$3,"Eredeti előirányzat")</f>
        <v>129834970</v>
      </c>
      <c r="G30" s="7">
        <f>SUMIFS('2.1. sz. PMH'!D30:AA30,'2.1. sz. PMH'!$D$5:$AA$5,"önként vállalt",'2.1. sz. PMH'!$D$3:$AA$3,"Módosított előirányzat")+SUMIFS('2.2. sz. Hétszínvirág Óvoda'!D30:S30,'2.2. sz. Hétszínvirág Óvoda'!$D$5:$S$5,"önként vállalt",'2.2. sz. Hétszínvirág Óvoda'!$D$3:$S$3,"Módosított előirányzat")+SUMIFS('2.3. sz. Mese Óvoda'!D30:O30,'2.3. sz. Mese Óvoda'!$D$5:$O$5,"önként vállalt",'2.3. sz. Mese Óvoda'!$D$3:$O$3,"Módosított előirányzat")+SUMIFS('2.4. sz. Bölcsőde'!D30:M30,'2.4. sz. Bölcsőde'!$D$5:$M$5,"önként vállalt",'2.4. sz. Bölcsőde'!$D$3:$M$3,"Módosított előirányzat")+SUMIFS('2.5. sz. Gyermekjóléti'!D30:Q30,'2.5. sz. Gyermekjóléti'!$D$5:$Q$5,"önként vállalt",'2.5. sz. Gyermekjóléti'!$D$3:$Q$3,"Módosított előirányzat")+SUMIFS('2.6 sz. Területi'!D30:AO30,'2.6 sz. Területi'!$D$5:$AO$5,"önként vállalt",'2.6 sz. Területi'!$D$3:$AO$3,"Módosított előirányzat")+SUMIFS('2.7. sz. Könyvtár'!D30:S30,'2.7. sz. Könyvtár'!$D$5:$S$5,"önként vállalt",'2.7. sz. Könyvtár'!$D$3:$S$3,"Módosított előirányzat")+SUMIFS('2.8. sz. Műv.Ház'!D30:S30,'2.8. sz. Műv.Ház'!$D$5:$S$5,"önként vállalt",'2.8. sz. Műv.Ház'!$D$3:$S$3,"Módosított előirányzat")+SUMIFS('2.9. sz. Szivárvány Ó.'!D30:Q30,'2.9. sz. Szivárvány Ó.'!$D$5:$Q$5,"önként vállalt",'2.9. sz. Szivárvány Ó.'!$D$3:$Q$3,"Módosított előirányzat")</f>
        <v>135650913</v>
      </c>
      <c r="H30" s="7">
        <f>SUMIFS('2.1. sz. PMH'!D30:AA30,'2.1. sz. PMH'!$D$5:$AA$5,"államigazgatási",'2.1. sz. PMH'!$D$3:$AA$3,"Eredeti előirányzat")+SUMIFS('2.2. sz. Hétszínvirág Óvoda'!D30:S30,'2.2. sz. Hétszínvirág Óvoda'!$D$5:$S$5,"államigazgatási",'2.2. sz. Hétszínvirág Óvoda'!$D$3:$S$3,"Eredeti előirányzat")+SUMIFS('2.3. sz. Mese Óvoda'!D30:O30,'2.3. sz. Mese Óvoda'!$D$5:$O$5,"államigazgatási",'2.3. sz. Mese Óvoda'!$D$3:$O$3,"Eredeti előirányzat")+SUMIFS('2.4. sz. Bölcsőde'!D30:M30,'2.4. sz. Bölcsőde'!$D$5:$M$5,"államigazgatási",'2.4. sz. Bölcsőde'!$D$3:$M$3,"Eredeti előirányzat")+SUMIFS('2.5. sz. Gyermekjóléti'!D30:Q30,'2.5. sz. Gyermekjóléti'!$D$5:$Q$5,"államigazgatási",'2.5. sz. Gyermekjóléti'!$D$3:$Q$3,"Eredeti előirányzat")+SUMIFS('2.6 sz. Területi'!D30:AO30,'2.6 sz. Területi'!$D$5:$AO$5,"államigazgatási",'2.6 sz. Területi'!$D$3:$AO$3,"Eredeti előirányzat")+SUMIFS('2.7. sz. Könyvtár'!D30:S30,'2.7. sz. Könyvtár'!$D$5:$S$5,"államigazgatási",'2.7. sz. Könyvtár'!$D$3:$S$3,"Eredeti előirányzat")+SUMIFS('2.8. sz. Műv.Ház'!D30:S30,'2.8. sz. Műv.Ház'!$D$5:$S$5,"államigazgatási",'2.8. sz. Műv.Ház'!$D$3:$S$3,"Eredeti előirányzat")+SUMIFS('2.9. sz. Szivárvány Ó.'!D30:Q30,'2.9. sz. Szivárvány Ó.'!$D$5:$Q$5,"államigazgatási",'2.9. sz. Szivárvány Ó.'!$D$3:$Q$3,"Eredeti előirányzat")</f>
        <v>128958177</v>
      </c>
      <c r="I30" s="7">
        <f>SUMIFS('2.1. sz. PMH'!D30:AA30,'2.1. sz. PMH'!$D$5:$AA$5,"államigazgatási",'2.1. sz. PMH'!$D$3:$AA$3,"Módosított előirányzat")+SUMIFS('2.2. sz. Hétszínvirág Óvoda'!D30:S30,'2.2. sz. Hétszínvirág Óvoda'!$D$5:$S$5,"államigazgatási",'2.2. sz. Hétszínvirág Óvoda'!$D$3:$S$3,"Módosított előirányzat")+SUMIFS('2.3. sz. Mese Óvoda'!D30:O30,'2.3. sz. Mese Óvoda'!$D$5:$O$5,"államigazgatási",'2.3. sz. Mese Óvoda'!$D$3:$O$3,"Módosított előirányzat")+SUMIFS('2.4. sz. Bölcsőde'!D30:M30,'2.4. sz. Bölcsőde'!$D$5:$M$5,"államigazgatási",'2.4. sz. Bölcsőde'!$D$3:$M$3,"Módosított előirányzat")+SUMIFS('2.5. sz. Gyermekjóléti'!D30:Q30,'2.5. sz. Gyermekjóléti'!$D$5:$Q$5,"államigazgatási",'2.5. sz. Gyermekjóléti'!$D$3:$Q$3,"Módosított előirányzat")+SUMIFS('2.6 sz. Területi'!D30:AO30,'2.6 sz. Területi'!$D$5:$AO$5,"államigazgatási",'2.6 sz. Területi'!$D$3:$AO$3,"Módosított előirányzat")+SUMIFS('2.7. sz. Könyvtár'!D30:S30,'2.7. sz. Könyvtár'!$D$5:$S$5,"államigazgatási",'2.7. sz. Könyvtár'!$D$3:$S$3,"Módosított előirányzat")+SUMIFS('2.8. sz. Műv.Ház'!D30:S30,'2.8. sz. Műv.Ház'!$D$5:$S$5,"államigazgatási",'2.8. sz. Műv.Ház'!$D$3:$S$3,"Módosított előirányzat")+SUMIFS('2.9. sz. Szivárvány Ó.'!D30:Q30,'2.9. sz. Szivárvány Ó.'!$D$5:$Q$5,"államigazgatási",'2.9. sz. Szivárvány Ó.'!$D$3:$Q$3,"Módosított előirányzat")</f>
        <v>169106866</v>
      </c>
      <c r="J30" s="7">
        <f t="shared" si="0"/>
        <v>3916286554</v>
      </c>
      <c r="K30" s="1180">
        <f>E30+G30+I30</f>
        <v>4423289488</v>
      </c>
    </row>
    <row r="31" spans="1:12" ht="23.25" customHeight="1" x14ac:dyDescent="0.25">
      <c r="A31" s="26" t="s">
        <v>268</v>
      </c>
      <c r="B31" s="28" t="s">
        <v>52</v>
      </c>
      <c r="C31" s="32" t="s">
        <v>215</v>
      </c>
      <c r="D31" s="6">
        <f>SUMIFS('2.1. sz. PMH'!D31:AA31,'2.1. sz. PMH'!$D$5:$AA$5,"kötelező",'2.1. sz. PMH'!$D$3:$AA$3,"Eredeti előirányzat")+SUMIFS('2.2. sz. Hétszínvirág Óvoda'!D31:S31,'2.2. sz. Hétszínvirág Óvoda'!$D$5:$S$5,"kötelező",'2.2. sz. Hétszínvirág Óvoda'!$D$3:$S$3,"Eredeti előirányzat")+SUMIFS('2.3. sz. Mese Óvoda'!D31:O31,'2.3. sz. Mese Óvoda'!$D$5:$O$5,"kötelező",'2.3. sz. Mese Óvoda'!$D$3:$O$3,"Eredeti előirányzat")+SUMIFS('2.4. sz. Bölcsőde'!D31:M31,'2.4. sz. Bölcsőde'!$D$5:$M$5,"kötelező",'2.4. sz. Bölcsőde'!$D$3:$M$3,"Eredeti előirányzat")+SUMIFS('2.5. sz. Gyermekjóléti'!D31:Q31,'2.5. sz. Gyermekjóléti'!$D$5:$Q$5,"kötelező",'2.5. sz. Gyermekjóléti'!$D$3:$Q$3,"Eredeti előirányzat")+SUMIFS('2.6 sz. Területi'!D31:AO31,'2.6 sz. Területi'!$D$5:$AO$5,"kötelező",'2.6 sz. Területi'!$D$3:$AO$3,"Eredeti előirányzat")+SUMIFS('2.7. sz. Könyvtár'!D31:S31,'2.7. sz. Könyvtár'!$D$5:$S$5,"kötelező",'2.7. sz. Könyvtár'!$D$3:$S$3,"Eredeti előirányzat")+SUMIFS('2.8. sz. Műv.Ház'!D31:S31,'2.8. sz. Műv.Ház'!$D$5:$S$5,"kötelező",'2.8. sz. Műv.Ház'!$D$3:$S$3,"Eredeti előirányzat")+SUMIFS('2.9. sz. Szivárvány Ó.'!D31:Q31,'2.9. sz. Szivárvány Ó.'!$D$5:$Q$5,"kötelező",'2.9. sz. Szivárvány Ó.'!$D$3:$Q$3,"Eredeti előirányzat")</f>
        <v>87000000</v>
      </c>
      <c r="E31" s="6">
        <f>SUMIFS('2.1. sz. PMH'!D31:AA31,'2.1. sz. PMH'!$D$5:$AA$5,"kötelező",'2.1. sz. PMH'!$D$3:$AA$3,"Módosított előirányzat")+SUMIFS('2.2. sz. Hétszínvirág Óvoda'!D31:S31,'2.2. sz. Hétszínvirág Óvoda'!$D$5:$S$5,"kötelező",'2.2. sz. Hétszínvirág Óvoda'!$D$3:$S$3,"Módosított előirányzat")+SUMIFS('2.3. sz. Mese Óvoda'!D31:O31,'2.3. sz. Mese Óvoda'!$D$5:$O$5,"kötelező",'2.3. sz. Mese Óvoda'!$D$3:$O$3,"Módosított előirányzat")+SUMIFS('2.4. sz. Bölcsőde'!D31:M31,'2.4. sz. Bölcsőde'!$D$5:$M$5,"kötelező",'2.4. sz. Bölcsőde'!$D$3:$M$3,"Módosított előirányzat")+SUMIFS('2.5. sz. Gyermekjóléti'!D31:Q31,'2.5. sz. Gyermekjóléti'!$D$5:$Q$5,"kötelező",'2.5. sz. Gyermekjóléti'!$D$3:$Q$3,"Módosított előirányzat")+SUMIFS('2.6 sz. Területi'!D31:AO31,'2.6 sz. Területi'!$D$5:$AO$5,"kötelező",'2.6 sz. Területi'!$D$3:$AO$3,"Módosított előirányzat")+SUMIFS('2.7. sz. Könyvtár'!D31:S31,'2.7. sz. Könyvtár'!$D$5:$S$5,"kötelező",'2.7. sz. Könyvtár'!$D$3:$S$3,"Módosított előirányzat")+SUMIFS('2.8. sz. Műv.Ház'!D31:S31,'2.8. sz. Műv.Ház'!$D$5:$S$5,"kötelező",'2.8. sz. Műv.Ház'!$D$3:$S$3,"Módosított előirányzat")+SUMIFS('2.9. sz. Szivárvány Ó.'!D31:Q31,'2.9. sz. Szivárvány Ó.'!$D$5:$Q$5,"kötelező",'2.9. sz. Szivárvány Ó.'!$D$3:$Q$3,"Módosított előirányzat")</f>
        <v>110282400</v>
      </c>
      <c r="F31" s="6">
        <f>SUMIFS('2.1. sz. PMH'!D31:AA31,'2.1. sz. PMH'!$D$5:$AA$5,"önként vállalt",'2.1. sz. PMH'!$D$3:$AA$3,"Eredeti előirányzat")+SUMIFS('2.2. sz. Hétszínvirág Óvoda'!D31:S31,'2.2. sz. Hétszínvirág Óvoda'!$D$5:$S$5,"önként vállalt",'2.2. sz. Hétszínvirág Óvoda'!$D$3:$S$3,"Eredeti előirányzat")+SUMIFS('2.3. sz. Mese Óvoda'!D31:O31,'2.3. sz. Mese Óvoda'!$D$5:$O$5,"önként vállalt",'2.3. sz. Mese Óvoda'!$D$3:$O$3,"Eredeti előirányzat")+SUMIFS('2.4. sz. Bölcsőde'!D31:M31,'2.4. sz. Bölcsőde'!$D$5:$M$5,"önként vállalt",'2.4. sz. Bölcsőde'!$D$3:$M$3,"Eredeti előirányzat")+SUMIFS('2.5. sz. Gyermekjóléti'!D31:Q31,'2.5. sz. Gyermekjóléti'!$D$5:$Q$5,"önként vállalt",'2.5. sz. Gyermekjóléti'!$D$3:$Q$3,"Eredeti előirányzat")+SUMIFS('2.6 sz. Területi'!D31:AO31,'2.6 sz. Területi'!$D$5:$AO$5,"önként vállalt",'2.6 sz. Területi'!$D$3:$AO$3,"Eredeti előirányzat")+SUMIFS('2.7. sz. Könyvtár'!D31:S31,'2.7. sz. Könyvtár'!$D$5:$S$5,"önként vállalt",'2.7. sz. Könyvtár'!$D$3:$S$3,"Eredeti előirányzat")+SUMIFS('2.8. sz. Műv.Ház'!D31:S31,'2.8. sz. Műv.Ház'!$D$5:$S$5,"önként vállalt",'2.8. sz. Műv.Ház'!$D$3:$S$3,"Eredeti előirányzat")+SUMIFS('2.9. sz. Szivárvány Ó.'!D31:Q31,'2.9. sz. Szivárvány Ó.'!$D$5:$Q$5,"önként vállalt",'2.9. sz. Szivárvány Ó.'!$D$3:$Q$3,"Eredeti előirányzat")</f>
        <v>0</v>
      </c>
      <c r="G31" s="6">
        <f>SUMIFS('2.1. sz. PMH'!D31:AA31,'2.1. sz. PMH'!$D$5:$AA$5,"önként vállalt",'2.1. sz. PMH'!$D$3:$AA$3,"Módosított előirányzat")+SUMIFS('2.2. sz. Hétszínvirág Óvoda'!D31:S31,'2.2. sz. Hétszínvirág Óvoda'!$D$5:$S$5,"önként vállalt",'2.2. sz. Hétszínvirág Óvoda'!$D$3:$S$3,"Módosított előirányzat")+SUMIFS('2.3. sz. Mese Óvoda'!D31:O31,'2.3. sz. Mese Óvoda'!$D$5:$O$5,"önként vállalt",'2.3. sz. Mese Óvoda'!$D$3:$O$3,"Módosított előirányzat")+SUMIFS('2.4. sz. Bölcsőde'!D31:M31,'2.4. sz. Bölcsőde'!$D$5:$M$5,"önként vállalt",'2.4. sz. Bölcsőde'!$D$3:$M$3,"Módosított előirányzat")+SUMIFS('2.5. sz. Gyermekjóléti'!D31:Q31,'2.5. sz. Gyermekjóléti'!$D$5:$Q$5,"önként vállalt",'2.5. sz. Gyermekjóléti'!$D$3:$Q$3,"Módosított előirányzat")+SUMIFS('2.6 sz. Területi'!D31:AO31,'2.6 sz. Területi'!$D$5:$AO$5,"önként vállalt",'2.6 sz. Területi'!$D$3:$AO$3,"Módosított előirányzat")+SUMIFS('2.7. sz. Könyvtár'!D31:S31,'2.7. sz. Könyvtár'!$D$5:$S$5,"önként vállalt",'2.7. sz. Könyvtár'!$D$3:$S$3,"Módosított előirányzat")+SUMIFS('2.8. sz. Műv.Ház'!D31:S31,'2.8. sz. Műv.Ház'!$D$5:$S$5,"önként vállalt",'2.8. sz. Műv.Ház'!$D$3:$S$3,"Módosított előirányzat")+SUMIFS('2.9. sz. Szivárvány Ó.'!D31:Q31,'2.9. sz. Szivárvány Ó.'!$D$5:$Q$5,"önként vállalt",'2.9. sz. Szivárvány Ó.'!$D$3:$Q$3,"Módosított előirányzat")</f>
        <v>0</v>
      </c>
      <c r="H31" s="6">
        <f>SUMIFS('2.1. sz. PMH'!D31:AA31,'2.1. sz. PMH'!$D$5:$AA$5,"államigazgatási",'2.1. sz. PMH'!$D$3:$AA$3,"Eredeti előirányzat")+SUMIFS('2.2. sz. Hétszínvirág Óvoda'!D31:S31,'2.2. sz. Hétszínvirág Óvoda'!$D$5:$S$5,"államigazgatási",'2.2. sz. Hétszínvirág Óvoda'!$D$3:$S$3,"Eredeti előirányzat")+SUMIFS('2.3. sz. Mese Óvoda'!D31:O31,'2.3. sz. Mese Óvoda'!$D$5:$O$5,"államigazgatási",'2.3. sz. Mese Óvoda'!$D$3:$O$3,"Eredeti előirányzat")+SUMIFS('2.4. sz. Bölcsőde'!D31:M31,'2.4. sz. Bölcsőde'!$D$5:$M$5,"államigazgatási",'2.4. sz. Bölcsőde'!$D$3:$M$3,"Eredeti előirányzat")+SUMIFS('2.5. sz. Gyermekjóléti'!D31:Q31,'2.5. sz. Gyermekjóléti'!$D$5:$Q$5,"államigazgatási",'2.5. sz. Gyermekjóléti'!$D$3:$Q$3,"Eredeti előirányzat")+SUMIFS('2.6 sz. Területi'!D31:AO31,'2.6 sz. Területi'!$D$5:$AO$5,"államigazgatási",'2.6 sz. Területi'!$D$3:$AO$3,"Eredeti előirányzat")+SUMIFS('2.7. sz. Könyvtár'!D31:S31,'2.7. sz. Könyvtár'!$D$5:$S$5,"államigazgatási",'2.7. sz. Könyvtár'!$D$3:$S$3,"Eredeti előirányzat")+SUMIFS('2.8. sz. Műv.Ház'!D31:S31,'2.8. sz. Műv.Ház'!$D$5:$S$5,"államigazgatási",'2.8. sz. Műv.Ház'!$D$3:$S$3,"Eredeti előirányzat")+SUMIFS('2.9. sz. Szivárvány Ó.'!D31:Q31,'2.9. sz. Szivárvány Ó.'!$D$5:$Q$5,"államigazgatási",'2.9. sz. Szivárvány Ó.'!$D$3:$Q$3,"Eredeti előirányzat")</f>
        <v>0</v>
      </c>
      <c r="I31" s="6">
        <f>SUMIFS('2.1. sz. PMH'!D31:AA31,'2.1. sz. PMH'!$D$5:$AA$5,"államigazgatási",'2.1. sz. PMH'!$D$3:$AA$3,"Módosított előirányzat")+SUMIFS('2.2. sz. Hétszínvirág Óvoda'!D31:S31,'2.2. sz. Hétszínvirág Óvoda'!$D$5:$S$5,"államigazgatási",'2.2. sz. Hétszínvirág Óvoda'!$D$3:$S$3,"Módosított előirányzat")+SUMIFS('2.3. sz. Mese Óvoda'!D31:O31,'2.3. sz. Mese Óvoda'!$D$5:$O$5,"államigazgatási",'2.3. sz. Mese Óvoda'!$D$3:$O$3,"Módosított előirányzat")+SUMIFS('2.4. sz. Bölcsőde'!D31:M31,'2.4. sz. Bölcsőde'!$D$5:$M$5,"államigazgatási",'2.4. sz. Bölcsőde'!$D$3:$M$3,"Módosított előirányzat")+SUMIFS('2.5. sz. Gyermekjóléti'!D31:Q31,'2.5. sz. Gyermekjóléti'!$D$5:$Q$5,"államigazgatási",'2.5. sz. Gyermekjóléti'!$D$3:$Q$3,"Módosított előirányzat")+SUMIFS('2.6 sz. Területi'!D31:AO31,'2.6 sz. Területi'!$D$5:$AO$5,"államigazgatási",'2.6 sz. Területi'!$D$3:$AO$3,"Módosított előirányzat")+SUMIFS('2.7. sz. Könyvtár'!D31:S31,'2.7. sz. Könyvtár'!$D$5:$S$5,"államigazgatási",'2.7. sz. Könyvtár'!$D$3:$S$3,"Módosított előirányzat")+SUMIFS('2.8. sz. Műv.Ház'!D31:S31,'2.8. sz. Műv.Ház'!$D$5:$S$5,"államigazgatási",'2.8. sz. Műv.Ház'!$D$3:$S$3,"Módosított előirányzat")+SUMIFS('2.9. sz. Szivárvány Ó.'!D31:Q31,'2.9. sz. Szivárvány Ó.'!$D$5:$Q$5,"államigazgatási",'2.9. sz. Szivárvány Ó.'!$D$3:$Q$3,"Módosított előirányzat")</f>
        <v>25517026</v>
      </c>
      <c r="J31" s="6">
        <f t="shared" si="0"/>
        <v>87000000</v>
      </c>
      <c r="K31" s="1179">
        <f t="shared" si="1"/>
        <v>135799426</v>
      </c>
    </row>
    <row r="32" spans="1:12" ht="23.25" customHeight="1" x14ac:dyDescent="0.25">
      <c r="A32" s="26" t="s">
        <v>269</v>
      </c>
      <c r="B32" s="28" t="s">
        <v>226</v>
      </c>
      <c r="C32" s="32" t="s">
        <v>216</v>
      </c>
      <c r="D32" s="6">
        <f>SUMIFS('2.1. sz. PMH'!D32:AA32,'2.1. sz. PMH'!$D$5:$AA$5,"kötelező",'2.1. sz. PMH'!$D$3:$AA$3,"Eredeti előirányzat")+SUMIFS('2.2. sz. Hétszínvirág Óvoda'!D32:S32,'2.2. sz. Hétszínvirág Óvoda'!$D$5:$S$5,"kötelező",'2.2. sz. Hétszínvirág Óvoda'!$D$3:$S$3,"Eredeti előirányzat")+SUMIFS('2.3. sz. Mese Óvoda'!D32:O32,'2.3. sz. Mese Óvoda'!$D$5:$O$5,"kötelező",'2.3. sz. Mese Óvoda'!$D$3:$O$3,"Eredeti előirányzat")+SUMIFS('2.4. sz. Bölcsőde'!D32:M32,'2.4. sz. Bölcsőde'!$D$5:$M$5,"kötelező",'2.4. sz. Bölcsőde'!$D$3:$M$3,"Eredeti előirányzat")+SUMIFS('2.5. sz. Gyermekjóléti'!D32:Q32,'2.5. sz. Gyermekjóléti'!$D$5:$Q$5,"kötelező",'2.5. sz. Gyermekjóléti'!$D$3:$Q$3,"Eredeti előirányzat")+SUMIFS('2.6 sz. Területi'!D32:AO32,'2.6 sz. Területi'!$D$5:$AO$5,"kötelező",'2.6 sz. Területi'!$D$3:$AO$3,"Eredeti előirányzat")+SUMIFS('2.7. sz. Könyvtár'!D32:S32,'2.7. sz. Könyvtár'!$D$5:$S$5,"kötelező",'2.7. sz. Könyvtár'!$D$3:$S$3,"Eredeti előirányzat")+SUMIFS('2.8. sz. Műv.Ház'!D32:S32,'2.8. sz. Műv.Ház'!$D$5:$S$5,"kötelező",'2.8. sz. Műv.Ház'!$D$3:$S$3,"Eredeti előirányzat")+SUMIFS('2.9. sz. Szivárvány Ó.'!D32:Q32,'2.9. sz. Szivárvány Ó.'!$D$5:$Q$5,"kötelező",'2.9. sz. Szivárvány Ó.'!$D$3:$Q$3,"Eredeti előirányzat")</f>
        <v>0</v>
      </c>
      <c r="E32" s="6">
        <f>SUMIFS('2.1. sz. PMH'!D32:AA32,'2.1. sz. PMH'!$D$5:$AA$5,"kötelező",'2.1. sz. PMH'!$D$3:$AA$3,"Módosított előirányzat")+SUMIFS('2.2. sz. Hétszínvirág Óvoda'!D32:S32,'2.2. sz. Hétszínvirág Óvoda'!$D$5:$S$5,"kötelező",'2.2. sz. Hétszínvirág Óvoda'!$D$3:$S$3,"Módosított előirányzat")+SUMIFS('2.3. sz. Mese Óvoda'!D32:O32,'2.3. sz. Mese Óvoda'!$D$5:$O$5,"kötelező",'2.3. sz. Mese Óvoda'!$D$3:$O$3,"Módosított előirányzat")+SUMIFS('2.4. sz. Bölcsőde'!D32:M32,'2.4. sz. Bölcsőde'!$D$5:$M$5,"kötelező",'2.4. sz. Bölcsőde'!$D$3:$M$3,"Módosított előirányzat")+SUMIFS('2.5. sz. Gyermekjóléti'!D32:Q32,'2.5. sz. Gyermekjóléti'!$D$5:$Q$5,"kötelező",'2.5. sz. Gyermekjóléti'!$D$3:$Q$3,"Módosított előirányzat")+SUMIFS('2.6 sz. Területi'!D32:AO32,'2.6 sz. Területi'!$D$5:$AO$5,"kötelező",'2.6 sz. Területi'!$D$3:$AO$3,"Módosított előirányzat")+SUMIFS('2.7. sz. Könyvtár'!D32:S32,'2.7. sz. Könyvtár'!$D$5:$S$5,"kötelező",'2.7. sz. Könyvtár'!$D$3:$S$3,"Módosított előirányzat")+SUMIFS('2.8. sz. Műv.Ház'!D32:S32,'2.8. sz. Műv.Ház'!$D$5:$S$5,"kötelező",'2.8. sz. Műv.Ház'!$D$3:$S$3,"Módosított előirányzat")+SUMIFS('2.9. sz. Szivárvány Ó.'!D32:Q32,'2.9. sz. Szivárvány Ó.'!$D$5:$Q$5,"kötelező",'2.9. sz. Szivárvány Ó.'!$D$3:$Q$3,"Módosított előirányzat")</f>
        <v>0</v>
      </c>
      <c r="F32" s="6">
        <f>SUMIFS('2.1. sz. PMH'!D32:AA32,'2.1. sz. PMH'!$D$5:$AA$5,"önként vállalt",'2.1. sz. PMH'!$D$3:$AA$3,"Eredeti előirányzat")+SUMIFS('2.2. sz. Hétszínvirág Óvoda'!D32:S32,'2.2. sz. Hétszínvirág Óvoda'!$D$5:$S$5,"önként vállalt",'2.2. sz. Hétszínvirág Óvoda'!$D$3:$S$3,"Eredeti előirányzat")+SUMIFS('2.3. sz. Mese Óvoda'!D32:O32,'2.3. sz. Mese Óvoda'!$D$5:$O$5,"önként vállalt",'2.3. sz. Mese Óvoda'!$D$3:$O$3,"Eredeti előirányzat")+SUMIFS('2.4. sz. Bölcsőde'!D32:M32,'2.4. sz. Bölcsőde'!$D$5:$M$5,"önként vállalt",'2.4. sz. Bölcsőde'!$D$3:$M$3,"Eredeti előirányzat")+SUMIFS('2.5. sz. Gyermekjóléti'!D32:Q32,'2.5. sz. Gyermekjóléti'!$D$5:$Q$5,"önként vállalt",'2.5. sz. Gyermekjóléti'!$D$3:$Q$3,"Eredeti előirányzat")+SUMIFS('2.6 sz. Területi'!D32:AO32,'2.6 sz. Területi'!$D$5:$AO$5,"önként vállalt",'2.6 sz. Területi'!$D$3:$AO$3,"Eredeti előirányzat")+SUMIFS('2.7. sz. Könyvtár'!D32:S32,'2.7. sz. Könyvtár'!$D$5:$S$5,"önként vállalt",'2.7. sz. Könyvtár'!$D$3:$S$3,"Eredeti előirányzat")+SUMIFS('2.8. sz. Műv.Ház'!D32:S32,'2.8. sz. Műv.Ház'!$D$5:$S$5,"önként vállalt",'2.8. sz. Műv.Ház'!$D$3:$S$3,"Eredeti előirányzat")+SUMIFS('2.9. sz. Szivárvány Ó.'!D32:Q32,'2.9. sz. Szivárvány Ó.'!$D$5:$Q$5,"önként vállalt",'2.9. sz. Szivárvány Ó.'!$D$3:$Q$3,"Eredeti előirányzat")</f>
        <v>0</v>
      </c>
      <c r="G32" s="6">
        <f>SUMIFS('2.1. sz. PMH'!D32:AA32,'2.1. sz. PMH'!$D$5:$AA$5,"önként vállalt",'2.1. sz. PMH'!$D$3:$AA$3,"Módosított előirányzat")+SUMIFS('2.2. sz. Hétszínvirág Óvoda'!D32:S32,'2.2. sz. Hétszínvirág Óvoda'!$D$5:$S$5,"önként vállalt",'2.2. sz. Hétszínvirág Óvoda'!$D$3:$S$3,"Módosított előirányzat")+SUMIFS('2.3. sz. Mese Óvoda'!D32:O32,'2.3. sz. Mese Óvoda'!$D$5:$O$5,"önként vállalt",'2.3. sz. Mese Óvoda'!$D$3:$O$3,"Módosított előirányzat")+SUMIFS('2.4. sz. Bölcsőde'!D32:M32,'2.4. sz. Bölcsőde'!$D$5:$M$5,"önként vállalt",'2.4. sz. Bölcsőde'!$D$3:$M$3,"Módosított előirányzat")+SUMIFS('2.5. sz. Gyermekjóléti'!D32:Q32,'2.5. sz. Gyermekjóléti'!$D$5:$Q$5,"önként vállalt",'2.5. sz. Gyermekjóléti'!$D$3:$Q$3,"Módosított előirányzat")+SUMIFS('2.6 sz. Területi'!D32:AO32,'2.6 sz. Területi'!$D$5:$AO$5,"önként vállalt",'2.6 sz. Területi'!$D$3:$AO$3,"Módosított előirányzat")+SUMIFS('2.7. sz. Könyvtár'!D32:S32,'2.7. sz. Könyvtár'!$D$5:$S$5,"önként vállalt",'2.7. sz. Könyvtár'!$D$3:$S$3,"Módosított előirányzat")+SUMIFS('2.8. sz. Műv.Ház'!D32:S32,'2.8. sz. Műv.Ház'!$D$5:$S$5,"önként vállalt",'2.8. sz. Műv.Ház'!$D$3:$S$3,"Módosított előirányzat")+SUMIFS('2.9. sz. Szivárvány Ó.'!D32:Q32,'2.9. sz. Szivárvány Ó.'!$D$5:$Q$5,"önként vállalt",'2.9. sz. Szivárvány Ó.'!$D$3:$Q$3,"Módosított előirányzat")</f>
        <v>0</v>
      </c>
      <c r="H32" s="6">
        <f>SUMIFS('2.1. sz. PMH'!D32:AA32,'2.1. sz. PMH'!$D$5:$AA$5,"államigazgatási",'2.1. sz. PMH'!$D$3:$AA$3,"Eredeti előirányzat")+SUMIFS('2.2. sz. Hétszínvirág Óvoda'!D32:S32,'2.2. sz. Hétszínvirág Óvoda'!$D$5:$S$5,"államigazgatási",'2.2. sz. Hétszínvirág Óvoda'!$D$3:$S$3,"Eredeti előirányzat")+SUMIFS('2.3. sz. Mese Óvoda'!D32:O32,'2.3. sz. Mese Óvoda'!$D$5:$O$5,"államigazgatási",'2.3. sz. Mese Óvoda'!$D$3:$O$3,"Eredeti előirányzat")+SUMIFS('2.4. sz. Bölcsőde'!D32:M32,'2.4. sz. Bölcsőde'!$D$5:$M$5,"államigazgatási",'2.4. sz. Bölcsőde'!$D$3:$M$3,"Eredeti előirányzat")+SUMIFS('2.5. sz. Gyermekjóléti'!D32:Q32,'2.5. sz. Gyermekjóléti'!$D$5:$Q$5,"államigazgatási",'2.5. sz. Gyermekjóléti'!$D$3:$Q$3,"Eredeti előirányzat")+SUMIFS('2.6 sz. Területi'!D32:AO32,'2.6 sz. Területi'!$D$5:$AO$5,"államigazgatási",'2.6 sz. Területi'!$D$3:$AO$3,"Eredeti előirányzat")+SUMIFS('2.7. sz. Könyvtár'!D32:S32,'2.7. sz. Könyvtár'!$D$5:$S$5,"államigazgatási",'2.7. sz. Könyvtár'!$D$3:$S$3,"Eredeti előirányzat")+SUMIFS('2.8. sz. Műv.Ház'!D32:S32,'2.8. sz. Műv.Ház'!$D$5:$S$5,"államigazgatási",'2.8. sz. Műv.Ház'!$D$3:$S$3,"Eredeti előirányzat")+SUMIFS('2.9. sz. Szivárvány Ó.'!D32:Q32,'2.9. sz. Szivárvány Ó.'!$D$5:$Q$5,"államigazgatási",'2.9. sz. Szivárvány Ó.'!$D$3:$Q$3,"Eredeti előirányzat")</f>
        <v>0</v>
      </c>
      <c r="I32" s="6">
        <f>SUMIFS('2.1. sz. PMH'!D32:AA32,'2.1. sz. PMH'!$D$5:$AA$5,"államigazgatási",'2.1. sz. PMH'!$D$3:$AA$3,"Módosított előirányzat")+SUMIFS('2.2. sz. Hétszínvirág Óvoda'!D32:S32,'2.2. sz. Hétszínvirág Óvoda'!$D$5:$S$5,"államigazgatási",'2.2. sz. Hétszínvirág Óvoda'!$D$3:$S$3,"Módosított előirányzat")+SUMIFS('2.3. sz. Mese Óvoda'!D32:O32,'2.3. sz. Mese Óvoda'!$D$5:$O$5,"államigazgatási",'2.3. sz. Mese Óvoda'!$D$3:$O$3,"Módosított előirányzat")+SUMIFS('2.4. sz. Bölcsőde'!D32:M32,'2.4. sz. Bölcsőde'!$D$5:$M$5,"államigazgatási",'2.4. sz. Bölcsőde'!$D$3:$M$3,"Módosított előirányzat")+SUMIFS('2.5. sz. Gyermekjóléti'!D32:Q32,'2.5. sz. Gyermekjóléti'!$D$5:$Q$5,"államigazgatási",'2.5. sz. Gyermekjóléti'!$D$3:$Q$3,"Módosított előirányzat")+SUMIFS('2.6 sz. Területi'!D32:AO32,'2.6 sz. Területi'!$D$5:$AO$5,"államigazgatási",'2.6 sz. Területi'!$D$3:$AO$3,"Módosított előirányzat")+SUMIFS('2.7. sz. Könyvtár'!D32:S32,'2.7. sz. Könyvtár'!$D$5:$S$5,"államigazgatási",'2.7. sz. Könyvtár'!$D$3:$S$3,"Módosított előirányzat")+SUMIFS('2.8. sz. Műv.Ház'!D32:S32,'2.8. sz. Műv.Ház'!$D$5:$S$5,"államigazgatási",'2.8. sz. Műv.Ház'!$D$3:$S$3,"Módosított előirányzat")+SUMIFS('2.9. sz. Szivárvány Ó.'!D32:Q32,'2.9. sz. Szivárvány Ó.'!$D$5:$Q$5,"államigazgatási",'2.9. sz. Szivárvány Ó.'!$D$3:$Q$3,"Módosított előirányzat")</f>
        <v>0</v>
      </c>
      <c r="J32" s="6">
        <f t="shared" si="0"/>
        <v>0</v>
      </c>
      <c r="K32" s="1179">
        <f t="shared" si="1"/>
        <v>0</v>
      </c>
    </row>
    <row r="33" spans="1:12" ht="23.25" customHeight="1" x14ac:dyDescent="0.25">
      <c r="A33" s="26" t="s">
        <v>270</v>
      </c>
      <c r="B33" s="28" t="s">
        <v>225</v>
      </c>
      <c r="C33" s="32" t="s">
        <v>217</v>
      </c>
      <c r="D33" s="6">
        <f>SUMIFS('2.1. sz. PMH'!D33:AA33,'2.1. sz. PMH'!$D$5:$AA$5,"kötelező",'2.1. sz. PMH'!$D$3:$AA$3,"Eredeti előirányzat")+SUMIFS('2.2. sz. Hétszínvirág Óvoda'!D33:S33,'2.2. sz. Hétszínvirág Óvoda'!$D$5:$S$5,"kötelező",'2.2. sz. Hétszínvirág Óvoda'!$D$3:$S$3,"Eredeti előirányzat")+SUMIFS('2.3. sz. Mese Óvoda'!D33:O33,'2.3. sz. Mese Óvoda'!$D$5:$O$5,"kötelező",'2.3. sz. Mese Óvoda'!$D$3:$O$3,"Eredeti előirányzat")+SUMIFS('2.4. sz. Bölcsőde'!D33:M33,'2.4. sz. Bölcsőde'!$D$5:$M$5,"kötelező",'2.4. sz. Bölcsőde'!$D$3:$M$3,"Eredeti előirányzat")+SUMIFS('2.5. sz. Gyermekjóléti'!D33:Q33,'2.5. sz. Gyermekjóléti'!$D$5:$Q$5,"kötelező",'2.5. sz. Gyermekjóléti'!$D$3:$Q$3,"Eredeti előirányzat")+SUMIFS('2.6 sz. Területi'!D33:AO33,'2.6 sz. Területi'!$D$5:$AO$5,"kötelező",'2.6 sz. Területi'!$D$3:$AO$3,"Eredeti előirányzat")+SUMIFS('2.7. sz. Könyvtár'!D33:S33,'2.7. sz. Könyvtár'!$D$5:$S$5,"kötelező",'2.7. sz. Könyvtár'!$D$3:$S$3,"Eredeti előirányzat")+SUMIFS('2.8. sz. Műv.Ház'!D33:S33,'2.8. sz. Műv.Ház'!$D$5:$S$5,"kötelező",'2.8. sz. Műv.Ház'!$D$3:$S$3,"Eredeti előirányzat")+SUMIFS('2.9. sz. Szivárvány Ó.'!D33:Q33,'2.9. sz. Szivárvány Ó.'!$D$5:$Q$5,"kötelező",'2.9. sz. Szivárvány Ó.'!$D$3:$Q$3,"Eredeti előirányzat")</f>
        <v>0</v>
      </c>
      <c r="E33" s="6">
        <f>SUMIFS('2.1. sz. PMH'!D33:AA33,'2.1. sz. PMH'!$D$5:$AA$5,"kötelező",'2.1. sz. PMH'!$D$3:$AA$3,"Módosított előirányzat")+SUMIFS('2.2. sz. Hétszínvirág Óvoda'!D33:S33,'2.2. sz. Hétszínvirág Óvoda'!$D$5:$S$5,"kötelező",'2.2. sz. Hétszínvirág Óvoda'!$D$3:$S$3,"Módosított előirányzat")+SUMIFS('2.3. sz. Mese Óvoda'!D33:O33,'2.3. sz. Mese Óvoda'!$D$5:$O$5,"kötelező",'2.3. sz. Mese Óvoda'!$D$3:$O$3,"Módosított előirányzat")+SUMIFS('2.4. sz. Bölcsőde'!D33:M33,'2.4. sz. Bölcsőde'!$D$5:$M$5,"kötelező",'2.4. sz. Bölcsőde'!$D$3:$M$3,"Módosított előirányzat")+SUMIFS('2.5. sz. Gyermekjóléti'!D33:Q33,'2.5. sz. Gyermekjóléti'!$D$5:$Q$5,"kötelező",'2.5. sz. Gyermekjóléti'!$D$3:$Q$3,"Módosított előirányzat")+SUMIFS('2.6 sz. Területi'!D33:AO33,'2.6 sz. Területi'!$D$5:$AO$5,"kötelező",'2.6 sz. Területi'!$D$3:$AO$3,"Módosított előirányzat")+SUMIFS('2.7. sz. Könyvtár'!D33:S33,'2.7. sz. Könyvtár'!$D$5:$S$5,"kötelező",'2.7. sz. Könyvtár'!$D$3:$S$3,"Módosított előirányzat")+SUMIFS('2.8. sz. Műv.Ház'!D33:S33,'2.8. sz. Műv.Ház'!$D$5:$S$5,"kötelező",'2.8. sz. Műv.Ház'!$D$3:$S$3,"Módosított előirányzat")+SUMIFS('2.9. sz. Szivárvány Ó.'!D33:Q33,'2.9. sz. Szivárvány Ó.'!$D$5:$Q$5,"kötelező",'2.9. sz. Szivárvány Ó.'!$D$3:$Q$3,"Módosított előirányzat")</f>
        <v>10000</v>
      </c>
      <c r="F33" s="6">
        <f>SUMIFS('2.1. sz. PMH'!D33:AA33,'2.1. sz. PMH'!$D$5:$AA$5,"önként vállalt",'2.1. sz. PMH'!$D$3:$AA$3,"Eredeti előirányzat")+SUMIFS('2.2. sz. Hétszínvirág Óvoda'!D33:S33,'2.2. sz. Hétszínvirág Óvoda'!$D$5:$S$5,"önként vállalt",'2.2. sz. Hétszínvirág Óvoda'!$D$3:$S$3,"Eredeti előirányzat")+SUMIFS('2.3. sz. Mese Óvoda'!D33:O33,'2.3. sz. Mese Óvoda'!$D$5:$O$5,"önként vállalt",'2.3. sz. Mese Óvoda'!$D$3:$O$3,"Eredeti előirányzat")+SUMIFS('2.4. sz. Bölcsőde'!D33:M33,'2.4. sz. Bölcsőde'!$D$5:$M$5,"önként vállalt",'2.4. sz. Bölcsőde'!$D$3:$M$3,"Eredeti előirányzat")+SUMIFS('2.5. sz. Gyermekjóléti'!D33:Q33,'2.5. sz. Gyermekjóléti'!$D$5:$Q$5,"önként vállalt",'2.5. sz. Gyermekjóléti'!$D$3:$Q$3,"Eredeti előirányzat")+SUMIFS('2.6 sz. Területi'!D33:AO33,'2.6 sz. Területi'!$D$5:$AO$5,"önként vállalt",'2.6 sz. Területi'!$D$3:$AO$3,"Eredeti előirányzat")+SUMIFS('2.7. sz. Könyvtár'!D33:S33,'2.7. sz. Könyvtár'!$D$5:$S$5,"önként vállalt",'2.7. sz. Könyvtár'!$D$3:$S$3,"Eredeti előirányzat")+SUMIFS('2.8. sz. Műv.Ház'!D33:S33,'2.8. sz. Műv.Ház'!$D$5:$S$5,"önként vállalt",'2.8. sz. Műv.Ház'!$D$3:$S$3,"Eredeti előirányzat")+SUMIFS('2.9. sz. Szivárvány Ó.'!D33:Q33,'2.9. sz. Szivárvány Ó.'!$D$5:$Q$5,"önként vállalt",'2.9. sz. Szivárvány Ó.'!$D$3:$Q$3,"Eredeti előirányzat")</f>
        <v>0</v>
      </c>
      <c r="G33" s="6">
        <f>SUMIFS('2.1. sz. PMH'!D33:AA33,'2.1. sz. PMH'!$D$5:$AA$5,"önként vállalt",'2.1. sz. PMH'!$D$3:$AA$3,"Módosított előirányzat")+SUMIFS('2.2. sz. Hétszínvirág Óvoda'!D33:S33,'2.2. sz. Hétszínvirág Óvoda'!$D$5:$S$5,"önként vállalt",'2.2. sz. Hétszínvirág Óvoda'!$D$3:$S$3,"Módosított előirányzat")+SUMIFS('2.3. sz. Mese Óvoda'!D33:O33,'2.3. sz. Mese Óvoda'!$D$5:$O$5,"önként vállalt",'2.3. sz. Mese Óvoda'!$D$3:$O$3,"Módosított előirányzat")+SUMIFS('2.4. sz. Bölcsőde'!D33:M33,'2.4. sz. Bölcsőde'!$D$5:$M$5,"önként vállalt",'2.4. sz. Bölcsőde'!$D$3:$M$3,"Módosított előirányzat")+SUMIFS('2.5. sz. Gyermekjóléti'!D33:Q33,'2.5. sz. Gyermekjóléti'!$D$5:$Q$5,"önként vállalt",'2.5. sz. Gyermekjóléti'!$D$3:$Q$3,"Módosított előirányzat")+SUMIFS('2.6 sz. Területi'!D33:AO33,'2.6 sz. Területi'!$D$5:$AO$5,"önként vállalt",'2.6 sz. Területi'!$D$3:$AO$3,"Módosított előirányzat")+SUMIFS('2.7. sz. Könyvtár'!D33:S33,'2.7. sz. Könyvtár'!$D$5:$S$5,"önként vállalt",'2.7. sz. Könyvtár'!$D$3:$S$3,"Módosított előirányzat")+SUMIFS('2.8. sz. Műv.Ház'!D33:S33,'2.8. sz. Műv.Ház'!$D$5:$S$5,"önként vállalt",'2.8. sz. Műv.Ház'!$D$3:$S$3,"Módosított előirányzat")+SUMIFS('2.9. sz. Szivárvány Ó.'!D33:Q33,'2.9. sz. Szivárvány Ó.'!$D$5:$Q$5,"önként vállalt",'2.9. sz. Szivárvány Ó.'!$D$3:$Q$3,"Módosított előirányzat")</f>
        <v>0</v>
      </c>
      <c r="H33" s="6">
        <f>SUMIFS('2.1. sz. PMH'!D33:AA33,'2.1. sz. PMH'!$D$5:$AA$5,"államigazgatási",'2.1. sz. PMH'!$D$3:$AA$3,"Eredeti előirányzat")+SUMIFS('2.2. sz. Hétszínvirág Óvoda'!D33:S33,'2.2. sz. Hétszínvirág Óvoda'!$D$5:$S$5,"államigazgatási",'2.2. sz. Hétszínvirág Óvoda'!$D$3:$S$3,"Eredeti előirányzat")+SUMIFS('2.3. sz. Mese Óvoda'!D33:O33,'2.3. sz. Mese Óvoda'!$D$5:$O$5,"államigazgatási",'2.3. sz. Mese Óvoda'!$D$3:$O$3,"Eredeti előirányzat")+SUMIFS('2.4. sz. Bölcsőde'!D33:M33,'2.4. sz. Bölcsőde'!$D$5:$M$5,"államigazgatási",'2.4. sz. Bölcsőde'!$D$3:$M$3,"Eredeti előirányzat")+SUMIFS('2.5. sz. Gyermekjóléti'!D33:Q33,'2.5. sz. Gyermekjóléti'!$D$5:$Q$5,"államigazgatási",'2.5. sz. Gyermekjóléti'!$D$3:$Q$3,"Eredeti előirányzat")+SUMIFS('2.6 sz. Területi'!D33:AO33,'2.6 sz. Területi'!$D$5:$AO$5,"államigazgatási",'2.6 sz. Területi'!$D$3:$AO$3,"Eredeti előirányzat")+SUMIFS('2.7. sz. Könyvtár'!D33:S33,'2.7. sz. Könyvtár'!$D$5:$S$5,"államigazgatási",'2.7. sz. Könyvtár'!$D$3:$S$3,"Eredeti előirányzat")+SUMIFS('2.8. sz. Műv.Ház'!D33:S33,'2.8. sz. Műv.Ház'!$D$5:$S$5,"államigazgatási",'2.8. sz. Műv.Ház'!$D$3:$S$3,"Eredeti előirányzat")+SUMIFS('2.9. sz. Szivárvány Ó.'!D33:Q33,'2.9. sz. Szivárvány Ó.'!$D$5:$Q$5,"államigazgatási",'2.9. sz. Szivárvány Ó.'!$D$3:$Q$3,"Eredeti előirányzat")</f>
        <v>4000000</v>
      </c>
      <c r="I33" s="6">
        <f>SUMIFS('2.1. sz. PMH'!D33:AA33,'2.1. sz. PMH'!$D$5:$AA$5,"államigazgatási",'2.1. sz. PMH'!$D$3:$AA$3,"Módosított előirányzat")+SUMIFS('2.2. sz. Hétszínvirág Óvoda'!D33:S33,'2.2. sz. Hétszínvirág Óvoda'!$D$5:$S$5,"államigazgatási",'2.2. sz. Hétszínvirág Óvoda'!$D$3:$S$3,"Módosított előirányzat")+SUMIFS('2.3. sz. Mese Óvoda'!D33:O33,'2.3. sz. Mese Óvoda'!$D$5:$O$5,"államigazgatási",'2.3. sz. Mese Óvoda'!$D$3:$O$3,"Módosított előirányzat")+SUMIFS('2.4. sz. Bölcsőde'!D33:M33,'2.4. sz. Bölcsőde'!$D$5:$M$5,"államigazgatási",'2.4. sz. Bölcsőde'!$D$3:$M$3,"Módosított előirányzat")+SUMIFS('2.5. sz. Gyermekjóléti'!D33:Q33,'2.5. sz. Gyermekjóléti'!$D$5:$Q$5,"államigazgatási",'2.5. sz. Gyermekjóléti'!$D$3:$Q$3,"Módosított előirányzat")+SUMIFS('2.6 sz. Területi'!D33:AO33,'2.6 sz. Területi'!$D$5:$AO$5,"államigazgatási",'2.6 sz. Területi'!$D$3:$AO$3,"Módosított előirányzat")+SUMIFS('2.7. sz. Könyvtár'!D33:S33,'2.7. sz. Könyvtár'!$D$5:$S$5,"államigazgatási",'2.7. sz. Könyvtár'!$D$3:$S$3,"Módosított előirányzat")+SUMIFS('2.8. sz. Műv.Ház'!D33:S33,'2.8. sz. Műv.Ház'!$D$5:$S$5,"államigazgatási",'2.8. sz. Műv.Ház'!$D$3:$S$3,"Módosított előirányzat")+SUMIFS('2.9. sz. Szivárvány Ó.'!D33:Q33,'2.9. sz. Szivárvány Ó.'!$D$5:$Q$5,"államigazgatási",'2.9. sz. Szivárvány Ó.'!$D$3:$Q$3,"Módosított előirányzat")</f>
        <v>4120000</v>
      </c>
      <c r="J33" s="6">
        <f t="shared" si="0"/>
        <v>4000000</v>
      </c>
      <c r="K33" s="1179">
        <f t="shared" si="1"/>
        <v>4130000</v>
      </c>
    </row>
    <row r="34" spans="1:12" ht="23.25" customHeight="1" x14ac:dyDescent="0.25">
      <c r="A34" s="26" t="s">
        <v>271</v>
      </c>
      <c r="B34" s="29" t="s">
        <v>0</v>
      </c>
      <c r="C34" s="32" t="s">
        <v>218</v>
      </c>
      <c r="D34" s="6">
        <f>SUMIFS('2.1. sz. PMH'!D34:AA34,'2.1. sz. PMH'!$D$5:$AA$5,"kötelező",'2.1. sz. PMH'!$D$3:$AA$3,"Eredeti előirányzat")+SUMIFS('2.2. sz. Hétszínvirág Óvoda'!D34:S34,'2.2. sz. Hétszínvirág Óvoda'!$D$5:$S$5,"kötelező",'2.2. sz. Hétszínvirág Óvoda'!$D$3:$S$3,"Eredeti előirányzat")+SUMIFS('2.3. sz. Mese Óvoda'!D34:O34,'2.3. sz. Mese Óvoda'!$D$5:$O$5,"kötelező",'2.3. sz. Mese Óvoda'!$D$3:$O$3,"Eredeti előirányzat")+SUMIFS('2.4. sz. Bölcsőde'!D34:M34,'2.4. sz. Bölcsőde'!$D$5:$M$5,"kötelező",'2.4. sz. Bölcsőde'!$D$3:$M$3,"Eredeti előirányzat")+SUMIFS('2.5. sz. Gyermekjóléti'!D34:Q34,'2.5. sz. Gyermekjóléti'!$D$5:$Q$5,"kötelező",'2.5. sz. Gyermekjóléti'!$D$3:$Q$3,"Eredeti előirányzat")+SUMIFS('2.6 sz. Területi'!D34:AO34,'2.6 sz. Területi'!$D$5:$AO$5,"kötelező",'2.6 sz. Területi'!$D$3:$AO$3,"Eredeti előirányzat")+SUMIFS('2.7. sz. Könyvtár'!D34:S34,'2.7. sz. Könyvtár'!$D$5:$S$5,"kötelező",'2.7. sz. Könyvtár'!$D$3:$S$3,"Eredeti előirányzat")+SUMIFS('2.8. sz. Műv.Ház'!D34:S34,'2.8. sz. Műv.Ház'!$D$5:$S$5,"kötelező",'2.8. sz. Műv.Ház'!$D$3:$S$3,"Eredeti előirányzat")+SUMIFS('2.9. sz. Szivárvány Ó.'!D34:Q34,'2.9. sz. Szivárvány Ó.'!$D$5:$Q$5,"kötelező",'2.9. sz. Szivárvány Ó.'!$D$3:$Q$3,"Eredeti előirányzat")</f>
        <v>214232054</v>
      </c>
      <c r="E34" s="6">
        <f>SUMIFS('2.1. sz. PMH'!D34:AA34,'2.1. sz. PMH'!$D$5:$AA$5,"kötelező",'2.1. sz. PMH'!$D$3:$AA$3,"Módosított előirányzat")+SUMIFS('2.2. sz. Hétszínvirág Óvoda'!D34:S34,'2.2. sz. Hétszínvirág Óvoda'!$D$5:$S$5,"kötelező",'2.2. sz. Hétszínvirág Óvoda'!$D$3:$S$3,"Módosított előirányzat")+SUMIFS('2.3. sz. Mese Óvoda'!D34:O34,'2.3. sz. Mese Óvoda'!$D$5:$O$5,"kötelező",'2.3. sz. Mese Óvoda'!$D$3:$O$3,"Módosított előirányzat")+SUMIFS('2.4. sz. Bölcsőde'!D34:M34,'2.4. sz. Bölcsőde'!$D$5:$M$5,"kötelező",'2.4. sz. Bölcsőde'!$D$3:$M$3,"Módosított előirányzat")+SUMIFS('2.5. sz. Gyermekjóléti'!D34:Q34,'2.5. sz. Gyermekjóléti'!$D$5:$Q$5,"kötelező",'2.5. sz. Gyermekjóléti'!$D$3:$Q$3,"Módosított előirányzat")+SUMIFS('2.6 sz. Területi'!D34:AO34,'2.6 sz. Területi'!$D$5:$AO$5,"kötelező",'2.6 sz. Területi'!$D$3:$AO$3,"Módosított előirányzat")+SUMIFS('2.7. sz. Könyvtár'!D34:S34,'2.7. sz. Könyvtár'!$D$5:$S$5,"kötelező",'2.7. sz. Könyvtár'!$D$3:$S$3,"Módosított előirányzat")+SUMIFS('2.8. sz. Műv.Ház'!D34:S34,'2.8. sz. Műv.Ház'!$D$5:$S$5,"kötelező",'2.8. sz. Műv.Ház'!$D$3:$S$3,"Módosított előirányzat")+SUMIFS('2.9. sz. Szivárvány Ó.'!D34:Q34,'2.9. sz. Szivárvány Ó.'!$D$5:$Q$5,"kötelező",'2.9. sz. Szivárvány Ó.'!$D$3:$Q$3,"Módosított előirányzat")</f>
        <v>301486601</v>
      </c>
      <c r="F34" s="6">
        <f>SUMIFS('2.1. sz. PMH'!D34:AA34,'2.1. sz. PMH'!$D$5:$AA$5,"önként vállalt",'2.1. sz. PMH'!$D$3:$AA$3,"Eredeti előirányzat")+SUMIFS('2.2. sz. Hétszínvirág Óvoda'!D34:S34,'2.2. sz. Hétszínvirág Óvoda'!$D$5:$S$5,"önként vállalt",'2.2. sz. Hétszínvirág Óvoda'!$D$3:$S$3,"Eredeti előirányzat")+SUMIFS('2.3. sz. Mese Óvoda'!D34:O34,'2.3. sz. Mese Óvoda'!$D$5:$O$5,"önként vállalt",'2.3. sz. Mese Óvoda'!$D$3:$O$3,"Eredeti előirányzat")+SUMIFS('2.4. sz. Bölcsőde'!D34:M34,'2.4. sz. Bölcsőde'!$D$5:$M$5,"önként vállalt",'2.4. sz. Bölcsőde'!$D$3:$M$3,"Eredeti előirányzat")+SUMIFS('2.5. sz. Gyermekjóléti'!D34:Q34,'2.5. sz. Gyermekjóléti'!$D$5:$Q$5,"önként vállalt",'2.5. sz. Gyermekjóléti'!$D$3:$Q$3,"Eredeti előirányzat")+SUMIFS('2.6 sz. Területi'!D34:AO34,'2.6 sz. Területi'!$D$5:$AO$5,"önként vállalt",'2.6 sz. Területi'!$D$3:$AO$3,"Eredeti előirányzat")+SUMIFS('2.7. sz. Könyvtár'!D34:S34,'2.7. sz. Könyvtár'!$D$5:$S$5,"önként vállalt",'2.7. sz. Könyvtár'!$D$3:$S$3,"Eredeti előirányzat")+SUMIFS('2.8. sz. Műv.Ház'!D34:S34,'2.8. sz. Műv.Ház'!$D$5:$S$5,"önként vállalt",'2.8. sz. Műv.Ház'!$D$3:$S$3,"Eredeti előirányzat")+SUMIFS('2.9. sz. Szivárvány Ó.'!D34:Q34,'2.9. sz. Szivárvány Ó.'!$D$5:$Q$5,"önként vállalt",'2.9. sz. Szivárvány Ó.'!$D$3:$Q$3,"Eredeti előirányzat")</f>
        <v>3800000</v>
      </c>
      <c r="G34" s="6">
        <f>SUMIFS('2.1. sz. PMH'!D34:AA34,'2.1. sz. PMH'!$D$5:$AA$5,"önként vállalt",'2.1. sz. PMH'!$D$3:$AA$3,"Módosított előirányzat")+SUMIFS('2.2. sz. Hétszínvirág Óvoda'!D34:S34,'2.2. sz. Hétszínvirág Óvoda'!$D$5:$S$5,"önként vállalt",'2.2. sz. Hétszínvirág Óvoda'!$D$3:$S$3,"Módosított előirányzat")+SUMIFS('2.3. sz. Mese Óvoda'!D34:O34,'2.3. sz. Mese Óvoda'!$D$5:$O$5,"önként vállalt",'2.3. sz. Mese Óvoda'!$D$3:$O$3,"Módosított előirányzat")+SUMIFS('2.4. sz. Bölcsőde'!D34:M34,'2.4. sz. Bölcsőde'!$D$5:$M$5,"önként vállalt",'2.4. sz. Bölcsőde'!$D$3:$M$3,"Módosított előirányzat")+SUMIFS('2.5. sz. Gyermekjóléti'!D34:Q34,'2.5. sz. Gyermekjóléti'!$D$5:$Q$5,"önként vállalt",'2.5. sz. Gyermekjóléti'!$D$3:$Q$3,"Módosított előirányzat")+SUMIFS('2.6 sz. Területi'!D34:AO34,'2.6 sz. Területi'!$D$5:$AO$5,"önként vállalt",'2.6 sz. Területi'!$D$3:$AO$3,"Módosított előirányzat")+SUMIFS('2.7. sz. Könyvtár'!D34:S34,'2.7. sz. Könyvtár'!$D$5:$S$5,"önként vállalt",'2.7. sz. Könyvtár'!$D$3:$S$3,"Módosított előirányzat")+SUMIFS('2.8. sz. Műv.Ház'!D34:S34,'2.8. sz. Műv.Ház'!$D$5:$S$5,"önként vállalt",'2.8. sz. Műv.Ház'!$D$3:$S$3,"Módosított előirányzat")+SUMIFS('2.9. sz. Szivárvány Ó.'!D34:Q34,'2.9. sz. Szivárvány Ó.'!$D$5:$Q$5,"önként vállalt",'2.9. sz. Szivárvány Ó.'!$D$3:$Q$3,"Módosított előirányzat")</f>
        <v>3945640</v>
      </c>
      <c r="H34" s="6">
        <f>SUMIFS('2.1. sz. PMH'!D34:AA34,'2.1. sz. PMH'!$D$5:$AA$5,"államigazgatási",'2.1. sz. PMH'!$D$3:$AA$3,"Eredeti előirányzat")+SUMIFS('2.2. sz. Hétszínvirág Óvoda'!D34:S34,'2.2. sz. Hétszínvirág Óvoda'!$D$5:$S$5,"államigazgatási",'2.2. sz. Hétszínvirág Óvoda'!$D$3:$S$3,"Eredeti előirányzat")+SUMIFS('2.3. sz. Mese Óvoda'!D34:O34,'2.3. sz. Mese Óvoda'!$D$5:$O$5,"államigazgatási",'2.3. sz. Mese Óvoda'!$D$3:$O$3,"Eredeti előirányzat")+SUMIFS('2.4. sz. Bölcsőde'!D34:M34,'2.4. sz. Bölcsőde'!$D$5:$M$5,"államigazgatási",'2.4. sz. Bölcsőde'!$D$3:$M$3,"Eredeti előirányzat")+SUMIFS('2.5. sz. Gyermekjóléti'!D34:Q34,'2.5. sz. Gyermekjóléti'!$D$5:$Q$5,"államigazgatási",'2.5. sz. Gyermekjóléti'!$D$3:$Q$3,"Eredeti előirányzat")+SUMIFS('2.6 sz. Területi'!D34:AO34,'2.6 sz. Területi'!$D$5:$AO$5,"államigazgatási",'2.6 sz. Területi'!$D$3:$AO$3,"Eredeti előirányzat")+SUMIFS('2.7. sz. Könyvtár'!D34:S34,'2.7. sz. Könyvtár'!$D$5:$S$5,"államigazgatási",'2.7. sz. Könyvtár'!$D$3:$S$3,"Eredeti előirányzat")+SUMIFS('2.8. sz. Műv.Ház'!D34:S34,'2.8. sz. Műv.Ház'!$D$5:$S$5,"államigazgatási",'2.8. sz. Műv.Ház'!$D$3:$S$3,"Eredeti előirányzat")+SUMIFS('2.9. sz. Szivárvány Ó.'!D34:Q34,'2.9. sz. Szivárvány Ó.'!$D$5:$Q$5,"államigazgatási",'2.9. sz. Szivárvány Ó.'!$D$3:$Q$3,"Eredeti előirányzat")</f>
        <v>0</v>
      </c>
      <c r="I34" s="6">
        <f>SUMIFS('2.1. sz. PMH'!D34:AA34,'2.1. sz. PMH'!$D$5:$AA$5,"államigazgatási",'2.1. sz. PMH'!$D$3:$AA$3,"Módosított előirányzat")+SUMIFS('2.2. sz. Hétszínvirág Óvoda'!D34:S34,'2.2. sz. Hétszínvirág Óvoda'!$D$5:$S$5,"államigazgatási",'2.2. sz. Hétszínvirág Óvoda'!$D$3:$S$3,"Módosított előirányzat")+SUMIFS('2.3. sz. Mese Óvoda'!D34:O34,'2.3. sz. Mese Óvoda'!$D$5:$O$5,"államigazgatási",'2.3. sz. Mese Óvoda'!$D$3:$O$3,"Módosított előirányzat")+SUMIFS('2.4. sz. Bölcsőde'!D34:M34,'2.4. sz. Bölcsőde'!$D$5:$M$5,"államigazgatási",'2.4. sz. Bölcsőde'!$D$3:$M$3,"Módosított előirányzat")+SUMIFS('2.5. sz. Gyermekjóléti'!D34:Q34,'2.5. sz. Gyermekjóléti'!$D$5:$Q$5,"államigazgatási",'2.5. sz. Gyermekjóléti'!$D$3:$Q$3,"Módosított előirányzat")+SUMIFS('2.6 sz. Területi'!D34:AO34,'2.6 sz. Területi'!$D$5:$AO$5,"államigazgatási",'2.6 sz. Területi'!$D$3:$AO$3,"Módosított előirányzat")+SUMIFS('2.7. sz. Könyvtár'!D34:S34,'2.7. sz. Könyvtár'!$D$5:$S$5,"államigazgatási",'2.7. sz. Könyvtár'!$D$3:$S$3,"Módosított előirányzat")+SUMIFS('2.8. sz. Műv.Ház'!D34:S34,'2.8. sz. Műv.Ház'!$D$5:$S$5,"államigazgatási",'2.8. sz. Műv.Ház'!$D$3:$S$3,"Módosított előirányzat")+SUMIFS('2.9. sz. Szivárvány Ó.'!D34:Q34,'2.9. sz. Szivárvány Ó.'!$D$5:$Q$5,"államigazgatási",'2.9. sz. Szivárvány Ó.'!$D$3:$Q$3,"Módosított előirányzat")</f>
        <v>10778</v>
      </c>
      <c r="J34" s="6">
        <f t="shared" si="0"/>
        <v>218032054</v>
      </c>
      <c r="K34" s="1179">
        <f t="shared" si="1"/>
        <v>305443019</v>
      </c>
    </row>
    <row r="35" spans="1:12" ht="23.25" customHeight="1" x14ac:dyDescent="0.25">
      <c r="A35" s="26" t="s">
        <v>272</v>
      </c>
      <c r="B35" s="28" t="s">
        <v>248</v>
      </c>
      <c r="C35" s="32" t="s">
        <v>219</v>
      </c>
      <c r="D35" s="6">
        <f>SUMIFS('2.1. sz. PMH'!D35:AA35,'2.1. sz. PMH'!$D$5:$AA$5,"kötelező",'2.1. sz. PMH'!$D$3:$AA$3,"Eredeti előirányzat")+SUMIFS('2.2. sz. Hétszínvirág Óvoda'!D35:S35,'2.2. sz. Hétszínvirág Óvoda'!$D$5:$S$5,"kötelező",'2.2. sz. Hétszínvirág Óvoda'!$D$3:$S$3,"Eredeti előirányzat")+SUMIFS('2.3. sz. Mese Óvoda'!D35:O35,'2.3. sz. Mese Óvoda'!$D$5:$O$5,"kötelező",'2.3. sz. Mese Óvoda'!$D$3:$O$3,"Eredeti előirányzat")+SUMIFS('2.4. sz. Bölcsőde'!D35:M35,'2.4. sz. Bölcsőde'!$D$5:$M$5,"kötelező",'2.4. sz. Bölcsőde'!$D$3:$M$3,"Eredeti előirányzat")+SUMIFS('2.5. sz. Gyermekjóléti'!D35:Q35,'2.5. sz. Gyermekjóléti'!$D$5:$Q$5,"kötelező",'2.5. sz. Gyermekjóléti'!$D$3:$Q$3,"Eredeti előirányzat")+SUMIFS('2.6 sz. Területi'!D35:AO35,'2.6 sz. Területi'!$D$5:$AO$5,"kötelező",'2.6 sz. Területi'!$D$3:$AO$3,"Eredeti előirányzat")+SUMIFS('2.7. sz. Könyvtár'!D35:S35,'2.7. sz. Könyvtár'!$D$5:$S$5,"kötelező",'2.7. sz. Könyvtár'!$D$3:$S$3,"Eredeti előirányzat")+SUMIFS('2.8. sz. Műv.Ház'!D35:S35,'2.8. sz. Műv.Ház'!$D$5:$S$5,"kötelező",'2.8. sz. Műv.Ház'!$D$3:$S$3,"Eredeti előirányzat")+SUMIFS('2.9. sz. Szivárvány Ó.'!D35:Q35,'2.9. sz. Szivárvány Ó.'!$D$5:$Q$5,"kötelező",'2.9. sz. Szivárvány Ó.'!$D$3:$Q$3,"Eredeti előirányzat")</f>
        <v>0</v>
      </c>
      <c r="E35" s="6">
        <f>SUMIFS('2.1. sz. PMH'!D35:AA35,'2.1. sz. PMH'!$D$5:$AA$5,"kötelező",'2.1. sz. PMH'!$D$3:$AA$3,"Módosított előirányzat")+SUMIFS('2.2. sz. Hétszínvirág Óvoda'!D35:S35,'2.2. sz. Hétszínvirág Óvoda'!$D$5:$S$5,"kötelező",'2.2. sz. Hétszínvirág Óvoda'!$D$3:$S$3,"Módosított előirányzat")+SUMIFS('2.3. sz. Mese Óvoda'!D35:O35,'2.3. sz. Mese Óvoda'!$D$5:$O$5,"kötelező",'2.3. sz. Mese Óvoda'!$D$3:$O$3,"Módosított előirányzat")+SUMIFS('2.4. sz. Bölcsőde'!D35:M35,'2.4. sz. Bölcsőde'!$D$5:$M$5,"kötelező",'2.4. sz. Bölcsőde'!$D$3:$M$3,"Módosított előirányzat")+SUMIFS('2.5. sz. Gyermekjóléti'!D35:Q35,'2.5. sz. Gyermekjóléti'!$D$5:$Q$5,"kötelező",'2.5. sz. Gyermekjóléti'!$D$3:$Q$3,"Módosított előirányzat")+SUMIFS('2.6 sz. Területi'!D35:AO35,'2.6 sz. Területi'!$D$5:$AO$5,"kötelező",'2.6 sz. Területi'!$D$3:$AO$3,"Módosított előirányzat")+SUMIFS('2.7. sz. Könyvtár'!D35:S35,'2.7. sz. Könyvtár'!$D$5:$S$5,"kötelező",'2.7. sz. Könyvtár'!$D$3:$S$3,"Módosított előirányzat")+SUMIFS('2.8. sz. Műv.Ház'!D35:S35,'2.8. sz. Műv.Ház'!$D$5:$S$5,"kötelező",'2.8. sz. Műv.Ház'!$D$3:$S$3,"Módosított előirányzat")+SUMIFS('2.9. sz. Szivárvány Ó.'!D35:Q35,'2.9. sz. Szivárvány Ó.'!$D$5:$Q$5,"kötelező",'2.9. sz. Szivárvány Ó.'!$D$3:$Q$3,"Módosított előirányzat")</f>
        <v>115000</v>
      </c>
      <c r="F35" s="6">
        <f>SUMIFS('2.1. sz. PMH'!D35:AA35,'2.1. sz. PMH'!$D$5:$AA$5,"önként vállalt",'2.1. sz. PMH'!$D$3:$AA$3,"Eredeti előirányzat")+SUMIFS('2.2. sz. Hétszínvirág Óvoda'!D35:S35,'2.2. sz. Hétszínvirág Óvoda'!$D$5:$S$5,"önként vállalt",'2.2. sz. Hétszínvirág Óvoda'!$D$3:$S$3,"Eredeti előirányzat")+SUMIFS('2.3. sz. Mese Óvoda'!D35:O35,'2.3. sz. Mese Óvoda'!$D$5:$O$5,"önként vállalt",'2.3. sz. Mese Óvoda'!$D$3:$O$3,"Eredeti előirányzat")+SUMIFS('2.4. sz. Bölcsőde'!D35:M35,'2.4. sz. Bölcsőde'!$D$5:$M$5,"önként vállalt",'2.4. sz. Bölcsőde'!$D$3:$M$3,"Eredeti előirányzat")+SUMIFS('2.5. sz. Gyermekjóléti'!D35:Q35,'2.5. sz. Gyermekjóléti'!$D$5:$Q$5,"önként vállalt",'2.5. sz. Gyermekjóléti'!$D$3:$Q$3,"Eredeti előirányzat")+SUMIFS('2.6 sz. Területi'!D35:AO35,'2.6 sz. Területi'!$D$5:$AO$5,"önként vállalt",'2.6 sz. Területi'!$D$3:$AO$3,"Eredeti előirányzat")+SUMIFS('2.7. sz. Könyvtár'!D35:S35,'2.7. sz. Könyvtár'!$D$5:$S$5,"önként vállalt",'2.7. sz. Könyvtár'!$D$3:$S$3,"Eredeti előirányzat")+SUMIFS('2.8. sz. Műv.Ház'!D35:S35,'2.8. sz. Műv.Ház'!$D$5:$S$5,"önként vállalt",'2.8. sz. Műv.Ház'!$D$3:$S$3,"Eredeti előirányzat")+SUMIFS('2.9. sz. Szivárvány Ó.'!D35:Q35,'2.9. sz. Szivárvány Ó.'!$D$5:$Q$5,"önként vállalt",'2.9. sz. Szivárvány Ó.'!$D$3:$Q$3,"Eredeti előirányzat")</f>
        <v>0</v>
      </c>
      <c r="G35" s="6">
        <f>SUMIFS('2.1. sz. PMH'!D35:AA35,'2.1. sz. PMH'!$D$5:$AA$5,"önként vállalt",'2.1. sz. PMH'!$D$3:$AA$3,"Módosított előirányzat")+SUMIFS('2.2. sz. Hétszínvirág Óvoda'!D35:S35,'2.2. sz. Hétszínvirág Óvoda'!$D$5:$S$5,"önként vállalt",'2.2. sz. Hétszínvirág Óvoda'!$D$3:$S$3,"Módosított előirányzat")+SUMIFS('2.3. sz. Mese Óvoda'!D35:O35,'2.3. sz. Mese Óvoda'!$D$5:$O$5,"önként vállalt",'2.3. sz. Mese Óvoda'!$D$3:$O$3,"Módosított előirányzat")+SUMIFS('2.4. sz. Bölcsőde'!D35:M35,'2.4. sz. Bölcsőde'!$D$5:$M$5,"önként vállalt",'2.4. sz. Bölcsőde'!$D$3:$M$3,"Módosított előirányzat")+SUMIFS('2.5. sz. Gyermekjóléti'!D35:Q35,'2.5. sz. Gyermekjóléti'!$D$5:$Q$5,"önként vállalt",'2.5. sz. Gyermekjóléti'!$D$3:$Q$3,"Módosított előirányzat")+SUMIFS('2.6 sz. Területi'!D35:AO35,'2.6 sz. Területi'!$D$5:$AO$5,"önként vállalt",'2.6 sz. Területi'!$D$3:$AO$3,"Módosított előirányzat")+SUMIFS('2.7. sz. Könyvtár'!D35:S35,'2.7. sz. Könyvtár'!$D$5:$S$5,"önként vállalt",'2.7. sz. Könyvtár'!$D$3:$S$3,"Módosított előirányzat")+SUMIFS('2.8. sz. Műv.Ház'!D35:S35,'2.8. sz. Műv.Ház'!$D$5:$S$5,"önként vállalt",'2.8. sz. Műv.Ház'!$D$3:$S$3,"Módosított előirányzat")+SUMIFS('2.9. sz. Szivárvány Ó.'!D35:Q35,'2.9. sz. Szivárvány Ó.'!$D$5:$Q$5,"önként vállalt",'2.9. sz. Szivárvány Ó.'!$D$3:$Q$3,"Módosított előirányzat")</f>
        <v>0</v>
      </c>
      <c r="H35" s="6">
        <f>SUMIFS('2.1. sz. PMH'!D35:AA35,'2.1. sz. PMH'!$D$5:$AA$5,"államigazgatási",'2.1. sz. PMH'!$D$3:$AA$3,"Eredeti előirányzat")+SUMIFS('2.2. sz. Hétszínvirág Óvoda'!D35:S35,'2.2. sz. Hétszínvirág Óvoda'!$D$5:$S$5,"államigazgatási",'2.2. sz. Hétszínvirág Óvoda'!$D$3:$S$3,"Eredeti előirányzat")+SUMIFS('2.3. sz. Mese Óvoda'!D35:O35,'2.3. sz. Mese Óvoda'!$D$5:$O$5,"államigazgatási",'2.3. sz. Mese Óvoda'!$D$3:$O$3,"Eredeti előirányzat")+SUMIFS('2.4. sz. Bölcsőde'!D35:M35,'2.4. sz. Bölcsőde'!$D$5:$M$5,"államigazgatási",'2.4. sz. Bölcsőde'!$D$3:$M$3,"Eredeti előirányzat")+SUMIFS('2.5. sz. Gyermekjóléti'!D35:Q35,'2.5. sz. Gyermekjóléti'!$D$5:$Q$5,"államigazgatási",'2.5. sz. Gyermekjóléti'!$D$3:$Q$3,"Eredeti előirányzat")+SUMIFS('2.6 sz. Területi'!D35:AO35,'2.6 sz. Területi'!$D$5:$AO$5,"államigazgatási",'2.6 sz. Területi'!$D$3:$AO$3,"Eredeti előirányzat")+SUMIFS('2.7. sz. Könyvtár'!D35:S35,'2.7. sz. Könyvtár'!$D$5:$S$5,"államigazgatási",'2.7. sz. Könyvtár'!$D$3:$S$3,"Eredeti előirányzat")+SUMIFS('2.8. sz. Műv.Ház'!D35:S35,'2.8. sz. Műv.Ház'!$D$5:$S$5,"államigazgatási",'2.8. sz. Műv.Ház'!$D$3:$S$3,"Eredeti előirányzat")+SUMIFS('2.9. sz. Szivárvány Ó.'!D35:Q35,'2.9. sz. Szivárvány Ó.'!$D$5:$Q$5,"államigazgatási",'2.9. sz. Szivárvány Ó.'!$D$3:$Q$3,"Eredeti előirányzat")</f>
        <v>0</v>
      </c>
      <c r="I35" s="6">
        <f>SUMIFS('2.1. sz. PMH'!D35:AA35,'2.1. sz. PMH'!$D$5:$AA$5,"államigazgatási",'2.1. sz. PMH'!$D$3:$AA$3,"Módosított előirányzat")+SUMIFS('2.2. sz. Hétszínvirág Óvoda'!D35:S35,'2.2. sz. Hétszínvirág Óvoda'!$D$5:$S$5,"államigazgatási",'2.2. sz. Hétszínvirág Óvoda'!$D$3:$S$3,"Módosított előirányzat")+SUMIFS('2.3. sz. Mese Óvoda'!D35:O35,'2.3. sz. Mese Óvoda'!$D$5:$O$5,"államigazgatási",'2.3. sz. Mese Óvoda'!$D$3:$O$3,"Módosított előirányzat")+SUMIFS('2.4. sz. Bölcsőde'!D35:M35,'2.4. sz. Bölcsőde'!$D$5:$M$5,"államigazgatási",'2.4. sz. Bölcsőde'!$D$3:$M$3,"Módosított előirányzat")+SUMIFS('2.5. sz. Gyermekjóléti'!D35:Q35,'2.5. sz. Gyermekjóléti'!$D$5:$Q$5,"államigazgatási",'2.5. sz. Gyermekjóléti'!$D$3:$Q$3,"Módosított előirányzat")+SUMIFS('2.6 sz. Területi'!D35:AO35,'2.6 sz. Területi'!$D$5:$AO$5,"államigazgatási",'2.6 sz. Területi'!$D$3:$AO$3,"Módosított előirányzat")+SUMIFS('2.7. sz. Könyvtár'!D35:S35,'2.7. sz. Könyvtár'!$D$5:$S$5,"államigazgatási",'2.7. sz. Könyvtár'!$D$3:$S$3,"Módosított előirányzat")+SUMIFS('2.8. sz. Műv.Ház'!D35:S35,'2.8. sz. Műv.Ház'!$D$5:$S$5,"államigazgatási",'2.8. sz. Műv.Ház'!$D$3:$S$3,"Módosított előirányzat")+SUMIFS('2.9. sz. Szivárvány Ó.'!D35:Q35,'2.9. sz. Szivárvány Ó.'!$D$5:$Q$5,"államigazgatási",'2.9. sz. Szivárvány Ó.'!$D$3:$Q$3,"Módosított előirányzat")</f>
        <v>0</v>
      </c>
      <c r="J35" s="6">
        <f t="shared" si="0"/>
        <v>0</v>
      </c>
      <c r="K35" s="1179">
        <f t="shared" si="1"/>
        <v>115000</v>
      </c>
    </row>
    <row r="36" spans="1:12" ht="23.25" customHeight="1" x14ac:dyDescent="0.25">
      <c r="A36" s="26" t="s">
        <v>273</v>
      </c>
      <c r="B36" s="28" t="s">
        <v>243</v>
      </c>
      <c r="C36" s="32" t="s">
        <v>220</v>
      </c>
      <c r="D36" s="6">
        <f>SUMIFS('2.1. sz. PMH'!D36:AA36,'2.1. sz. PMH'!$D$5:$AA$5,"kötelező",'2.1. sz. PMH'!$D$3:$AA$3,"Eredeti előirányzat")+SUMIFS('2.2. sz. Hétszínvirág Óvoda'!D36:S36,'2.2. sz. Hétszínvirág Óvoda'!$D$5:$S$5,"kötelező",'2.2. sz. Hétszínvirág Óvoda'!$D$3:$S$3,"Eredeti előirányzat")+SUMIFS('2.3. sz. Mese Óvoda'!D36:O36,'2.3. sz. Mese Óvoda'!$D$5:$O$5,"kötelező",'2.3. sz. Mese Óvoda'!$D$3:$O$3,"Eredeti előirányzat")+SUMIFS('2.4. sz. Bölcsőde'!D36:M36,'2.4. sz. Bölcsőde'!$D$5:$M$5,"kötelező",'2.4. sz. Bölcsőde'!$D$3:$M$3,"Eredeti előirányzat")+SUMIFS('2.5. sz. Gyermekjóléti'!D36:Q36,'2.5. sz. Gyermekjóléti'!$D$5:$Q$5,"kötelező",'2.5. sz. Gyermekjóléti'!$D$3:$Q$3,"Eredeti előirányzat")+SUMIFS('2.6 sz. Területi'!D36:AO36,'2.6 sz. Területi'!$D$5:$AO$5,"kötelező",'2.6 sz. Területi'!$D$3:$AO$3,"Eredeti előirányzat")+SUMIFS('2.7. sz. Könyvtár'!D36:S36,'2.7. sz. Könyvtár'!$D$5:$S$5,"kötelező",'2.7. sz. Könyvtár'!$D$3:$S$3,"Eredeti előirányzat")+SUMIFS('2.8. sz. Műv.Ház'!D36:S36,'2.8. sz. Műv.Ház'!$D$5:$S$5,"kötelező",'2.8. sz. Műv.Ház'!$D$3:$S$3,"Eredeti előirányzat")+SUMIFS('2.9. sz. Szivárvány Ó.'!D36:Q36,'2.9. sz. Szivárvány Ó.'!$D$5:$Q$5,"kötelező",'2.9. sz. Szivárvány Ó.'!$D$3:$Q$3,"Eredeti előirányzat")</f>
        <v>0</v>
      </c>
      <c r="E36" s="6">
        <f>SUMIFS('2.1. sz. PMH'!D36:AA36,'2.1. sz. PMH'!$D$5:$AA$5,"kötelező",'2.1. sz. PMH'!$D$3:$AA$3,"Módosított előirányzat")+SUMIFS('2.2. sz. Hétszínvirág Óvoda'!D36:S36,'2.2. sz. Hétszínvirág Óvoda'!$D$5:$S$5,"kötelező",'2.2. sz. Hétszínvirág Óvoda'!$D$3:$S$3,"Módosított előirányzat")+SUMIFS('2.3. sz. Mese Óvoda'!D36:O36,'2.3. sz. Mese Óvoda'!$D$5:$O$5,"kötelező",'2.3. sz. Mese Óvoda'!$D$3:$O$3,"Módosított előirányzat")+SUMIFS('2.4. sz. Bölcsőde'!D36:M36,'2.4. sz. Bölcsőde'!$D$5:$M$5,"kötelező",'2.4. sz. Bölcsőde'!$D$3:$M$3,"Módosított előirányzat")+SUMIFS('2.5. sz. Gyermekjóléti'!D36:Q36,'2.5. sz. Gyermekjóléti'!$D$5:$Q$5,"kötelező",'2.5. sz. Gyermekjóléti'!$D$3:$Q$3,"Módosított előirányzat")+SUMIFS('2.6 sz. Területi'!D36:AO36,'2.6 sz. Területi'!$D$5:$AO$5,"kötelező",'2.6 sz. Területi'!$D$3:$AO$3,"Módosított előirányzat")+SUMIFS('2.7. sz. Könyvtár'!D36:S36,'2.7. sz. Könyvtár'!$D$5:$S$5,"kötelező",'2.7. sz. Könyvtár'!$D$3:$S$3,"Módosított előirányzat")+SUMIFS('2.8. sz. Műv.Ház'!D36:S36,'2.8. sz. Műv.Ház'!$D$5:$S$5,"kötelező",'2.8. sz. Műv.Ház'!$D$3:$S$3,"Módosított előirányzat")+SUMIFS('2.9. sz. Szivárvány Ó.'!D36:Q36,'2.9. sz. Szivárvány Ó.'!$D$5:$Q$5,"kötelező",'2.9. sz. Szivárvány Ó.'!$D$3:$Q$3,"Módosított előirányzat")</f>
        <v>295000</v>
      </c>
      <c r="F36" s="6">
        <f>SUMIFS('2.1. sz. PMH'!D36:AA36,'2.1. sz. PMH'!$D$5:$AA$5,"önként vállalt",'2.1. sz. PMH'!$D$3:$AA$3,"Eredeti előirányzat")+SUMIFS('2.2. sz. Hétszínvirág Óvoda'!D36:S36,'2.2. sz. Hétszínvirág Óvoda'!$D$5:$S$5,"önként vállalt",'2.2. sz. Hétszínvirág Óvoda'!$D$3:$S$3,"Eredeti előirányzat")+SUMIFS('2.3. sz. Mese Óvoda'!D36:O36,'2.3. sz. Mese Óvoda'!$D$5:$O$5,"önként vállalt",'2.3. sz. Mese Óvoda'!$D$3:$O$3,"Eredeti előirányzat")+SUMIFS('2.4. sz. Bölcsőde'!D36:M36,'2.4. sz. Bölcsőde'!$D$5:$M$5,"önként vállalt",'2.4. sz. Bölcsőde'!$D$3:$M$3,"Eredeti előirányzat")+SUMIFS('2.5. sz. Gyermekjóléti'!D36:Q36,'2.5. sz. Gyermekjóléti'!$D$5:$Q$5,"önként vállalt",'2.5. sz. Gyermekjóléti'!$D$3:$Q$3,"Eredeti előirányzat")+SUMIFS('2.6 sz. Területi'!D36:AO36,'2.6 sz. Területi'!$D$5:$AO$5,"önként vállalt",'2.6 sz. Területi'!$D$3:$AO$3,"Eredeti előirányzat")+SUMIFS('2.7. sz. Könyvtár'!D36:S36,'2.7. sz. Könyvtár'!$D$5:$S$5,"önként vállalt",'2.7. sz. Könyvtár'!$D$3:$S$3,"Eredeti előirányzat")+SUMIFS('2.8. sz. Műv.Ház'!D36:S36,'2.8. sz. Műv.Ház'!$D$5:$S$5,"önként vállalt",'2.8. sz. Műv.Ház'!$D$3:$S$3,"Eredeti előirányzat")+SUMIFS('2.9. sz. Szivárvány Ó.'!D36:Q36,'2.9. sz. Szivárvány Ó.'!$D$5:$Q$5,"önként vállalt",'2.9. sz. Szivárvány Ó.'!$D$3:$Q$3,"Eredeti előirányzat")</f>
        <v>0</v>
      </c>
      <c r="G36" s="6">
        <f>SUMIFS('2.1. sz. PMH'!D36:AA36,'2.1. sz. PMH'!$D$5:$AA$5,"önként vállalt",'2.1. sz. PMH'!$D$3:$AA$3,"Módosított előirányzat")+SUMIFS('2.2. sz. Hétszínvirág Óvoda'!D36:S36,'2.2. sz. Hétszínvirág Óvoda'!$D$5:$S$5,"önként vállalt",'2.2. sz. Hétszínvirág Óvoda'!$D$3:$S$3,"Módosított előirányzat")+SUMIFS('2.3. sz. Mese Óvoda'!D36:O36,'2.3. sz. Mese Óvoda'!$D$5:$O$5,"önként vállalt",'2.3. sz. Mese Óvoda'!$D$3:$O$3,"Módosított előirányzat")+SUMIFS('2.4. sz. Bölcsőde'!D36:M36,'2.4. sz. Bölcsőde'!$D$5:$M$5,"önként vállalt",'2.4. sz. Bölcsőde'!$D$3:$M$3,"Módosított előirányzat")+SUMIFS('2.5. sz. Gyermekjóléti'!D36:Q36,'2.5. sz. Gyermekjóléti'!$D$5:$Q$5,"önként vállalt",'2.5. sz. Gyermekjóléti'!$D$3:$Q$3,"Módosított előirányzat")+SUMIFS('2.6 sz. Területi'!D36:AO36,'2.6 sz. Területi'!$D$5:$AO$5,"önként vállalt",'2.6 sz. Területi'!$D$3:$AO$3,"Módosított előirányzat")+SUMIFS('2.7. sz. Könyvtár'!D36:S36,'2.7. sz. Könyvtár'!$D$5:$S$5,"önként vállalt",'2.7. sz. Könyvtár'!$D$3:$S$3,"Módosított előirányzat")+SUMIFS('2.8. sz. Műv.Ház'!D36:S36,'2.8. sz. Műv.Ház'!$D$5:$S$5,"önként vállalt",'2.8. sz. Műv.Ház'!$D$3:$S$3,"Módosított előirányzat")+SUMIFS('2.9. sz. Szivárvány Ó.'!D36:Q36,'2.9. sz. Szivárvány Ó.'!$D$5:$Q$5,"önként vállalt",'2.9. sz. Szivárvány Ó.'!$D$3:$Q$3,"Módosított előirányzat")</f>
        <v>0</v>
      </c>
      <c r="H36" s="6">
        <f>SUMIFS('2.1. sz. PMH'!D36:AA36,'2.1. sz. PMH'!$D$5:$AA$5,"államigazgatási",'2.1. sz. PMH'!$D$3:$AA$3,"Eredeti előirányzat")+SUMIFS('2.2. sz. Hétszínvirág Óvoda'!D36:S36,'2.2. sz. Hétszínvirág Óvoda'!$D$5:$S$5,"államigazgatási",'2.2. sz. Hétszínvirág Óvoda'!$D$3:$S$3,"Eredeti előirányzat")+SUMIFS('2.3. sz. Mese Óvoda'!D36:O36,'2.3. sz. Mese Óvoda'!$D$5:$O$5,"államigazgatási",'2.3. sz. Mese Óvoda'!$D$3:$O$3,"Eredeti előirányzat")+SUMIFS('2.4. sz. Bölcsőde'!D36:M36,'2.4. sz. Bölcsőde'!$D$5:$M$5,"államigazgatási",'2.4. sz. Bölcsőde'!$D$3:$M$3,"Eredeti előirányzat")+SUMIFS('2.5. sz. Gyermekjóléti'!D36:Q36,'2.5. sz. Gyermekjóléti'!$D$5:$Q$5,"államigazgatási",'2.5. sz. Gyermekjóléti'!$D$3:$Q$3,"Eredeti előirányzat")+SUMIFS('2.6 sz. Területi'!D36:AO36,'2.6 sz. Területi'!$D$5:$AO$5,"államigazgatási",'2.6 sz. Területi'!$D$3:$AO$3,"Eredeti előirányzat")+SUMIFS('2.7. sz. Könyvtár'!D36:S36,'2.7. sz. Könyvtár'!$D$5:$S$5,"államigazgatási",'2.7. sz. Könyvtár'!$D$3:$S$3,"Eredeti előirányzat")+SUMIFS('2.8. sz. Műv.Ház'!D36:S36,'2.8. sz. Műv.Ház'!$D$5:$S$5,"államigazgatási",'2.8. sz. Műv.Ház'!$D$3:$S$3,"Eredeti előirányzat")+SUMIFS('2.9. sz. Szivárvány Ó.'!D36:Q36,'2.9. sz. Szivárvány Ó.'!$D$5:$Q$5,"államigazgatási",'2.9. sz. Szivárvány Ó.'!$D$3:$Q$3,"Eredeti előirányzat")</f>
        <v>0</v>
      </c>
      <c r="I36" s="6">
        <f>SUMIFS('2.1. sz. PMH'!D36:AA36,'2.1. sz. PMH'!$D$5:$AA$5,"államigazgatási",'2.1. sz. PMH'!$D$3:$AA$3,"Módosított előirányzat")+SUMIFS('2.2. sz. Hétszínvirág Óvoda'!D36:S36,'2.2. sz. Hétszínvirág Óvoda'!$D$5:$S$5,"államigazgatási",'2.2. sz. Hétszínvirág Óvoda'!$D$3:$S$3,"Módosított előirányzat")+SUMIFS('2.3. sz. Mese Óvoda'!D36:O36,'2.3. sz. Mese Óvoda'!$D$5:$O$5,"államigazgatási",'2.3. sz. Mese Óvoda'!$D$3:$O$3,"Módosított előirányzat")+SUMIFS('2.4. sz. Bölcsőde'!D36:M36,'2.4. sz. Bölcsőde'!$D$5:$M$5,"államigazgatási",'2.4. sz. Bölcsőde'!$D$3:$M$3,"Módosított előirányzat")+SUMIFS('2.5. sz. Gyermekjóléti'!D36:Q36,'2.5. sz. Gyermekjóléti'!$D$5:$Q$5,"államigazgatási",'2.5. sz. Gyermekjóléti'!$D$3:$Q$3,"Módosított előirányzat")+SUMIFS('2.6 sz. Területi'!D36:AO36,'2.6 sz. Területi'!$D$5:$AO$5,"államigazgatási",'2.6 sz. Területi'!$D$3:$AO$3,"Módosított előirányzat")+SUMIFS('2.7. sz. Könyvtár'!D36:S36,'2.7. sz. Könyvtár'!$D$5:$S$5,"államigazgatási",'2.7. sz. Könyvtár'!$D$3:$S$3,"Módosított előirányzat")+SUMIFS('2.8. sz. Műv.Ház'!D36:S36,'2.8. sz. Műv.Ház'!$D$5:$S$5,"államigazgatási",'2.8. sz. Műv.Ház'!$D$3:$S$3,"Módosított előirányzat")+SUMIFS('2.9. sz. Szivárvány Ó.'!D36:Q36,'2.9. sz. Szivárvány Ó.'!$D$5:$Q$5,"államigazgatási",'2.9. sz. Szivárvány Ó.'!$D$3:$Q$3,"Módosított előirányzat")</f>
        <v>0</v>
      </c>
      <c r="J36" s="6">
        <f t="shared" si="0"/>
        <v>0</v>
      </c>
      <c r="K36" s="1179">
        <f t="shared" si="1"/>
        <v>295000</v>
      </c>
    </row>
    <row r="37" spans="1:12" ht="23.25" customHeight="1" x14ac:dyDescent="0.25">
      <c r="A37" s="26" t="s">
        <v>274</v>
      </c>
      <c r="B37" s="28" t="s">
        <v>244</v>
      </c>
      <c r="C37" s="32" t="s">
        <v>221</v>
      </c>
      <c r="D37" s="6">
        <f>SUMIFS('2.1. sz. PMH'!D37:AA37,'2.1. sz. PMH'!$D$5:$AA$5,"kötelező",'2.1. sz. PMH'!$D$3:$AA$3,"Eredeti előirányzat")+SUMIFS('2.2. sz. Hétszínvirág Óvoda'!D37:S37,'2.2. sz. Hétszínvirág Óvoda'!$D$5:$S$5,"kötelező",'2.2. sz. Hétszínvirág Óvoda'!$D$3:$S$3,"Eredeti előirányzat")+SUMIFS('2.3. sz. Mese Óvoda'!D37:O37,'2.3. sz. Mese Óvoda'!$D$5:$O$5,"kötelező",'2.3. sz. Mese Óvoda'!$D$3:$O$3,"Eredeti előirányzat")+SUMIFS('2.4. sz. Bölcsőde'!D37:M37,'2.4. sz. Bölcsőde'!$D$5:$M$5,"kötelező",'2.4. sz. Bölcsőde'!$D$3:$M$3,"Eredeti előirányzat")+SUMIFS('2.5. sz. Gyermekjóléti'!D37:Q37,'2.5. sz. Gyermekjóléti'!$D$5:$Q$5,"kötelező",'2.5. sz. Gyermekjóléti'!$D$3:$Q$3,"Eredeti előirányzat")+SUMIFS('2.6 sz. Területi'!D37:AO37,'2.6 sz. Területi'!$D$5:$AO$5,"kötelező",'2.6 sz. Területi'!$D$3:$AO$3,"Eredeti előirányzat")+SUMIFS('2.7. sz. Könyvtár'!D37:S37,'2.7. sz. Könyvtár'!$D$5:$S$5,"kötelező",'2.7. sz. Könyvtár'!$D$3:$S$3,"Eredeti előirányzat")+SUMIFS('2.8. sz. Műv.Ház'!D37:S37,'2.8. sz. Műv.Ház'!$D$5:$S$5,"kötelező",'2.8. sz. Műv.Ház'!$D$3:$S$3,"Eredeti előirányzat")+SUMIFS('2.9. sz. Szivárvány Ó.'!D37:Q37,'2.9. sz. Szivárvány Ó.'!$D$5:$Q$5,"kötelező",'2.9. sz. Szivárvány Ó.'!$D$3:$Q$3,"Eredeti előirányzat")</f>
        <v>5088400</v>
      </c>
      <c r="E37" s="6">
        <f>SUMIFS('2.1. sz. PMH'!D37:AA37,'2.1. sz. PMH'!$D$5:$AA$5,"kötelező",'2.1. sz. PMH'!$D$3:$AA$3,"Módosított előirányzat")+SUMIFS('2.2. sz. Hétszínvirág Óvoda'!D37:S37,'2.2. sz. Hétszínvirág Óvoda'!$D$5:$S$5,"kötelező",'2.2. sz. Hétszínvirág Óvoda'!$D$3:$S$3,"Módosított előirányzat")+SUMIFS('2.3. sz. Mese Óvoda'!D37:O37,'2.3. sz. Mese Óvoda'!$D$5:$O$5,"kötelező",'2.3. sz. Mese Óvoda'!$D$3:$O$3,"Módosított előirányzat")+SUMIFS('2.4. sz. Bölcsőde'!D37:M37,'2.4. sz. Bölcsőde'!$D$5:$M$5,"kötelező",'2.4. sz. Bölcsőde'!$D$3:$M$3,"Módosított előirányzat")+SUMIFS('2.5. sz. Gyermekjóléti'!D37:Q37,'2.5. sz. Gyermekjóléti'!$D$5:$Q$5,"kötelező",'2.5. sz. Gyermekjóléti'!$D$3:$Q$3,"Módosított előirányzat")+SUMIFS('2.6 sz. Területi'!D37:AO37,'2.6 sz. Területi'!$D$5:$AO$5,"kötelező",'2.6 sz. Területi'!$D$3:$AO$3,"Módosított előirányzat")+SUMIFS('2.7. sz. Könyvtár'!D37:S37,'2.7. sz. Könyvtár'!$D$5:$S$5,"kötelező",'2.7. sz. Könyvtár'!$D$3:$S$3,"Módosított előirányzat")+SUMIFS('2.8. sz. Műv.Ház'!D37:S37,'2.8. sz. Műv.Ház'!$D$5:$S$5,"kötelező",'2.8. sz. Műv.Ház'!$D$3:$S$3,"Módosított előirányzat")+SUMIFS('2.9. sz. Szivárvány Ó.'!D37:Q37,'2.9. sz. Szivárvány Ó.'!$D$5:$Q$5,"kötelező",'2.9. sz. Szivárvány Ó.'!$D$3:$Q$3,"Módosított előirányzat")</f>
        <v>7052000</v>
      </c>
      <c r="F37" s="6">
        <f>SUMIFS('2.1. sz. PMH'!D37:AA37,'2.1. sz. PMH'!$D$5:$AA$5,"önként vállalt",'2.1. sz. PMH'!$D$3:$AA$3,"Eredeti előirányzat")+SUMIFS('2.2. sz. Hétszínvirág Óvoda'!D37:S37,'2.2. sz. Hétszínvirág Óvoda'!$D$5:$S$5,"önként vállalt",'2.2. sz. Hétszínvirág Óvoda'!$D$3:$S$3,"Eredeti előirányzat")+SUMIFS('2.3. sz. Mese Óvoda'!D37:O37,'2.3. sz. Mese Óvoda'!$D$5:$O$5,"önként vállalt",'2.3. sz. Mese Óvoda'!$D$3:$O$3,"Eredeti előirányzat")+SUMIFS('2.4. sz. Bölcsőde'!D37:M37,'2.4. sz. Bölcsőde'!$D$5:$M$5,"önként vállalt",'2.4. sz. Bölcsőde'!$D$3:$M$3,"Eredeti előirányzat")+SUMIFS('2.5. sz. Gyermekjóléti'!D37:Q37,'2.5. sz. Gyermekjóléti'!$D$5:$Q$5,"önként vállalt",'2.5. sz. Gyermekjóléti'!$D$3:$Q$3,"Eredeti előirányzat")+SUMIFS('2.6 sz. Területi'!D37:AO37,'2.6 sz. Területi'!$D$5:$AO$5,"önként vállalt",'2.6 sz. Területi'!$D$3:$AO$3,"Eredeti előirányzat")+SUMIFS('2.7. sz. Könyvtár'!D37:S37,'2.7. sz. Könyvtár'!$D$5:$S$5,"önként vállalt",'2.7. sz. Könyvtár'!$D$3:$S$3,"Eredeti előirányzat")+SUMIFS('2.8. sz. Műv.Ház'!D37:S37,'2.8. sz. Műv.Ház'!$D$5:$S$5,"önként vállalt",'2.8. sz. Műv.Ház'!$D$3:$S$3,"Eredeti előirányzat")+SUMIFS('2.9. sz. Szivárvány Ó.'!D37:Q37,'2.9. sz. Szivárvány Ó.'!$D$5:$Q$5,"önként vállalt",'2.9. sz. Szivárvány Ó.'!$D$3:$Q$3,"Eredeti előirányzat")</f>
        <v>0</v>
      </c>
      <c r="G37" s="6">
        <f>SUMIFS('2.1. sz. PMH'!D37:AA37,'2.1. sz. PMH'!$D$5:$AA$5,"önként vállalt",'2.1. sz. PMH'!$D$3:$AA$3,"Módosított előirányzat")+SUMIFS('2.2. sz. Hétszínvirág Óvoda'!D37:S37,'2.2. sz. Hétszínvirág Óvoda'!$D$5:$S$5,"önként vállalt",'2.2. sz. Hétszínvirág Óvoda'!$D$3:$S$3,"Módosított előirányzat")+SUMIFS('2.3. sz. Mese Óvoda'!D37:O37,'2.3. sz. Mese Óvoda'!$D$5:$O$5,"önként vállalt",'2.3. sz. Mese Óvoda'!$D$3:$O$3,"Módosított előirányzat")+SUMIFS('2.4. sz. Bölcsőde'!D37:M37,'2.4. sz. Bölcsőde'!$D$5:$M$5,"önként vállalt",'2.4. sz. Bölcsőde'!$D$3:$M$3,"Módosított előirányzat")+SUMIFS('2.5. sz. Gyermekjóléti'!D37:Q37,'2.5. sz. Gyermekjóléti'!$D$5:$Q$5,"önként vállalt",'2.5. sz. Gyermekjóléti'!$D$3:$Q$3,"Módosított előirányzat")+SUMIFS('2.6 sz. Területi'!D37:AO37,'2.6 sz. Területi'!$D$5:$AO$5,"önként vállalt",'2.6 sz. Területi'!$D$3:$AO$3,"Módosított előirányzat")+SUMIFS('2.7. sz. Könyvtár'!D37:S37,'2.7. sz. Könyvtár'!$D$5:$S$5,"önként vállalt",'2.7. sz. Könyvtár'!$D$3:$S$3,"Módosított előirányzat")+SUMIFS('2.8. sz. Műv.Ház'!D37:S37,'2.8. sz. Műv.Ház'!$D$5:$S$5,"önként vállalt",'2.8. sz. Műv.Ház'!$D$3:$S$3,"Módosított előirányzat")+SUMIFS('2.9. sz. Szivárvány Ó.'!D37:Q37,'2.9. sz. Szivárvány Ó.'!$D$5:$Q$5,"önként vállalt",'2.9. sz. Szivárvány Ó.'!$D$3:$Q$3,"Módosított előirányzat")</f>
        <v>0</v>
      </c>
      <c r="H37" s="6">
        <f>SUMIFS('2.1. sz. PMH'!D37:AA37,'2.1. sz. PMH'!$D$5:$AA$5,"államigazgatási",'2.1. sz. PMH'!$D$3:$AA$3,"Eredeti előirányzat")+SUMIFS('2.2. sz. Hétszínvirág Óvoda'!D37:S37,'2.2. sz. Hétszínvirág Óvoda'!$D$5:$S$5,"államigazgatási",'2.2. sz. Hétszínvirág Óvoda'!$D$3:$S$3,"Eredeti előirányzat")+SUMIFS('2.3. sz. Mese Óvoda'!D37:O37,'2.3. sz. Mese Óvoda'!$D$5:$O$5,"államigazgatási",'2.3. sz. Mese Óvoda'!$D$3:$O$3,"Eredeti előirányzat")+SUMIFS('2.4. sz. Bölcsőde'!D37:M37,'2.4. sz. Bölcsőde'!$D$5:$M$5,"államigazgatási",'2.4. sz. Bölcsőde'!$D$3:$M$3,"Eredeti előirányzat")+SUMIFS('2.5. sz. Gyermekjóléti'!D37:Q37,'2.5. sz. Gyermekjóléti'!$D$5:$Q$5,"államigazgatási",'2.5. sz. Gyermekjóléti'!$D$3:$Q$3,"Eredeti előirányzat")+SUMIFS('2.6 sz. Területi'!D37:AO37,'2.6 sz. Területi'!$D$5:$AO$5,"államigazgatási",'2.6 sz. Területi'!$D$3:$AO$3,"Eredeti előirányzat")+SUMIFS('2.7. sz. Könyvtár'!D37:S37,'2.7. sz. Könyvtár'!$D$5:$S$5,"államigazgatási",'2.7. sz. Könyvtár'!$D$3:$S$3,"Eredeti előirányzat")+SUMIFS('2.8. sz. Műv.Ház'!D37:S37,'2.8. sz. Műv.Ház'!$D$5:$S$5,"államigazgatási",'2.8. sz. Műv.Ház'!$D$3:$S$3,"Eredeti előirányzat")+SUMIFS('2.9. sz. Szivárvány Ó.'!D37:Q37,'2.9. sz. Szivárvány Ó.'!$D$5:$Q$5,"államigazgatási",'2.9. sz. Szivárvány Ó.'!$D$3:$Q$3,"Eredeti előirányzat")</f>
        <v>0</v>
      </c>
      <c r="I37" s="6">
        <f>SUMIFS('2.1. sz. PMH'!D37:AA37,'2.1. sz. PMH'!$D$5:$AA$5,"államigazgatási",'2.1. sz. PMH'!$D$3:$AA$3,"Módosított előirányzat")+SUMIFS('2.2. sz. Hétszínvirág Óvoda'!D37:S37,'2.2. sz. Hétszínvirág Óvoda'!$D$5:$S$5,"államigazgatási",'2.2. sz. Hétszínvirág Óvoda'!$D$3:$S$3,"Módosított előirányzat")+SUMIFS('2.3. sz. Mese Óvoda'!D37:O37,'2.3. sz. Mese Óvoda'!$D$5:$O$5,"államigazgatási",'2.3. sz. Mese Óvoda'!$D$3:$O$3,"Módosított előirányzat")+SUMIFS('2.4. sz. Bölcsőde'!D37:M37,'2.4. sz. Bölcsőde'!$D$5:$M$5,"államigazgatási",'2.4. sz. Bölcsőde'!$D$3:$M$3,"Módosított előirányzat")+SUMIFS('2.5. sz. Gyermekjóléti'!D37:Q37,'2.5. sz. Gyermekjóléti'!$D$5:$Q$5,"államigazgatási",'2.5. sz. Gyermekjóléti'!$D$3:$Q$3,"Módosított előirányzat")+SUMIFS('2.6 sz. Területi'!D37:AO37,'2.6 sz. Területi'!$D$5:$AO$5,"államigazgatási",'2.6 sz. Területi'!$D$3:$AO$3,"Módosított előirányzat")+SUMIFS('2.7. sz. Könyvtár'!D37:S37,'2.7. sz. Könyvtár'!$D$5:$S$5,"államigazgatási",'2.7. sz. Könyvtár'!$D$3:$S$3,"Módosított előirányzat")+SUMIFS('2.8. sz. Műv.Ház'!D37:S37,'2.8. sz. Műv.Ház'!$D$5:$S$5,"államigazgatási",'2.8. sz. Műv.Ház'!$D$3:$S$3,"Módosított előirányzat")+SUMIFS('2.9. sz. Szivárvány Ó.'!D37:Q37,'2.9. sz. Szivárvány Ó.'!$D$5:$Q$5,"államigazgatási",'2.9. sz. Szivárvány Ó.'!$D$3:$Q$3,"Módosított előirányzat")</f>
        <v>0</v>
      </c>
      <c r="J37" s="6">
        <f t="shared" si="0"/>
        <v>5088400</v>
      </c>
      <c r="K37" s="1179">
        <f t="shared" si="1"/>
        <v>7052000</v>
      </c>
    </row>
    <row r="38" spans="1:12" ht="23.25" customHeight="1" x14ac:dyDescent="0.25">
      <c r="A38" s="26" t="s">
        <v>275</v>
      </c>
      <c r="B38" s="29" t="s">
        <v>245</v>
      </c>
      <c r="C38" s="32" t="s">
        <v>222</v>
      </c>
      <c r="D38" s="7">
        <f>SUMIFS('2.1. sz. PMH'!D38:AA38,'2.1. sz. PMH'!$D$5:$AA$5,"kötelező",'2.1. sz. PMH'!$D$3:$AA$3,"Eredeti előirányzat")+SUMIFS('2.2. sz. Hétszínvirág Óvoda'!D38:S38,'2.2. sz. Hétszínvirág Óvoda'!$D$5:$S$5,"kötelező",'2.2. sz. Hétszínvirág Óvoda'!$D$3:$S$3,"Eredeti előirányzat")+SUMIFS('2.3. sz. Mese Óvoda'!D38:O38,'2.3. sz. Mese Óvoda'!$D$5:$O$5,"kötelező",'2.3. sz. Mese Óvoda'!$D$3:$O$3,"Eredeti előirányzat")+SUMIFS('2.4. sz. Bölcsőde'!D38:M38,'2.4. sz. Bölcsőde'!$D$5:$M$5,"kötelező",'2.4. sz. Bölcsőde'!$D$3:$M$3,"Eredeti előirányzat")+SUMIFS('2.5. sz. Gyermekjóléti'!D38:Q38,'2.5. sz. Gyermekjóléti'!$D$5:$Q$5,"kötelező",'2.5. sz. Gyermekjóléti'!$D$3:$Q$3,"Eredeti előirányzat")+SUMIFS('2.6 sz. Területi'!D38:AO38,'2.6 sz. Területi'!$D$5:$AO$5,"kötelező",'2.6 sz. Területi'!$D$3:$AO$3,"Eredeti előirányzat")+SUMIFS('2.7. sz. Könyvtár'!D38:S38,'2.7. sz. Könyvtár'!$D$5:$S$5,"kötelező",'2.7. sz. Könyvtár'!$D$3:$S$3,"Eredeti előirányzat")+SUMIFS('2.8. sz. Műv.Ház'!D38:S38,'2.8. sz. Műv.Ház'!$D$5:$S$5,"kötelező",'2.8. sz. Műv.Ház'!$D$3:$S$3,"Eredeti előirányzat")+SUMIFS('2.9. sz. Szivárvány Ó.'!D38:Q38,'2.9. sz. Szivárvány Ó.'!$D$5:$Q$5,"kötelező",'2.9. sz. Szivárvány Ó.'!$D$3:$Q$3,"Eredeti előirányzat")</f>
        <v>306320454</v>
      </c>
      <c r="E38" s="7">
        <f>SUMIFS('2.1. sz. PMH'!D38:AA38,'2.1. sz. PMH'!$D$5:$AA$5,"kötelező",'2.1. sz. PMH'!$D$3:$AA$3,"Módosított előirányzat")+SUMIFS('2.2. sz. Hétszínvirág Óvoda'!D38:S38,'2.2. sz. Hétszínvirág Óvoda'!$D$5:$S$5,"kötelező",'2.2. sz. Hétszínvirág Óvoda'!$D$3:$S$3,"Módosított előirányzat")+SUMIFS('2.3. sz. Mese Óvoda'!D38:O38,'2.3. sz. Mese Óvoda'!$D$5:$O$5,"kötelező",'2.3. sz. Mese Óvoda'!$D$3:$O$3,"Módosított előirányzat")+SUMIFS('2.4. sz. Bölcsőde'!D38:M38,'2.4. sz. Bölcsőde'!$D$5:$M$5,"kötelező",'2.4. sz. Bölcsőde'!$D$3:$M$3,"Módosított előirányzat")+SUMIFS('2.5. sz. Gyermekjóléti'!D38:Q38,'2.5. sz. Gyermekjóléti'!$D$5:$Q$5,"kötelező",'2.5. sz. Gyermekjóléti'!$D$3:$Q$3,"Módosított előirányzat")+SUMIFS('2.6 sz. Területi'!D38:AO38,'2.6 sz. Területi'!$D$5:$AO$5,"kötelező",'2.6 sz. Területi'!$D$3:$AO$3,"Módosított előirányzat")+SUMIFS('2.7. sz. Könyvtár'!D38:S38,'2.7. sz. Könyvtár'!$D$5:$S$5,"kötelező",'2.7. sz. Könyvtár'!$D$3:$S$3,"Módosított előirányzat")+SUMIFS('2.8. sz. Műv.Ház'!D38:S38,'2.8. sz. Műv.Ház'!$D$5:$S$5,"kötelező",'2.8. sz. Műv.Ház'!$D$3:$S$3,"Módosított előirányzat")+SUMIFS('2.9. sz. Szivárvány Ó.'!D38:Q38,'2.9. sz. Szivárvány Ó.'!$D$5:$Q$5,"kötelező",'2.9. sz. Szivárvány Ó.'!$D$3:$Q$3,"Módosított előirányzat")</f>
        <v>419241001</v>
      </c>
      <c r="F38" s="7">
        <f>SUMIFS('2.1. sz. PMH'!D38:AA38,'2.1. sz. PMH'!$D$5:$AA$5,"önként vállalt",'2.1. sz. PMH'!$D$3:$AA$3,"Eredeti előirányzat")+SUMIFS('2.2. sz. Hétszínvirág Óvoda'!D38:S38,'2.2. sz. Hétszínvirág Óvoda'!$D$5:$S$5,"önként vállalt",'2.2. sz. Hétszínvirág Óvoda'!$D$3:$S$3,"Eredeti előirányzat")+SUMIFS('2.3. sz. Mese Óvoda'!D38:O38,'2.3. sz. Mese Óvoda'!$D$5:$O$5,"önként vállalt",'2.3. sz. Mese Óvoda'!$D$3:$O$3,"Eredeti előirányzat")+SUMIFS('2.4. sz. Bölcsőde'!D38:M38,'2.4. sz. Bölcsőde'!$D$5:$M$5,"önként vállalt",'2.4. sz. Bölcsőde'!$D$3:$M$3,"Eredeti előirányzat")+SUMIFS('2.5. sz. Gyermekjóléti'!D38:Q38,'2.5. sz. Gyermekjóléti'!$D$5:$Q$5,"önként vállalt",'2.5. sz. Gyermekjóléti'!$D$3:$Q$3,"Eredeti előirányzat")+SUMIFS('2.6 sz. Területi'!D38:AO38,'2.6 sz. Területi'!$D$5:$AO$5,"önként vállalt",'2.6 sz. Területi'!$D$3:$AO$3,"Eredeti előirányzat")+SUMIFS('2.7. sz. Könyvtár'!D38:S38,'2.7. sz. Könyvtár'!$D$5:$S$5,"önként vállalt",'2.7. sz. Könyvtár'!$D$3:$S$3,"Eredeti előirányzat")+SUMIFS('2.8. sz. Műv.Ház'!D38:S38,'2.8. sz. Műv.Ház'!$D$5:$S$5,"önként vállalt",'2.8. sz. Műv.Ház'!$D$3:$S$3,"Eredeti előirányzat")+SUMIFS('2.9. sz. Szivárvány Ó.'!D38:Q38,'2.9. sz. Szivárvány Ó.'!$D$5:$Q$5,"önként vállalt",'2.9. sz. Szivárvány Ó.'!$D$3:$Q$3,"Eredeti előirányzat")</f>
        <v>3800000</v>
      </c>
      <c r="G38" s="7">
        <f>SUMIFS('2.1. sz. PMH'!D38:AA38,'2.1. sz. PMH'!$D$5:$AA$5,"önként vállalt",'2.1. sz. PMH'!$D$3:$AA$3,"Módosított előirányzat")+SUMIFS('2.2. sz. Hétszínvirág Óvoda'!D38:S38,'2.2. sz. Hétszínvirág Óvoda'!$D$5:$S$5,"önként vállalt",'2.2. sz. Hétszínvirág Óvoda'!$D$3:$S$3,"Módosított előirányzat")+SUMIFS('2.3. sz. Mese Óvoda'!D38:O38,'2.3. sz. Mese Óvoda'!$D$5:$O$5,"önként vállalt",'2.3. sz. Mese Óvoda'!$D$3:$O$3,"Módosított előirányzat")+SUMIFS('2.4. sz. Bölcsőde'!D38:M38,'2.4. sz. Bölcsőde'!$D$5:$M$5,"önként vállalt",'2.4. sz. Bölcsőde'!$D$3:$M$3,"Módosított előirányzat")+SUMIFS('2.5. sz. Gyermekjóléti'!D38:Q38,'2.5. sz. Gyermekjóléti'!$D$5:$Q$5,"önként vállalt",'2.5. sz. Gyermekjóléti'!$D$3:$Q$3,"Módosított előirányzat")+SUMIFS('2.6 sz. Területi'!D38:AO38,'2.6 sz. Területi'!$D$5:$AO$5,"önként vállalt",'2.6 sz. Területi'!$D$3:$AO$3,"Módosított előirányzat")+SUMIFS('2.7. sz. Könyvtár'!D38:S38,'2.7. sz. Könyvtár'!$D$5:$S$5,"önként vállalt",'2.7. sz. Könyvtár'!$D$3:$S$3,"Módosított előirányzat")+SUMIFS('2.8. sz. Műv.Ház'!D38:S38,'2.8. sz. Műv.Ház'!$D$5:$S$5,"önként vállalt",'2.8. sz. Műv.Ház'!$D$3:$S$3,"Módosított előirányzat")+SUMIFS('2.9. sz. Szivárvány Ó.'!D38:Q38,'2.9. sz. Szivárvány Ó.'!$D$5:$Q$5,"önként vállalt",'2.9. sz. Szivárvány Ó.'!$D$3:$Q$3,"Módosított előirányzat")</f>
        <v>3945640</v>
      </c>
      <c r="H38" s="7">
        <f>SUMIFS('2.1. sz. PMH'!D38:AA38,'2.1. sz. PMH'!$D$5:$AA$5,"államigazgatási",'2.1. sz. PMH'!$D$3:$AA$3,"Eredeti előirányzat")+SUMIFS('2.2. sz. Hétszínvirág Óvoda'!D38:S38,'2.2. sz. Hétszínvirág Óvoda'!$D$5:$S$5,"államigazgatási",'2.2. sz. Hétszínvirág Óvoda'!$D$3:$S$3,"Eredeti előirányzat")+SUMIFS('2.3. sz. Mese Óvoda'!D38:O38,'2.3. sz. Mese Óvoda'!$D$5:$O$5,"államigazgatási",'2.3. sz. Mese Óvoda'!$D$3:$O$3,"Eredeti előirányzat")+SUMIFS('2.4. sz. Bölcsőde'!D38:M38,'2.4. sz. Bölcsőde'!$D$5:$M$5,"államigazgatási",'2.4. sz. Bölcsőde'!$D$3:$M$3,"Eredeti előirányzat")+SUMIFS('2.5. sz. Gyermekjóléti'!D38:Q38,'2.5. sz. Gyermekjóléti'!$D$5:$Q$5,"államigazgatási",'2.5. sz. Gyermekjóléti'!$D$3:$Q$3,"Eredeti előirányzat")+SUMIFS('2.6 sz. Területi'!D38:AO38,'2.6 sz. Területi'!$D$5:$AO$5,"államigazgatási",'2.6 sz. Területi'!$D$3:$AO$3,"Eredeti előirányzat")+SUMIFS('2.7. sz. Könyvtár'!D38:S38,'2.7. sz. Könyvtár'!$D$5:$S$5,"államigazgatási",'2.7. sz. Könyvtár'!$D$3:$S$3,"Eredeti előirányzat")+SUMIFS('2.8. sz. Műv.Ház'!D38:S38,'2.8. sz. Műv.Ház'!$D$5:$S$5,"államigazgatási",'2.8. sz. Műv.Ház'!$D$3:$S$3,"Eredeti előirányzat")+SUMIFS('2.9. sz. Szivárvány Ó.'!D38:Q38,'2.9. sz. Szivárvány Ó.'!$D$5:$Q$5,"államigazgatási",'2.9. sz. Szivárvány Ó.'!$D$3:$Q$3,"Eredeti előirányzat")</f>
        <v>4000000</v>
      </c>
      <c r="I38" s="7">
        <f>SUMIFS('2.1. sz. PMH'!D38:AA38,'2.1. sz. PMH'!$D$5:$AA$5,"államigazgatási",'2.1. sz. PMH'!$D$3:$AA$3,"Módosított előirányzat")+SUMIFS('2.2. sz. Hétszínvirág Óvoda'!D38:S38,'2.2. sz. Hétszínvirág Óvoda'!$D$5:$S$5,"államigazgatási",'2.2. sz. Hétszínvirág Óvoda'!$D$3:$S$3,"Módosított előirányzat")+SUMIFS('2.3. sz. Mese Óvoda'!D38:O38,'2.3. sz. Mese Óvoda'!$D$5:$O$5,"államigazgatási",'2.3. sz. Mese Óvoda'!$D$3:$O$3,"Módosított előirányzat")+SUMIFS('2.4. sz. Bölcsőde'!D38:M38,'2.4. sz. Bölcsőde'!$D$5:$M$5,"államigazgatási",'2.4. sz. Bölcsőde'!$D$3:$M$3,"Módosított előirányzat")+SUMIFS('2.5. sz. Gyermekjóléti'!D38:Q38,'2.5. sz. Gyermekjóléti'!$D$5:$Q$5,"államigazgatási",'2.5. sz. Gyermekjóléti'!$D$3:$Q$3,"Módosított előirányzat")+SUMIFS('2.6 sz. Területi'!D38:AO38,'2.6 sz. Területi'!$D$5:$AO$5,"államigazgatási",'2.6 sz. Területi'!$D$3:$AO$3,"Módosított előirányzat")+SUMIFS('2.7. sz. Könyvtár'!D38:S38,'2.7. sz. Könyvtár'!$D$5:$S$5,"államigazgatási",'2.7. sz. Könyvtár'!$D$3:$S$3,"Módosított előirányzat")+SUMIFS('2.8. sz. Műv.Ház'!D38:S38,'2.8. sz. Műv.Ház'!$D$5:$S$5,"államigazgatási",'2.8. sz. Műv.Ház'!$D$3:$S$3,"Módosított előirányzat")+SUMIFS('2.9. sz. Szivárvány Ó.'!D38:Q38,'2.9. sz. Szivárvány Ó.'!$D$5:$Q$5,"államigazgatási",'2.9. sz. Szivárvány Ó.'!$D$3:$Q$3,"Módosított előirányzat")</f>
        <v>29647804</v>
      </c>
      <c r="J38" s="7">
        <f t="shared" si="0"/>
        <v>314120454</v>
      </c>
      <c r="K38" s="1180">
        <f t="shared" si="1"/>
        <v>452834445</v>
      </c>
    </row>
    <row r="39" spans="1:12" ht="23.25" customHeight="1" x14ac:dyDescent="0.25">
      <c r="A39" s="26" t="s">
        <v>276</v>
      </c>
      <c r="B39" s="32" t="s">
        <v>246</v>
      </c>
      <c r="C39" s="27" t="s">
        <v>224</v>
      </c>
      <c r="D39" s="6">
        <f>SUMIFS('2.1. sz. PMH'!D39:AA39,'2.1. sz. PMH'!$D$5:$AA$5,"kötelező",'2.1. sz. PMH'!$D$3:$AA$3,"Eredeti előirányzat")+SUMIFS('2.2. sz. Hétszínvirág Óvoda'!D39:S39,'2.2. sz. Hétszínvirág Óvoda'!$D$5:$S$5,"kötelező",'2.2. sz. Hétszínvirág Óvoda'!$D$3:$S$3,"Eredeti előirányzat")+SUMIFS('2.3. sz. Mese Óvoda'!D39:O39,'2.3. sz. Mese Óvoda'!$D$5:$O$5,"kötelező",'2.3. sz. Mese Óvoda'!$D$3:$O$3,"Eredeti előirányzat")+SUMIFS('2.4. sz. Bölcsőde'!D39:M39,'2.4. sz. Bölcsőde'!$D$5:$M$5,"kötelező",'2.4. sz. Bölcsőde'!$D$3:$M$3,"Eredeti előirányzat")+SUMIFS('2.5. sz. Gyermekjóléti'!D39:Q39,'2.5. sz. Gyermekjóléti'!$D$5:$Q$5,"kötelező",'2.5. sz. Gyermekjóléti'!$D$3:$Q$3,"Eredeti előirányzat")+SUMIFS('2.6 sz. Területi'!D39:AO39,'2.6 sz. Területi'!$D$5:$AO$5,"kötelező",'2.6 sz. Területi'!$D$3:$AO$3,"Eredeti előirányzat")+SUMIFS('2.7. sz. Könyvtár'!D39:S39,'2.7. sz. Könyvtár'!$D$5:$S$5,"kötelező",'2.7. sz. Könyvtár'!$D$3:$S$3,"Eredeti előirányzat")+SUMIFS('2.8. sz. Műv.Ház'!D39:S39,'2.8. sz. Műv.Ház'!$D$5:$S$5,"kötelező",'2.8. sz. Műv.Ház'!$D$3:$S$3,"Eredeti előirányzat")+SUMIFS('2.9. sz. Szivárvány Ó.'!D39:Q39,'2.9. sz. Szivárvány Ó.'!$D$5:$Q$5,"kötelező",'2.9. sz. Szivárvány Ó.'!$D$3:$Q$3,"Eredeti előirányzat")</f>
        <v>3602166100</v>
      </c>
      <c r="E39" s="6">
        <f>SUMIFS('2.1. sz. PMH'!D39:AA39,'2.1. sz. PMH'!$D$5:$AA$5,"kötelező",'2.1. sz. PMH'!$D$3:$AA$3,"Módosított előirányzat")+SUMIFS('2.2. sz. Hétszínvirág Óvoda'!D39:S39,'2.2. sz. Hétszínvirág Óvoda'!$D$5:$S$5,"kötelező",'2.2. sz. Hétszínvirág Óvoda'!$D$3:$S$3,"Módosított előirányzat")+SUMIFS('2.3. sz. Mese Óvoda'!D39:O39,'2.3. sz. Mese Óvoda'!$D$5:$O$5,"kötelező",'2.3. sz. Mese Óvoda'!$D$3:$O$3,"Módosított előirányzat")+SUMIFS('2.4. sz. Bölcsőde'!D39:M39,'2.4. sz. Bölcsőde'!$D$5:$M$5,"kötelező",'2.4. sz. Bölcsőde'!$D$3:$M$3,"Módosított előirányzat")+SUMIFS('2.5. sz. Gyermekjóléti'!D39:Q39,'2.5. sz. Gyermekjóléti'!$D$5:$Q$5,"kötelező",'2.5. sz. Gyermekjóléti'!$D$3:$Q$3,"Módosított előirányzat")+SUMIFS('2.6 sz. Területi'!D39:AO39,'2.6 sz. Területi'!$D$5:$AO$5,"kötelező",'2.6 sz. Területi'!$D$3:$AO$3,"Módosított előirányzat")+SUMIFS('2.7. sz. Könyvtár'!D39:S39,'2.7. sz. Könyvtár'!$D$5:$S$5,"kötelező",'2.7. sz. Könyvtár'!$D$3:$S$3,"Módosított előirányzat")+SUMIFS('2.8. sz. Műv.Ház'!D39:S39,'2.8. sz. Műv.Ház'!$D$5:$S$5,"kötelező",'2.8. sz. Műv.Ház'!$D$3:$S$3,"Módosított előirányzat")+SUMIFS('2.9. sz. Szivárvány Ó.'!D39:Q39,'2.9. sz. Szivárvány Ó.'!$D$5:$Q$5,"kötelező",'2.9. sz. Szivárvány Ó.'!$D$3:$Q$3,"Módosított előirányzat")</f>
        <v>3970455043</v>
      </c>
      <c r="F39" s="6">
        <f>SUMIFS('2.1. sz. PMH'!D39:AA39,'2.1. sz. PMH'!$D$5:$AA$5,"önként vállalt",'2.1. sz. PMH'!$D$3:$AA$3,"Eredeti előirányzat")+SUMIFS('2.2. sz. Hétszínvirág Óvoda'!D39:S39,'2.2. sz. Hétszínvirág Óvoda'!$D$5:$S$5,"önként vállalt",'2.2. sz. Hétszínvirág Óvoda'!$D$3:$S$3,"Eredeti előirányzat")+SUMIFS('2.3. sz. Mese Óvoda'!D39:O39,'2.3. sz. Mese Óvoda'!$D$5:$O$5,"önként vállalt",'2.3. sz. Mese Óvoda'!$D$3:$O$3,"Eredeti előirányzat")+SUMIFS('2.4. sz. Bölcsőde'!D39:M39,'2.4. sz. Bölcsőde'!$D$5:$M$5,"önként vállalt",'2.4. sz. Bölcsőde'!$D$3:$M$3,"Eredeti előirányzat")+SUMIFS('2.5. sz. Gyermekjóléti'!D39:Q39,'2.5. sz. Gyermekjóléti'!$D$5:$Q$5,"önként vállalt",'2.5. sz. Gyermekjóléti'!$D$3:$Q$3,"Eredeti előirányzat")+SUMIFS('2.6 sz. Területi'!D39:AO39,'2.6 sz. Területi'!$D$5:$AO$5,"önként vállalt",'2.6 sz. Területi'!$D$3:$AO$3,"Eredeti előirányzat")+SUMIFS('2.7. sz. Könyvtár'!D39:S39,'2.7. sz. Könyvtár'!$D$5:$S$5,"önként vállalt",'2.7. sz. Könyvtár'!$D$3:$S$3,"Eredeti előirányzat")+SUMIFS('2.8. sz. Műv.Ház'!D39:S39,'2.8. sz. Műv.Ház'!$D$5:$S$5,"önként vállalt",'2.8. sz. Műv.Ház'!$D$3:$S$3,"Eredeti előirányzat")+SUMIFS('2.9. sz. Szivárvány Ó.'!D39:Q39,'2.9. sz. Szivárvány Ó.'!$D$5:$Q$5,"önként vállalt",'2.9. sz. Szivárvány Ó.'!$D$3:$Q$3,"Eredeti előirányzat")</f>
        <v>0</v>
      </c>
      <c r="G39" s="6">
        <f>SUMIFS('2.1. sz. PMH'!D39:AA39,'2.1. sz. PMH'!$D$5:$AA$5,"önként vállalt",'2.1. sz. PMH'!$D$3:$AA$3,"Módosított előirányzat")+SUMIFS('2.2. sz. Hétszínvirág Óvoda'!D39:S39,'2.2. sz. Hétszínvirág Óvoda'!$D$5:$S$5,"önként vállalt",'2.2. sz. Hétszínvirág Óvoda'!$D$3:$S$3,"Módosított előirányzat")+SUMIFS('2.3. sz. Mese Óvoda'!D39:O39,'2.3. sz. Mese Óvoda'!$D$5:$O$5,"önként vállalt",'2.3. sz. Mese Óvoda'!$D$3:$O$3,"Módosított előirányzat")+SUMIFS('2.4. sz. Bölcsőde'!D39:M39,'2.4. sz. Bölcsőde'!$D$5:$M$5,"önként vállalt",'2.4. sz. Bölcsőde'!$D$3:$M$3,"Módosított előirányzat")+SUMIFS('2.5. sz. Gyermekjóléti'!D39:Q39,'2.5. sz. Gyermekjóléti'!$D$5:$Q$5,"önként vállalt",'2.5. sz. Gyermekjóléti'!$D$3:$Q$3,"Módosított előirányzat")+SUMIFS('2.6 sz. Területi'!D39:AO39,'2.6 sz. Területi'!$D$5:$AO$5,"önként vállalt",'2.6 sz. Területi'!$D$3:$AO$3,"Módosított előirányzat")+SUMIFS('2.7. sz. Könyvtár'!D39:S39,'2.7. sz. Könyvtár'!$D$5:$S$5,"önként vállalt",'2.7. sz. Könyvtár'!$D$3:$S$3,"Módosított előirányzat")+SUMIFS('2.8. sz. Műv.Ház'!D39:S39,'2.8. sz. Műv.Ház'!$D$5:$S$5,"önként vállalt",'2.8. sz. Műv.Ház'!$D$3:$S$3,"Módosított előirányzat")+SUMIFS('2.9. sz. Szivárvány Ó.'!D39:Q39,'2.9. sz. Szivárvány Ó.'!$D$5:$Q$5,"önként vállalt",'2.9. sz. Szivárvány Ó.'!$D$3:$Q$3,"Módosított előirányzat")</f>
        <v>0</v>
      </c>
      <c r="H39" s="6">
        <f>SUMIFS('2.1. sz. PMH'!D39:AA39,'2.1. sz. PMH'!$D$5:$AA$5,"államigazgatási",'2.1. sz. PMH'!$D$3:$AA$3,"Eredeti előirányzat")+SUMIFS('2.2. sz. Hétszínvirág Óvoda'!D39:S39,'2.2. sz. Hétszínvirág Óvoda'!$D$5:$S$5,"államigazgatási",'2.2. sz. Hétszínvirág Óvoda'!$D$3:$S$3,"Eredeti előirányzat")+SUMIFS('2.3. sz. Mese Óvoda'!D39:O39,'2.3. sz. Mese Óvoda'!$D$5:$O$5,"államigazgatási",'2.3. sz. Mese Óvoda'!$D$3:$O$3,"Eredeti előirányzat")+SUMIFS('2.4. sz. Bölcsőde'!D39:M39,'2.4. sz. Bölcsőde'!$D$5:$M$5,"államigazgatási",'2.4. sz. Bölcsőde'!$D$3:$M$3,"Eredeti előirányzat")+SUMIFS('2.5. sz. Gyermekjóléti'!D39:Q39,'2.5. sz. Gyermekjóléti'!$D$5:$Q$5,"államigazgatási",'2.5. sz. Gyermekjóléti'!$D$3:$Q$3,"Eredeti előirányzat")+SUMIFS('2.6 sz. Területi'!D39:AO39,'2.6 sz. Területi'!$D$5:$AO$5,"államigazgatási",'2.6 sz. Területi'!$D$3:$AO$3,"Eredeti előirányzat")+SUMIFS('2.7. sz. Könyvtár'!D39:S39,'2.7. sz. Könyvtár'!$D$5:$S$5,"államigazgatási",'2.7. sz. Könyvtár'!$D$3:$S$3,"Eredeti előirányzat")+SUMIFS('2.8. sz. Műv.Ház'!D39:S39,'2.8. sz. Műv.Ház'!$D$5:$S$5,"államigazgatási",'2.8. sz. Műv.Ház'!$D$3:$S$3,"Eredeti előirányzat")+SUMIFS('2.9. sz. Szivárvány Ó.'!D39:Q39,'2.9. sz. Szivárvány Ó.'!$D$5:$Q$5,"államigazgatási",'2.9. sz. Szivárvány Ó.'!$D$3:$Q$3,"Eredeti előirányzat")</f>
        <v>0</v>
      </c>
      <c r="I39" s="6">
        <f>SUMIFS('2.1. sz. PMH'!D39:AA39,'2.1. sz. PMH'!$D$5:$AA$5,"államigazgatási",'2.1. sz. PMH'!$D$3:$AA$3,"Módosított előirányzat")+SUMIFS('2.2. sz. Hétszínvirág Óvoda'!D39:S39,'2.2. sz. Hétszínvirág Óvoda'!$D$5:$S$5,"államigazgatási",'2.2. sz. Hétszínvirág Óvoda'!$D$3:$S$3,"Módosított előirányzat")+SUMIFS('2.3. sz. Mese Óvoda'!D39:O39,'2.3. sz. Mese Óvoda'!$D$5:$O$5,"államigazgatási",'2.3. sz. Mese Óvoda'!$D$3:$O$3,"Módosított előirányzat")+SUMIFS('2.4. sz. Bölcsőde'!D39:M39,'2.4. sz. Bölcsőde'!$D$5:$M$5,"államigazgatási",'2.4. sz. Bölcsőde'!$D$3:$M$3,"Módosított előirányzat")+SUMIFS('2.5. sz. Gyermekjóléti'!D39:Q39,'2.5. sz. Gyermekjóléti'!$D$5:$Q$5,"államigazgatási",'2.5. sz. Gyermekjóléti'!$D$3:$Q$3,"Módosított előirányzat")+SUMIFS('2.6 sz. Területi'!D39:AO39,'2.6 sz. Területi'!$D$5:$AO$5,"államigazgatási",'2.6 sz. Területi'!$D$3:$AO$3,"Módosított előirányzat")+SUMIFS('2.7. sz. Könyvtár'!D39:S39,'2.7. sz. Könyvtár'!$D$5:$S$5,"államigazgatási",'2.7. sz. Könyvtár'!$D$3:$S$3,"Módosított előirányzat")+SUMIFS('2.8. sz. Műv.Ház'!D39:S39,'2.8. sz. Műv.Ház'!$D$5:$S$5,"államigazgatási",'2.8. sz. Műv.Ház'!$D$3:$S$3,"Módosított előirányzat")+SUMIFS('2.9. sz. Szivárvány Ó.'!D39:Q39,'2.9. sz. Szivárvány Ó.'!$D$5:$Q$5,"államigazgatási",'2.9. sz. Szivárvány Ó.'!$D$3:$Q$3,"Módosított előirányzat")</f>
        <v>0</v>
      </c>
      <c r="J39" s="6">
        <f t="shared" si="0"/>
        <v>3602166100</v>
      </c>
      <c r="K39" s="1179">
        <f t="shared" si="1"/>
        <v>3970455043</v>
      </c>
    </row>
    <row r="40" spans="1:12" ht="23.25" customHeight="1" x14ac:dyDescent="0.25">
      <c r="A40" s="26" t="s">
        <v>277</v>
      </c>
      <c r="B40" s="94" t="s">
        <v>582</v>
      </c>
      <c r="C40" s="27"/>
      <c r="D40" s="6">
        <f>SUMIFS('2.1. sz. PMH'!D40:AA40,'2.1. sz. PMH'!$D$5:$AA$5,"kötelező",'2.1. sz. PMH'!$D$3:$AA$3,"Eredeti előirányzat")+SUMIFS('2.2. sz. Hétszínvirág Óvoda'!D40:S40,'2.2. sz. Hétszínvirág Óvoda'!$D$5:$S$5,"kötelező",'2.2. sz. Hétszínvirág Óvoda'!$D$3:$S$3,"Eredeti előirányzat")+SUMIFS('2.3. sz. Mese Óvoda'!D40:O40,'2.3. sz. Mese Óvoda'!$D$5:$O$5,"kötelező",'2.3. sz. Mese Óvoda'!$D$3:$O$3,"Eredeti előirányzat")+SUMIFS('2.4. sz. Bölcsőde'!D40:M40,'2.4. sz. Bölcsőde'!$D$5:$M$5,"kötelező",'2.4. sz. Bölcsőde'!$D$3:$M$3,"Eredeti előirányzat")+SUMIFS('2.5. sz. Gyermekjóléti'!D40:Q40,'2.5. sz. Gyermekjóléti'!$D$5:$Q$5,"kötelező",'2.5. sz. Gyermekjóléti'!$D$3:$Q$3,"Eredeti előirányzat")+SUMIFS('2.6 sz. Területi'!D40:AO40,'2.6 sz. Területi'!$D$5:$AO$5,"kötelező",'2.6 sz. Területi'!$D$3:$AO$3,"Eredeti előirányzat")+SUMIFS('2.7. sz. Könyvtár'!D40:S40,'2.7. sz. Könyvtár'!$D$5:$S$5,"kötelező",'2.7. sz. Könyvtár'!$D$3:$S$3,"Eredeti előirányzat")+SUMIFS('2.8. sz. Műv.Ház'!D40:S40,'2.8. sz. Műv.Ház'!$D$5:$S$5,"kötelező",'2.8. sz. Műv.Ház'!$D$3:$S$3,"Eredeti előirányzat")+SUMIFS('2.9. sz. Szivárvány Ó.'!D40:Q40,'2.9. sz. Szivárvány Ó.'!$D$5:$Q$5,"kötelező",'2.9. sz. Szivárvány Ó.'!$D$3:$Q$3,"Eredeti előirányzat")</f>
        <v>0</v>
      </c>
      <c r="E40" s="6">
        <f>SUMIFS('2.1. sz. PMH'!D40:AA40,'2.1. sz. PMH'!$D$5:$AA$5,"kötelező",'2.1. sz. PMH'!$D$3:$AA$3,"Módosított előirányzat")+SUMIFS('2.2. sz. Hétszínvirág Óvoda'!D40:S40,'2.2. sz. Hétszínvirág Óvoda'!$D$5:$S$5,"kötelező",'2.2. sz. Hétszínvirág Óvoda'!$D$3:$S$3,"Módosított előirányzat")+SUMIFS('2.3. sz. Mese Óvoda'!D40:O40,'2.3. sz. Mese Óvoda'!$D$5:$O$5,"kötelező",'2.3. sz. Mese Óvoda'!$D$3:$O$3,"Módosított előirányzat")+SUMIFS('2.4. sz. Bölcsőde'!D40:M40,'2.4. sz. Bölcsőde'!$D$5:$M$5,"kötelező",'2.4. sz. Bölcsőde'!$D$3:$M$3,"Módosított előirányzat")+SUMIFS('2.5. sz. Gyermekjóléti'!D40:Q40,'2.5. sz. Gyermekjóléti'!$D$5:$Q$5,"kötelező",'2.5. sz. Gyermekjóléti'!$D$3:$Q$3,"Módosított előirányzat")+SUMIFS('2.6 sz. Területi'!D40:AO40,'2.6 sz. Területi'!$D$5:$AO$5,"kötelező",'2.6 sz. Területi'!$D$3:$AO$3,"Módosított előirányzat")+SUMIFS('2.7. sz. Könyvtár'!D40:S40,'2.7. sz. Könyvtár'!$D$5:$S$5,"kötelező",'2.7. sz. Könyvtár'!$D$3:$S$3,"Módosított előirányzat")+SUMIFS('2.8. sz. Műv.Ház'!D40:S40,'2.8. sz. Műv.Ház'!$D$5:$S$5,"kötelező",'2.8. sz. Műv.Ház'!$D$3:$S$3,"Módosított előirányzat")+SUMIFS('2.9. sz. Szivárvány Ó.'!D40:Q40,'2.9. sz. Szivárvány Ó.'!$D$5:$Q$5,"kötelező",'2.9. sz. Szivárvány Ó.'!$D$3:$Q$3,"Módosított előirányzat")</f>
        <v>0</v>
      </c>
      <c r="F40" s="6">
        <f>SUMIFS('2.1. sz. PMH'!D40:AA40,'2.1. sz. PMH'!$D$5:$AA$5,"önként vállalt",'2.1. sz. PMH'!$D$3:$AA$3,"Eredeti előirányzat")+SUMIFS('2.2. sz. Hétszínvirág Óvoda'!D40:S40,'2.2. sz. Hétszínvirág Óvoda'!$D$5:$S$5,"önként vállalt",'2.2. sz. Hétszínvirág Óvoda'!$D$3:$S$3,"Eredeti előirányzat")+SUMIFS('2.3. sz. Mese Óvoda'!D40:O40,'2.3. sz. Mese Óvoda'!$D$5:$O$5,"önként vállalt",'2.3. sz. Mese Óvoda'!$D$3:$O$3,"Eredeti előirányzat")+SUMIFS('2.4. sz. Bölcsőde'!D40:M40,'2.4. sz. Bölcsőde'!$D$5:$M$5,"önként vállalt",'2.4. sz. Bölcsőde'!$D$3:$M$3,"Eredeti előirányzat")+SUMIFS('2.5. sz. Gyermekjóléti'!D40:Q40,'2.5. sz. Gyermekjóléti'!$D$5:$Q$5,"önként vállalt",'2.5. sz. Gyermekjóléti'!$D$3:$Q$3,"Eredeti előirányzat")+SUMIFS('2.6 sz. Területi'!D40:AO40,'2.6 sz. Területi'!$D$5:$AO$5,"önként vállalt",'2.6 sz. Területi'!$D$3:$AO$3,"Eredeti előirányzat")+SUMIFS('2.7. sz. Könyvtár'!D40:S40,'2.7. sz. Könyvtár'!$D$5:$S$5,"önként vállalt",'2.7. sz. Könyvtár'!$D$3:$S$3,"Eredeti előirányzat")+SUMIFS('2.8. sz. Műv.Ház'!D40:S40,'2.8. sz. Műv.Ház'!$D$5:$S$5,"önként vállalt",'2.8. sz. Műv.Ház'!$D$3:$S$3,"Eredeti előirányzat")+SUMIFS('2.9. sz. Szivárvány Ó.'!D40:Q40,'2.9. sz. Szivárvány Ó.'!$D$5:$Q$5,"önként vállalt",'2.9. sz. Szivárvány Ó.'!$D$3:$Q$3,"Eredeti előirányzat")</f>
        <v>0</v>
      </c>
      <c r="G40" s="6">
        <f>SUMIFS('2.1. sz. PMH'!D40:AA40,'2.1. sz. PMH'!$D$5:$AA$5,"önként vállalt",'2.1. sz. PMH'!$D$3:$AA$3,"Módosított előirányzat")+SUMIFS('2.2. sz. Hétszínvirág Óvoda'!D40:S40,'2.2. sz. Hétszínvirág Óvoda'!$D$5:$S$5,"önként vállalt",'2.2. sz. Hétszínvirág Óvoda'!$D$3:$S$3,"Módosított előirányzat")+SUMIFS('2.3. sz. Mese Óvoda'!D40:O40,'2.3. sz. Mese Óvoda'!$D$5:$O$5,"önként vállalt",'2.3. sz. Mese Óvoda'!$D$3:$O$3,"Módosított előirányzat")+SUMIFS('2.4. sz. Bölcsőde'!D40:M40,'2.4. sz. Bölcsőde'!$D$5:$M$5,"önként vállalt",'2.4. sz. Bölcsőde'!$D$3:$M$3,"Módosított előirányzat")+SUMIFS('2.5. sz. Gyermekjóléti'!D40:Q40,'2.5. sz. Gyermekjóléti'!$D$5:$Q$5,"önként vállalt",'2.5. sz. Gyermekjóléti'!$D$3:$Q$3,"Módosított előirányzat")+SUMIFS('2.6 sz. Területi'!D40:AO40,'2.6 sz. Területi'!$D$5:$AO$5,"önként vállalt",'2.6 sz. Területi'!$D$3:$AO$3,"Módosított előirányzat")+SUMIFS('2.7. sz. Könyvtár'!D40:S40,'2.7. sz. Könyvtár'!$D$5:$S$5,"önként vállalt",'2.7. sz. Könyvtár'!$D$3:$S$3,"Módosított előirányzat")+SUMIFS('2.8. sz. Műv.Ház'!D40:S40,'2.8. sz. Műv.Ház'!$D$5:$S$5,"önként vállalt",'2.8. sz. Műv.Ház'!$D$3:$S$3,"Módosított előirányzat")+SUMIFS('2.9. sz. Szivárvány Ó.'!D40:Q40,'2.9. sz. Szivárvány Ó.'!$D$5:$Q$5,"önként vállalt",'2.9. sz. Szivárvány Ó.'!$D$3:$Q$3,"Módosított előirányzat")</f>
        <v>0</v>
      </c>
      <c r="H40" s="6">
        <f>SUMIFS('2.1. sz. PMH'!D40:AA40,'2.1. sz. PMH'!$D$5:$AA$5,"államigazgatási",'2.1. sz. PMH'!$D$3:$AA$3,"Eredeti előirányzat")+SUMIFS('2.2. sz. Hétszínvirág Óvoda'!D40:S40,'2.2. sz. Hétszínvirág Óvoda'!$D$5:$S$5,"államigazgatási",'2.2. sz. Hétszínvirág Óvoda'!$D$3:$S$3,"Eredeti előirányzat")+SUMIFS('2.3. sz. Mese Óvoda'!D40:O40,'2.3. sz. Mese Óvoda'!$D$5:$O$5,"államigazgatási",'2.3. sz. Mese Óvoda'!$D$3:$O$3,"Eredeti előirányzat")+SUMIFS('2.4. sz. Bölcsőde'!D40:M40,'2.4. sz. Bölcsőde'!$D$5:$M$5,"államigazgatási",'2.4. sz. Bölcsőde'!$D$3:$M$3,"Eredeti előirányzat")+SUMIFS('2.5. sz. Gyermekjóléti'!D40:Q40,'2.5. sz. Gyermekjóléti'!$D$5:$Q$5,"államigazgatási",'2.5. sz. Gyermekjóléti'!$D$3:$Q$3,"Eredeti előirányzat")+SUMIFS('2.6 sz. Területi'!D40:AO40,'2.6 sz. Területi'!$D$5:$AO$5,"államigazgatási",'2.6 sz. Területi'!$D$3:$AO$3,"Eredeti előirányzat")+SUMIFS('2.7. sz. Könyvtár'!D40:S40,'2.7. sz. Könyvtár'!$D$5:$S$5,"államigazgatási",'2.7. sz. Könyvtár'!$D$3:$S$3,"Eredeti előirányzat")+SUMIFS('2.8. sz. Műv.Ház'!D40:S40,'2.8. sz. Műv.Ház'!$D$5:$S$5,"államigazgatási",'2.8. sz. Műv.Ház'!$D$3:$S$3,"Eredeti előirányzat")+SUMIFS('2.9. sz. Szivárvány Ó.'!D40:Q40,'2.9. sz. Szivárvány Ó.'!$D$5:$Q$5,"államigazgatási",'2.9. sz. Szivárvány Ó.'!$D$3:$Q$3,"Eredeti előirányzat")</f>
        <v>0</v>
      </c>
      <c r="I40" s="6">
        <f>SUMIFS('2.1. sz. PMH'!D40:AA40,'2.1. sz. PMH'!$D$5:$AA$5,"államigazgatási",'2.1. sz. PMH'!$D$3:$AA$3,"Módosított előirányzat")+SUMIFS('2.2. sz. Hétszínvirág Óvoda'!D40:S40,'2.2. sz. Hétszínvirág Óvoda'!$D$5:$S$5,"államigazgatási",'2.2. sz. Hétszínvirág Óvoda'!$D$3:$S$3,"Módosított előirányzat")+SUMIFS('2.3. sz. Mese Óvoda'!D40:O40,'2.3. sz. Mese Óvoda'!$D$5:$O$5,"államigazgatási",'2.3. sz. Mese Óvoda'!$D$3:$O$3,"Módosított előirányzat")+SUMIFS('2.4. sz. Bölcsőde'!D40:M40,'2.4. sz. Bölcsőde'!$D$5:$M$5,"államigazgatási",'2.4. sz. Bölcsőde'!$D$3:$M$3,"Módosított előirányzat")+SUMIFS('2.5. sz. Gyermekjóléti'!D40:Q40,'2.5. sz. Gyermekjóléti'!$D$5:$Q$5,"államigazgatási",'2.5. sz. Gyermekjóléti'!$D$3:$Q$3,"Módosított előirányzat")+SUMIFS('2.6 sz. Területi'!D40:AO40,'2.6 sz. Területi'!$D$5:$AO$5,"államigazgatási",'2.6 sz. Területi'!$D$3:$AO$3,"Módosított előirányzat")+SUMIFS('2.7. sz. Könyvtár'!D40:S40,'2.7. sz. Könyvtár'!$D$5:$S$5,"államigazgatási",'2.7. sz. Könyvtár'!$D$3:$S$3,"Módosított előirányzat")+SUMIFS('2.8. sz. Műv.Ház'!D40:S40,'2.8. sz. Műv.Ház'!$D$5:$S$5,"államigazgatási",'2.8. sz. Műv.Ház'!$D$3:$S$3,"Módosított előirányzat")+SUMIFS('2.9. sz. Szivárvány Ó.'!D40:Q40,'2.9. sz. Szivárvány Ó.'!$D$5:$Q$5,"államigazgatási",'2.9. sz. Szivárvány Ó.'!$D$3:$Q$3,"Módosított előirányzat")</f>
        <v>0</v>
      </c>
      <c r="J40" s="6">
        <f t="shared" si="0"/>
        <v>0</v>
      </c>
      <c r="K40" s="1179">
        <f t="shared" si="1"/>
        <v>0</v>
      </c>
    </row>
    <row r="41" spans="1:12" ht="23.25" customHeight="1" x14ac:dyDescent="0.25">
      <c r="A41" s="26" t="s">
        <v>278</v>
      </c>
      <c r="B41" s="33" t="s">
        <v>882</v>
      </c>
      <c r="C41" s="31"/>
      <c r="D41" s="6">
        <f>SUMIFS('2.1. sz. PMH'!D41:AA41,'2.1. sz. PMH'!$D$5:$AA$5,"kötelező",'2.1. sz. PMH'!$D$3:$AA$3,"Eredeti előirányzat")+SUMIFS('2.2. sz. Hétszínvirág Óvoda'!D41:S41,'2.2. sz. Hétszínvirág Óvoda'!$D$5:$S$5,"kötelező",'2.2. sz. Hétszínvirág Óvoda'!$D$3:$S$3,"Eredeti előirányzat")+SUMIFS('2.3. sz. Mese Óvoda'!D41:O41,'2.3. sz. Mese Óvoda'!$D$5:$O$5,"kötelező",'2.3. sz. Mese Óvoda'!$D$3:$O$3,"Eredeti előirányzat")+SUMIFS('2.4. sz. Bölcsőde'!D41:M41,'2.4. sz. Bölcsőde'!$D$5:$M$5,"kötelező",'2.4. sz. Bölcsőde'!$D$3:$M$3,"Eredeti előirányzat")+SUMIFS('2.5. sz. Gyermekjóléti'!D41:Q41,'2.5. sz. Gyermekjóléti'!$D$5:$Q$5,"kötelező",'2.5. sz. Gyermekjóléti'!$D$3:$Q$3,"Eredeti előirányzat")+SUMIFS('2.6 sz. Területi'!D41:AO41,'2.6 sz. Területi'!$D$5:$AO$5,"kötelező",'2.6 sz. Területi'!$D$3:$AO$3,"Eredeti előirányzat")+SUMIFS('2.7. sz. Könyvtár'!D41:S41,'2.7. sz. Könyvtár'!$D$5:$S$5,"kötelező",'2.7. sz. Könyvtár'!$D$3:$S$3,"Eredeti előirányzat")+SUMIFS('2.8. sz. Műv.Ház'!D41:S41,'2.8. sz. Műv.Ház'!$D$5:$S$5,"kötelező",'2.8. sz. Műv.Ház'!$D$3:$S$3,"Eredeti előirányzat")+SUMIFS('2.9. sz. Szivárvány Ó.'!D41:Q41,'2.9. sz. Szivárvány Ó.'!$D$5:$Q$5,"kötelező",'2.9. sz. Szivárvány Ó.'!$D$3:$Q$3,"Eredeti előirányzat")</f>
        <v>22885262</v>
      </c>
      <c r="E41" s="6">
        <f>SUMIFS('2.1. sz. PMH'!D41:AA41,'2.1. sz. PMH'!$D$5:$AA$5,"kötelező",'2.1. sz. PMH'!$D$3:$AA$3,"Módosított előirányzat")+SUMIFS('2.2. sz. Hétszínvirág Óvoda'!D41:S41,'2.2. sz. Hétszínvirág Óvoda'!$D$5:$S$5,"kötelező",'2.2. sz. Hétszínvirág Óvoda'!$D$3:$S$3,"Módosított előirányzat")+SUMIFS('2.3. sz. Mese Óvoda'!D41:O41,'2.3. sz. Mese Óvoda'!$D$5:$O$5,"kötelező",'2.3. sz. Mese Óvoda'!$D$3:$O$3,"Módosított előirányzat")+SUMIFS('2.4. sz. Bölcsőde'!D41:M41,'2.4. sz. Bölcsőde'!$D$5:$M$5,"kötelező",'2.4. sz. Bölcsőde'!$D$3:$M$3,"Módosított előirányzat")+SUMIFS('2.5. sz. Gyermekjóléti'!D41:Q41,'2.5. sz. Gyermekjóléti'!$D$5:$Q$5,"kötelező",'2.5. sz. Gyermekjóléti'!$D$3:$Q$3,"Módosított előirányzat")+SUMIFS('2.6 sz. Területi'!D41:AO41,'2.6 sz. Területi'!$D$5:$AO$5,"kötelező",'2.6 sz. Területi'!$D$3:$AO$3,"Módosított előirányzat")+SUMIFS('2.7. sz. Könyvtár'!D41:S41,'2.7. sz. Könyvtár'!$D$5:$S$5,"kötelező",'2.7. sz. Könyvtár'!$D$3:$S$3,"Módosított előirányzat")+SUMIFS('2.8. sz. Műv.Ház'!D41:S41,'2.8. sz. Műv.Ház'!$D$5:$S$5,"kötelező",'2.8. sz. Műv.Ház'!$D$3:$S$3,"Módosított előirányzat")+SUMIFS('2.9. sz. Szivárvány Ó.'!D41:Q41,'2.9. sz. Szivárvány Ó.'!$D$5:$Q$5,"kötelező",'2.9. sz. Szivárvány Ó.'!$D$3:$Q$3,"Módosított előirányzat")</f>
        <v>182217969</v>
      </c>
      <c r="F41" s="6">
        <f>SUMIFS('2.1. sz. PMH'!D41:AA41,'2.1. sz. PMH'!$D$5:$AA$5,"önként vállalt",'2.1. sz. PMH'!$D$3:$AA$3,"Eredeti előirányzat")+SUMIFS('2.2. sz. Hétszínvirág Óvoda'!D41:S41,'2.2. sz. Hétszínvirág Óvoda'!$D$5:$S$5,"önként vállalt",'2.2. sz. Hétszínvirág Óvoda'!$D$3:$S$3,"Eredeti előirányzat")+SUMIFS('2.3. sz. Mese Óvoda'!D41:O41,'2.3. sz. Mese Óvoda'!$D$5:$O$5,"önként vállalt",'2.3. sz. Mese Óvoda'!$D$3:$O$3,"Eredeti előirányzat")+SUMIFS('2.4. sz. Bölcsőde'!D41:M41,'2.4. sz. Bölcsőde'!$D$5:$M$5,"önként vállalt",'2.4. sz. Bölcsőde'!$D$3:$M$3,"Eredeti előirányzat")+SUMIFS('2.5. sz. Gyermekjóléti'!D41:Q41,'2.5. sz. Gyermekjóléti'!$D$5:$Q$5,"önként vállalt",'2.5. sz. Gyermekjóléti'!$D$3:$Q$3,"Eredeti előirányzat")+SUMIFS('2.6 sz. Területi'!D41:AO41,'2.6 sz. Területi'!$D$5:$AO$5,"önként vállalt",'2.6 sz. Területi'!$D$3:$AO$3,"Eredeti előirányzat")+SUMIFS('2.7. sz. Könyvtár'!D41:S41,'2.7. sz. Könyvtár'!$D$5:$S$5,"önként vállalt",'2.7. sz. Könyvtár'!$D$3:$S$3,"Eredeti előirányzat")+SUMIFS('2.8. sz. Műv.Ház'!D41:S41,'2.8. sz. Műv.Ház'!$D$5:$S$5,"önként vállalt",'2.8. sz. Műv.Ház'!$D$3:$S$3,"Eredeti előirányzat")+SUMIFS('2.9. sz. Szivárvány Ó.'!D41:Q41,'2.9. sz. Szivárvány Ó.'!$D$5:$Q$5,"önként vállalt",'2.9. sz. Szivárvány Ó.'!$D$3:$Q$3,"Eredeti előirányzat")</f>
        <v>0</v>
      </c>
      <c r="G41" s="6">
        <f>SUMIFS('2.1. sz. PMH'!D41:AA41,'2.1. sz. PMH'!$D$5:$AA$5,"önként vállalt",'2.1. sz. PMH'!$D$3:$AA$3,"Módosított előirányzat")+SUMIFS('2.2. sz. Hétszínvirág Óvoda'!D41:S41,'2.2. sz. Hétszínvirág Óvoda'!$D$5:$S$5,"önként vállalt",'2.2. sz. Hétszínvirág Óvoda'!$D$3:$S$3,"Módosított előirányzat")+SUMIFS('2.3. sz. Mese Óvoda'!D41:O41,'2.3. sz. Mese Óvoda'!$D$5:$O$5,"önként vállalt",'2.3. sz. Mese Óvoda'!$D$3:$O$3,"Módosított előirányzat")+SUMIFS('2.4. sz. Bölcsőde'!D41:M41,'2.4. sz. Bölcsőde'!$D$5:$M$5,"önként vállalt",'2.4. sz. Bölcsőde'!$D$3:$M$3,"Módosított előirányzat")+SUMIFS('2.5. sz. Gyermekjóléti'!D41:Q41,'2.5. sz. Gyermekjóléti'!$D$5:$Q$5,"önként vállalt",'2.5. sz. Gyermekjóléti'!$D$3:$Q$3,"Módosított előirányzat")+SUMIFS('2.6 sz. Területi'!D41:AO41,'2.6 sz. Területi'!$D$5:$AO$5,"önként vállalt",'2.6 sz. Területi'!$D$3:$AO$3,"Módosított előirányzat")+SUMIFS('2.7. sz. Könyvtár'!D41:S41,'2.7. sz. Könyvtár'!$D$5:$S$5,"önként vállalt",'2.7. sz. Könyvtár'!$D$3:$S$3,"Módosított előirányzat")+SUMIFS('2.8. sz. Műv.Ház'!D41:S41,'2.8. sz. Műv.Ház'!$D$5:$S$5,"önként vállalt",'2.8. sz. Műv.Ház'!$D$3:$S$3,"Módosított előirányzat")+SUMIFS('2.9. sz. Szivárvány Ó.'!D41:Q41,'2.9. sz. Szivárvány Ó.'!$D$5:$Q$5,"önként vállalt",'2.9. sz. Szivárvány Ó.'!$D$3:$Q$3,"Módosított előirányzat")</f>
        <v>0</v>
      </c>
      <c r="H41" s="6">
        <f>SUMIFS('2.1. sz. PMH'!D41:AA41,'2.1. sz. PMH'!$D$5:$AA$5,"államigazgatási",'2.1. sz. PMH'!$D$3:$AA$3,"Eredeti előirányzat")+SUMIFS('2.2. sz. Hétszínvirág Óvoda'!D41:S41,'2.2. sz. Hétszínvirág Óvoda'!$D$5:$S$5,"államigazgatási",'2.2. sz. Hétszínvirág Óvoda'!$D$3:$S$3,"Eredeti előirányzat")+SUMIFS('2.3. sz. Mese Óvoda'!D41:O41,'2.3. sz. Mese Óvoda'!$D$5:$O$5,"államigazgatási",'2.3. sz. Mese Óvoda'!$D$3:$O$3,"Eredeti előirányzat")+SUMIFS('2.4. sz. Bölcsőde'!D41:M41,'2.4. sz. Bölcsőde'!$D$5:$M$5,"államigazgatási",'2.4. sz. Bölcsőde'!$D$3:$M$3,"Eredeti előirányzat")+SUMIFS('2.5. sz. Gyermekjóléti'!D41:Q41,'2.5. sz. Gyermekjóléti'!$D$5:$Q$5,"államigazgatási",'2.5. sz. Gyermekjóléti'!$D$3:$Q$3,"Eredeti előirányzat")+SUMIFS('2.6 sz. Területi'!D41:AO41,'2.6 sz. Területi'!$D$5:$AO$5,"államigazgatási",'2.6 sz. Területi'!$D$3:$AO$3,"Eredeti előirányzat")+SUMIFS('2.7. sz. Könyvtár'!D41:S41,'2.7. sz. Könyvtár'!$D$5:$S$5,"államigazgatási",'2.7. sz. Könyvtár'!$D$3:$S$3,"Eredeti előirányzat")+SUMIFS('2.8. sz. Műv.Ház'!D41:S41,'2.8. sz. Műv.Ház'!$D$5:$S$5,"államigazgatási",'2.8. sz. Műv.Ház'!$D$3:$S$3,"Eredeti előirányzat")+SUMIFS('2.9. sz. Szivárvány Ó.'!D41:Q41,'2.9. sz. Szivárvány Ó.'!$D$5:$Q$5,"államigazgatási",'2.9. sz. Szivárvány Ó.'!$D$3:$Q$3,"Eredeti előirányzat")</f>
        <v>0</v>
      </c>
      <c r="I41" s="6">
        <f>SUMIFS('2.1. sz. PMH'!D41:AA41,'2.1. sz. PMH'!$D$5:$AA$5,"államigazgatási",'2.1. sz. PMH'!$D$3:$AA$3,"Módosított előirányzat")+SUMIFS('2.2. sz. Hétszínvirág Óvoda'!D41:S41,'2.2. sz. Hétszínvirág Óvoda'!$D$5:$S$5,"államigazgatási",'2.2. sz. Hétszínvirág Óvoda'!$D$3:$S$3,"Módosított előirányzat")+SUMIFS('2.3. sz. Mese Óvoda'!D41:O41,'2.3. sz. Mese Óvoda'!$D$5:$O$5,"államigazgatási",'2.3. sz. Mese Óvoda'!$D$3:$O$3,"Módosított előirányzat")+SUMIFS('2.4. sz. Bölcsőde'!D41:M41,'2.4. sz. Bölcsőde'!$D$5:$M$5,"államigazgatási",'2.4. sz. Bölcsőde'!$D$3:$M$3,"Módosított előirányzat")+SUMIFS('2.5. sz. Gyermekjóléti'!D41:Q41,'2.5. sz. Gyermekjóléti'!$D$5:$Q$5,"államigazgatási",'2.5. sz. Gyermekjóléti'!$D$3:$Q$3,"Módosított előirányzat")+SUMIFS('2.6 sz. Területi'!D41:AO41,'2.6 sz. Területi'!$D$5:$AO$5,"államigazgatási",'2.6 sz. Területi'!$D$3:$AO$3,"Módosított előirányzat")+SUMIFS('2.7. sz. Könyvtár'!D41:S41,'2.7. sz. Könyvtár'!$D$5:$S$5,"államigazgatási",'2.7. sz. Könyvtár'!$D$3:$S$3,"Módosított előirányzat")+SUMIFS('2.8. sz. Műv.Ház'!D41:S41,'2.8. sz. Műv.Ház'!$D$5:$S$5,"államigazgatási",'2.8. sz. Műv.Ház'!$D$3:$S$3,"Módosított előirányzat")+SUMIFS('2.9. sz. Szivárvány Ó.'!D41:Q41,'2.9. sz. Szivárvány Ó.'!$D$5:$Q$5,"államigazgatási",'2.9. sz. Szivárvány Ó.'!$D$3:$Q$3,"Módosított előirányzat")</f>
        <v>0</v>
      </c>
      <c r="J41" s="6">
        <f t="shared" si="0"/>
        <v>22885262</v>
      </c>
      <c r="K41" s="1179">
        <f t="shared" si="1"/>
        <v>182217969</v>
      </c>
    </row>
    <row r="42" spans="1:12" ht="23.25" customHeight="1" x14ac:dyDescent="0.25">
      <c r="A42" s="26" t="s">
        <v>282</v>
      </c>
      <c r="B42" s="33" t="s">
        <v>883</v>
      </c>
      <c r="C42" s="31"/>
      <c r="D42" s="6">
        <f>SUMIFS('2.1. sz. PMH'!D42:AA42,'2.1. sz. PMH'!$D$5:$AA$5,"kötelező",'2.1. sz. PMH'!$D$3:$AA$3,"Eredeti előirányzat")+SUMIFS('2.2. sz. Hétszínvirág Óvoda'!D42:S42,'2.2. sz. Hétszínvirág Óvoda'!$D$5:$S$5,"kötelező",'2.2. sz. Hétszínvirág Óvoda'!$D$3:$S$3,"Eredeti előirányzat")+SUMIFS('2.3. sz. Mese Óvoda'!D42:O42,'2.3. sz. Mese Óvoda'!$D$5:$O$5,"kötelező",'2.3. sz. Mese Óvoda'!$D$3:$O$3,"Eredeti előirányzat")+SUMIFS('2.4. sz. Bölcsőde'!D42:M42,'2.4. sz. Bölcsőde'!$D$5:$M$5,"kötelező",'2.4. sz. Bölcsőde'!$D$3:$M$3,"Eredeti előirányzat")+SUMIFS('2.5. sz. Gyermekjóléti'!D42:Q42,'2.5. sz. Gyermekjóléti'!$D$5:$Q$5,"kötelező",'2.5. sz. Gyermekjóléti'!$D$3:$Q$3,"Eredeti előirányzat")+SUMIFS('2.6 sz. Területi'!D42:AO42,'2.6 sz. Területi'!$D$5:$AO$5,"kötelező",'2.6 sz. Területi'!$D$3:$AO$3,"Eredeti előirányzat")+SUMIFS('2.7. sz. Könyvtár'!D42:S42,'2.7. sz. Könyvtár'!$D$5:$S$5,"kötelező",'2.7. sz. Könyvtár'!$D$3:$S$3,"Eredeti előirányzat")+SUMIFS('2.8. sz. Műv.Ház'!D42:S42,'2.8. sz. Műv.Ház'!$D$5:$S$5,"kötelező",'2.8. sz. Műv.Ház'!$D$3:$S$3,"Eredeti előirányzat")+SUMIFS('2.9. sz. Szivárvány Ó.'!D42:Q42,'2.9. sz. Szivárvány Ó.'!$D$5:$Q$5,"kötelező",'2.9. sz. Szivárvány Ó.'!$D$3:$Q$3,"Eredeti előirányzat")</f>
        <v>3488795</v>
      </c>
      <c r="E42" s="6">
        <f>SUMIFS('2.1. sz. PMH'!D42:AA42,'2.1. sz. PMH'!$D$5:$AA$5,"kötelező",'2.1. sz. PMH'!$D$3:$AA$3,"Módosított előirányzat")+SUMIFS('2.2. sz. Hétszínvirág Óvoda'!D42:S42,'2.2. sz. Hétszínvirág Óvoda'!$D$5:$S$5,"kötelező",'2.2. sz. Hétszínvirág Óvoda'!$D$3:$S$3,"Módosított előirányzat")+SUMIFS('2.3. sz. Mese Óvoda'!D42:O42,'2.3. sz. Mese Óvoda'!$D$5:$O$5,"kötelező",'2.3. sz. Mese Óvoda'!$D$3:$O$3,"Módosított előirányzat")+SUMIFS('2.4. sz. Bölcsőde'!D42:M42,'2.4. sz. Bölcsőde'!$D$5:$M$5,"kötelező",'2.4. sz. Bölcsőde'!$D$3:$M$3,"Módosított előirányzat")+SUMIFS('2.5. sz. Gyermekjóléti'!D42:Q42,'2.5. sz. Gyermekjóléti'!$D$5:$Q$5,"kötelező",'2.5. sz. Gyermekjóléti'!$D$3:$Q$3,"Módosított előirányzat")+SUMIFS('2.6 sz. Területi'!D42:AO42,'2.6 sz. Területi'!$D$5:$AO$5,"kötelező",'2.6 sz. Területi'!$D$3:$AO$3,"Módosított előirányzat")+SUMIFS('2.7. sz. Könyvtár'!D42:S42,'2.7. sz. Könyvtár'!$D$5:$S$5,"kötelező",'2.7. sz. Könyvtár'!$D$3:$S$3,"Módosított előirányzat")+SUMIFS('2.8. sz. Műv.Ház'!D42:S42,'2.8. sz. Műv.Ház'!$D$5:$S$5,"kötelező",'2.8. sz. Műv.Ház'!$D$3:$S$3,"Módosított előirányzat")+SUMIFS('2.9. sz. Szivárvány Ó.'!D42:Q42,'2.9. sz. Szivárvány Ó.'!$D$5:$Q$5,"kötelező",'2.9. sz. Szivárvány Ó.'!$D$3:$Q$3,"Módosított előirányzat")</f>
        <v>3488795</v>
      </c>
      <c r="F42" s="6">
        <f>SUMIFS('2.1. sz. PMH'!D42:AA42,'2.1. sz. PMH'!$D$5:$AA$5,"önként vállalt",'2.1. sz. PMH'!$D$3:$AA$3,"Eredeti előirányzat")+SUMIFS('2.2. sz. Hétszínvirág Óvoda'!D42:S42,'2.2. sz. Hétszínvirág Óvoda'!$D$5:$S$5,"önként vállalt",'2.2. sz. Hétszínvirág Óvoda'!$D$3:$S$3,"Eredeti előirányzat")+SUMIFS('2.3. sz. Mese Óvoda'!D42:O42,'2.3. sz. Mese Óvoda'!$D$5:$O$5,"önként vállalt",'2.3. sz. Mese Óvoda'!$D$3:$O$3,"Eredeti előirányzat")+SUMIFS('2.4. sz. Bölcsőde'!D42:M42,'2.4. sz. Bölcsőde'!$D$5:$M$5,"önként vállalt",'2.4. sz. Bölcsőde'!$D$3:$M$3,"Eredeti előirányzat")+SUMIFS('2.5. sz. Gyermekjóléti'!D42:Q42,'2.5. sz. Gyermekjóléti'!$D$5:$Q$5,"önként vállalt",'2.5. sz. Gyermekjóléti'!$D$3:$Q$3,"Eredeti előirányzat")+SUMIFS('2.6 sz. Területi'!D42:AO42,'2.6 sz. Területi'!$D$5:$AO$5,"önként vállalt",'2.6 sz. Területi'!$D$3:$AO$3,"Eredeti előirányzat")+SUMIFS('2.7. sz. Könyvtár'!D42:S42,'2.7. sz. Könyvtár'!$D$5:$S$5,"önként vállalt",'2.7. sz. Könyvtár'!$D$3:$S$3,"Eredeti előirányzat")+SUMIFS('2.8. sz. Műv.Ház'!D42:S42,'2.8. sz. Műv.Ház'!$D$5:$S$5,"önként vállalt",'2.8. sz. Műv.Ház'!$D$3:$S$3,"Eredeti előirányzat")+SUMIFS('2.9. sz. Szivárvány Ó.'!D42:Q42,'2.9. sz. Szivárvány Ó.'!$D$5:$Q$5,"önként vállalt",'2.9. sz. Szivárvány Ó.'!$D$3:$Q$3,"Eredeti előirányzat")</f>
        <v>0</v>
      </c>
      <c r="G42" s="6">
        <f>SUMIFS('2.1. sz. PMH'!D42:AA42,'2.1. sz. PMH'!$D$5:$AA$5,"önként vállalt",'2.1. sz. PMH'!$D$3:$AA$3,"Módosított előirányzat")+SUMIFS('2.2. sz. Hétszínvirág Óvoda'!D42:S42,'2.2. sz. Hétszínvirág Óvoda'!$D$5:$S$5,"önként vállalt",'2.2. sz. Hétszínvirág Óvoda'!$D$3:$S$3,"Módosított előirányzat")+SUMIFS('2.3. sz. Mese Óvoda'!D42:O42,'2.3. sz. Mese Óvoda'!$D$5:$O$5,"önként vállalt",'2.3. sz. Mese Óvoda'!$D$3:$O$3,"Módosított előirányzat")+SUMIFS('2.4. sz. Bölcsőde'!D42:M42,'2.4. sz. Bölcsőde'!$D$5:$M$5,"önként vállalt",'2.4. sz. Bölcsőde'!$D$3:$M$3,"Módosított előirányzat")+SUMIFS('2.5. sz. Gyermekjóléti'!D42:Q42,'2.5. sz. Gyermekjóléti'!$D$5:$Q$5,"önként vállalt",'2.5. sz. Gyermekjóléti'!$D$3:$Q$3,"Módosított előirányzat")+SUMIFS('2.6 sz. Területi'!D42:AO42,'2.6 sz. Területi'!$D$5:$AO$5,"önként vállalt",'2.6 sz. Területi'!$D$3:$AO$3,"Módosított előirányzat")+SUMIFS('2.7. sz. Könyvtár'!D42:S42,'2.7. sz. Könyvtár'!$D$5:$S$5,"önként vállalt",'2.7. sz. Könyvtár'!$D$3:$S$3,"Módosított előirányzat")+SUMIFS('2.8. sz. Műv.Ház'!D42:S42,'2.8. sz. Műv.Ház'!$D$5:$S$5,"önként vállalt",'2.8. sz. Műv.Ház'!$D$3:$S$3,"Módosított előirányzat")+SUMIFS('2.9. sz. Szivárvány Ó.'!D42:Q42,'2.9. sz. Szivárvány Ó.'!$D$5:$Q$5,"önként vállalt",'2.9. sz. Szivárvány Ó.'!$D$3:$Q$3,"Módosított előirányzat")</f>
        <v>0</v>
      </c>
      <c r="H42" s="6">
        <f>SUMIFS('2.1. sz. PMH'!D42:AA42,'2.1. sz. PMH'!$D$5:$AA$5,"államigazgatási",'2.1. sz. PMH'!$D$3:$AA$3,"Eredeti előirányzat")+SUMIFS('2.2. sz. Hétszínvirág Óvoda'!D42:S42,'2.2. sz. Hétszínvirág Óvoda'!$D$5:$S$5,"államigazgatási",'2.2. sz. Hétszínvirág Óvoda'!$D$3:$S$3,"Eredeti előirányzat")+SUMIFS('2.3. sz. Mese Óvoda'!D42:O42,'2.3. sz. Mese Óvoda'!$D$5:$O$5,"államigazgatási",'2.3. sz. Mese Óvoda'!$D$3:$O$3,"Eredeti előirányzat")+SUMIFS('2.4. sz. Bölcsőde'!D42:M42,'2.4. sz. Bölcsőde'!$D$5:$M$5,"államigazgatási",'2.4. sz. Bölcsőde'!$D$3:$M$3,"Eredeti előirányzat")+SUMIFS('2.5. sz. Gyermekjóléti'!D42:Q42,'2.5. sz. Gyermekjóléti'!$D$5:$Q$5,"államigazgatási",'2.5. sz. Gyermekjóléti'!$D$3:$Q$3,"Eredeti előirányzat")+SUMIFS('2.6 sz. Területi'!D42:AO42,'2.6 sz. Területi'!$D$5:$AO$5,"államigazgatási",'2.6 sz. Területi'!$D$3:$AO$3,"Eredeti előirányzat")+SUMIFS('2.7. sz. Könyvtár'!D42:S42,'2.7. sz. Könyvtár'!$D$5:$S$5,"államigazgatási",'2.7. sz. Könyvtár'!$D$3:$S$3,"Eredeti előirányzat")+SUMIFS('2.8. sz. Műv.Ház'!D42:S42,'2.8. sz. Műv.Ház'!$D$5:$S$5,"államigazgatási",'2.8. sz. Műv.Ház'!$D$3:$S$3,"Eredeti előirányzat")+SUMIFS('2.9. sz. Szivárvány Ó.'!D42:Q42,'2.9. sz. Szivárvány Ó.'!$D$5:$Q$5,"államigazgatási",'2.9. sz. Szivárvány Ó.'!$D$3:$Q$3,"Eredeti előirányzat")</f>
        <v>0</v>
      </c>
      <c r="I42" s="6">
        <f>SUMIFS('2.1. sz. PMH'!D42:AA42,'2.1. sz. PMH'!$D$5:$AA$5,"államigazgatási",'2.1. sz. PMH'!$D$3:$AA$3,"Módosított előirányzat")+SUMIFS('2.2. sz. Hétszínvirág Óvoda'!D42:S42,'2.2. sz. Hétszínvirág Óvoda'!$D$5:$S$5,"államigazgatási",'2.2. sz. Hétszínvirág Óvoda'!$D$3:$S$3,"Módosított előirányzat")+SUMIFS('2.3. sz. Mese Óvoda'!D42:O42,'2.3. sz. Mese Óvoda'!$D$5:$O$5,"államigazgatási",'2.3. sz. Mese Óvoda'!$D$3:$O$3,"Módosított előirányzat")+SUMIFS('2.4. sz. Bölcsőde'!D42:M42,'2.4. sz. Bölcsőde'!$D$5:$M$5,"államigazgatási",'2.4. sz. Bölcsőde'!$D$3:$M$3,"Módosított előirányzat")+SUMIFS('2.5. sz. Gyermekjóléti'!D42:Q42,'2.5. sz. Gyermekjóléti'!$D$5:$Q$5,"államigazgatási",'2.5. sz. Gyermekjóléti'!$D$3:$Q$3,"Módosított előirányzat")+SUMIFS('2.6 sz. Területi'!D42:AO42,'2.6 sz. Területi'!$D$5:$AO$5,"államigazgatási",'2.6 sz. Területi'!$D$3:$AO$3,"Módosított előirányzat")+SUMIFS('2.7. sz. Könyvtár'!D42:S42,'2.7. sz. Könyvtár'!$D$5:$S$5,"államigazgatási",'2.7. sz. Könyvtár'!$D$3:$S$3,"Módosított előirányzat")+SUMIFS('2.8. sz. Műv.Ház'!D42:S42,'2.8. sz. Műv.Ház'!$D$5:$S$5,"államigazgatási",'2.8. sz. Műv.Ház'!$D$3:$S$3,"Módosított előirányzat")+SUMIFS('2.9. sz. Szivárvány Ó.'!D42:Q42,'2.9. sz. Szivárvány Ó.'!$D$5:$Q$5,"államigazgatási",'2.9. sz. Szivárvány Ó.'!$D$3:$Q$3,"Módosított előirányzat")</f>
        <v>0</v>
      </c>
      <c r="J42" s="6">
        <f t="shared" si="0"/>
        <v>3488795</v>
      </c>
      <c r="K42" s="1179">
        <f t="shared" si="1"/>
        <v>3488795</v>
      </c>
    </row>
    <row r="43" spans="1:12" ht="23.25" customHeight="1" x14ac:dyDescent="0.25">
      <c r="A43" s="26" t="s">
        <v>283</v>
      </c>
      <c r="B43" s="33" t="s">
        <v>554</v>
      </c>
      <c r="C43" s="31"/>
      <c r="D43" s="6">
        <f>SUMIFS('2.1. sz. PMH'!D43:AA43,'2.1. sz. PMH'!$D$5:$AA$5,"kötelező",'2.1. sz. PMH'!$D$3:$AA$3,"Eredeti előirányzat")+SUMIFS('2.2. sz. Hétszínvirág Óvoda'!D43:S43,'2.2. sz. Hétszínvirág Óvoda'!$D$5:$S$5,"kötelező",'2.2. sz. Hétszínvirág Óvoda'!$D$3:$S$3,"Eredeti előirányzat")+SUMIFS('2.3. sz. Mese Óvoda'!D43:O43,'2.3. sz. Mese Óvoda'!$D$5:$O$5,"kötelező",'2.3. sz. Mese Óvoda'!$D$3:$O$3,"Eredeti előirányzat")+SUMIFS('2.4. sz. Bölcsőde'!D43:M43,'2.4. sz. Bölcsőde'!$D$5:$M$5,"kötelező",'2.4. sz. Bölcsőde'!$D$3:$M$3,"Eredeti előirányzat")+SUMIFS('2.5. sz. Gyermekjóléti'!D43:Q43,'2.5. sz. Gyermekjóléti'!$D$5:$Q$5,"kötelező",'2.5. sz. Gyermekjóléti'!$D$3:$Q$3,"Eredeti előirányzat")+SUMIFS('2.6 sz. Területi'!D43:AO43,'2.6 sz. Területi'!$D$5:$AO$5,"kötelező",'2.6 sz. Területi'!$D$3:$AO$3,"Eredeti előirányzat")+SUMIFS('2.7. sz. Könyvtár'!D43:S43,'2.7. sz. Könyvtár'!$D$5:$S$5,"kötelező",'2.7. sz. Könyvtár'!$D$3:$S$3,"Eredeti előirányzat")+SUMIFS('2.8. sz. Műv.Ház'!D43:S43,'2.8. sz. Műv.Ház'!$D$5:$S$5,"kötelező",'2.8. sz. Műv.Ház'!$D$3:$S$3,"Eredeti előirányzat")+SUMIFS('2.9. sz. Szivárvány Ó.'!D43:Q43,'2.9. sz. Szivárvány Ó.'!$D$5:$Q$5,"kötelező",'2.9. sz. Szivárvány Ó.'!$D$3:$Q$3,"Eredeti előirányzat")</f>
        <v>3513510223</v>
      </c>
      <c r="E43" s="6">
        <f>SUMIFS('2.1. sz. PMH'!D43:AA43,'2.1. sz. PMH'!$D$5:$AA$5,"kötelező",'2.1. sz. PMH'!$D$3:$AA$3,"Módosított előirányzat")+SUMIFS('2.2. sz. Hétszínvirág Óvoda'!D43:S43,'2.2. sz. Hétszínvirág Óvoda'!$D$5:$S$5,"kötelező",'2.2. sz. Hétszínvirág Óvoda'!$D$3:$S$3,"Módosított előirányzat")+SUMIFS('2.3. sz. Mese Óvoda'!D43:O43,'2.3. sz. Mese Óvoda'!$D$5:$O$5,"kötelező",'2.3. sz. Mese Óvoda'!$D$3:$O$3,"Módosított előirányzat")+SUMIFS('2.4. sz. Bölcsőde'!D43:M43,'2.4. sz. Bölcsőde'!$D$5:$M$5,"kötelező",'2.4. sz. Bölcsőde'!$D$3:$M$3,"Módosított előirányzat")+SUMIFS('2.5. sz. Gyermekjóléti'!D43:Q43,'2.5. sz. Gyermekjóléti'!$D$5:$Q$5,"kötelező",'2.5. sz. Gyermekjóléti'!$D$3:$Q$3,"Módosított előirányzat")+SUMIFS('2.6 sz. Területi'!D43:AO43,'2.6 sz. Területi'!$D$5:$AO$5,"kötelező",'2.6 sz. Területi'!$D$3:$AO$3,"Módosított előirányzat")+SUMIFS('2.7. sz. Könyvtár'!D43:S43,'2.7. sz. Könyvtár'!$D$5:$S$5,"kötelező",'2.7. sz. Könyvtár'!$D$3:$S$3,"Módosított előirányzat")+SUMIFS('2.8. sz. Műv.Ház'!D43:S43,'2.8. sz. Műv.Ház'!$D$5:$S$5,"kötelező",'2.8. sz. Műv.Ház'!$D$3:$S$3,"Módosított előirányzat")+SUMIFS('2.9. sz. Szivárvány Ó.'!D43:Q43,'2.9. sz. Szivárvány Ó.'!$D$5:$Q$5,"kötelező",'2.9. sz. Szivárvány Ó.'!$D$3:$Q$3,"Módosított előirányzat")</f>
        <v>3686246941</v>
      </c>
      <c r="F43" s="6">
        <f>SUMIFS('2.1. sz. PMH'!D43:AA43,'2.1. sz. PMH'!$D$5:$AA$5,"önként vállalt",'2.1. sz. PMH'!$D$3:$AA$3,"Eredeti előirányzat")+SUMIFS('2.2. sz. Hétszínvirág Óvoda'!D43:S43,'2.2. sz. Hétszínvirág Óvoda'!$D$5:$S$5,"önként vállalt",'2.2. sz. Hétszínvirág Óvoda'!$D$3:$S$3,"Eredeti előirányzat")+SUMIFS('2.3. sz. Mese Óvoda'!D43:O43,'2.3. sz. Mese Óvoda'!$D$5:$O$5,"önként vállalt",'2.3. sz. Mese Óvoda'!$D$3:$O$3,"Eredeti előirányzat")+SUMIFS('2.4. sz. Bölcsőde'!D43:M43,'2.4. sz. Bölcsőde'!$D$5:$M$5,"önként vállalt",'2.4. sz. Bölcsőde'!$D$3:$M$3,"Eredeti előirányzat")+SUMIFS('2.5. sz. Gyermekjóléti'!D43:Q43,'2.5. sz. Gyermekjóléti'!$D$5:$Q$5,"önként vállalt",'2.5. sz. Gyermekjóléti'!$D$3:$Q$3,"Eredeti előirányzat")+SUMIFS('2.6 sz. Területi'!D43:AO43,'2.6 sz. Területi'!$D$5:$AO$5,"önként vállalt",'2.6 sz. Területi'!$D$3:$AO$3,"Eredeti előirányzat")+SUMIFS('2.7. sz. Könyvtár'!D43:S43,'2.7. sz. Könyvtár'!$D$5:$S$5,"önként vállalt",'2.7. sz. Könyvtár'!$D$3:$S$3,"Eredeti előirányzat")+SUMIFS('2.8. sz. Műv.Ház'!D43:S43,'2.8. sz. Műv.Ház'!$D$5:$S$5,"önként vállalt",'2.8. sz. Műv.Ház'!$D$3:$S$3,"Eredeti előirányzat")+SUMIFS('2.9. sz. Szivárvány Ó.'!D43:Q43,'2.9. sz. Szivárvány Ó.'!$D$5:$Q$5,"önként vállalt",'2.9. sz. Szivárvány Ó.'!$D$3:$Q$3,"Eredeti előirányzat")</f>
        <v>0</v>
      </c>
      <c r="G43" s="6">
        <f>SUMIFS('2.1. sz. PMH'!D43:AA43,'2.1. sz. PMH'!$D$5:$AA$5,"önként vállalt",'2.1. sz. PMH'!$D$3:$AA$3,"Módosított előirányzat")+SUMIFS('2.2. sz. Hétszínvirág Óvoda'!D43:S43,'2.2. sz. Hétszínvirág Óvoda'!$D$5:$S$5,"önként vállalt",'2.2. sz. Hétszínvirág Óvoda'!$D$3:$S$3,"Módosított előirányzat")+SUMIFS('2.3. sz. Mese Óvoda'!D43:O43,'2.3. sz. Mese Óvoda'!$D$5:$O$5,"önként vállalt",'2.3. sz. Mese Óvoda'!$D$3:$O$3,"Módosított előirányzat")+SUMIFS('2.4. sz. Bölcsőde'!D43:M43,'2.4. sz. Bölcsőde'!$D$5:$M$5,"önként vállalt",'2.4. sz. Bölcsőde'!$D$3:$M$3,"Módosított előirányzat")+SUMIFS('2.5. sz. Gyermekjóléti'!D43:Q43,'2.5. sz. Gyermekjóléti'!$D$5:$Q$5,"önként vállalt",'2.5. sz. Gyermekjóléti'!$D$3:$Q$3,"Módosított előirányzat")+SUMIFS('2.6 sz. Területi'!D43:AO43,'2.6 sz. Területi'!$D$5:$AO$5,"önként vállalt",'2.6 sz. Területi'!$D$3:$AO$3,"Módosított előirányzat")+SUMIFS('2.7. sz. Könyvtár'!D43:S43,'2.7. sz. Könyvtár'!$D$5:$S$5,"önként vállalt",'2.7. sz. Könyvtár'!$D$3:$S$3,"Módosított előirányzat")+SUMIFS('2.8. sz. Műv.Ház'!D43:S43,'2.8. sz. Műv.Ház'!$D$5:$S$5,"önként vállalt",'2.8. sz. Műv.Ház'!$D$3:$S$3,"Módosított előirányzat")+SUMIFS('2.9. sz. Szivárvány Ó.'!D43:Q43,'2.9. sz. Szivárvány Ó.'!$D$5:$Q$5,"önként vállalt",'2.9. sz. Szivárvány Ó.'!$D$3:$Q$3,"Módosított előirányzat")</f>
        <v>0</v>
      </c>
      <c r="H43" s="6">
        <f>SUMIFS('2.1. sz. PMH'!D43:AA43,'2.1. sz. PMH'!$D$5:$AA$5,"államigazgatási",'2.1. sz. PMH'!$D$3:$AA$3,"Eredeti előirányzat")+SUMIFS('2.2. sz. Hétszínvirág Óvoda'!D43:S43,'2.2. sz. Hétszínvirág Óvoda'!$D$5:$S$5,"államigazgatási",'2.2. sz. Hétszínvirág Óvoda'!$D$3:$S$3,"Eredeti előirányzat")+SUMIFS('2.3. sz. Mese Óvoda'!D43:O43,'2.3. sz. Mese Óvoda'!$D$5:$O$5,"államigazgatási",'2.3. sz. Mese Óvoda'!$D$3:$O$3,"Eredeti előirányzat")+SUMIFS('2.4. sz. Bölcsőde'!D43:M43,'2.4. sz. Bölcsőde'!$D$5:$M$5,"államigazgatási",'2.4. sz. Bölcsőde'!$D$3:$M$3,"Eredeti előirányzat")+SUMIFS('2.5. sz. Gyermekjóléti'!D43:Q43,'2.5. sz. Gyermekjóléti'!$D$5:$Q$5,"államigazgatási",'2.5. sz. Gyermekjóléti'!$D$3:$Q$3,"Eredeti előirányzat")+SUMIFS('2.6 sz. Területi'!D43:AO43,'2.6 sz. Területi'!$D$5:$AO$5,"államigazgatási",'2.6 sz. Területi'!$D$3:$AO$3,"Eredeti előirányzat")+SUMIFS('2.7. sz. Könyvtár'!D43:S43,'2.7. sz. Könyvtár'!$D$5:$S$5,"államigazgatási",'2.7. sz. Könyvtár'!$D$3:$S$3,"Eredeti előirányzat")+SUMIFS('2.8. sz. Műv.Ház'!D43:S43,'2.8. sz. Műv.Ház'!$D$5:$S$5,"államigazgatási",'2.8. sz. Műv.Ház'!$D$3:$S$3,"Eredeti előirányzat")+SUMIFS('2.9. sz. Szivárvány Ó.'!D43:Q43,'2.9. sz. Szivárvány Ó.'!$D$5:$Q$5,"államigazgatási",'2.9. sz. Szivárvány Ó.'!$D$3:$Q$3,"Eredeti előirányzat")</f>
        <v>0</v>
      </c>
      <c r="I43" s="6">
        <f>SUMIFS('2.1. sz. PMH'!D43:AA43,'2.1. sz. PMH'!$D$5:$AA$5,"államigazgatási",'2.1. sz. PMH'!$D$3:$AA$3,"Módosított előirányzat")+SUMIFS('2.2. sz. Hétszínvirág Óvoda'!D43:S43,'2.2. sz. Hétszínvirág Óvoda'!$D$5:$S$5,"államigazgatási",'2.2. sz. Hétszínvirág Óvoda'!$D$3:$S$3,"Módosított előirányzat")+SUMIFS('2.3. sz. Mese Óvoda'!D43:O43,'2.3. sz. Mese Óvoda'!$D$5:$O$5,"államigazgatási",'2.3. sz. Mese Óvoda'!$D$3:$O$3,"Módosított előirányzat")+SUMIFS('2.4. sz. Bölcsőde'!D43:M43,'2.4. sz. Bölcsőde'!$D$5:$M$5,"államigazgatási",'2.4. sz. Bölcsőde'!$D$3:$M$3,"Módosított előirányzat")+SUMIFS('2.5. sz. Gyermekjóléti'!D43:Q43,'2.5. sz. Gyermekjóléti'!$D$5:$Q$5,"államigazgatási",'2.5. sz. Gyermekjóléti'!$D$3:$Q$3,"Módosított előirányzat")+SUMIFS('2.6 sz. Területi'!D43:AO43,'2.6 sz. Területi'!$D$5:$AO$5,"államigazgatási",'2.6 sz. Területi'!$D$3:$AO$3,"Módosított előirányzat")+SUMIFS('2.7. sz. Könyvtár'!D43:S43,'2.7. sz. Könyvtár'!$D$5:$S$5,"államigazgatási",'2.7. sz. Könyvtár'!$D$3:$S$3,"Módosított előirányzat")+SUMIFS('2.8. sz. Műv.Ház'!D43:S43,'2.8. sz. Műv.Ház'!$D$5:$S$5,"államigazgatási",'2.8. sz. Műv.Ház'!$D$3:$S$3,"Módosított előirányzat")+SUMIFS('2.9. sz. Szivárvány Ó.'!D43:Q43,'2.9. sz. Szivárvány Ó.'!$D$5:$Q$5,"államigazgatási",'2.9. sz. Szivárvány Ó.'!$D$3:$Q$3,"Módosított előirányzat")</f>
        <v>0</v>
      </c>
      <c r="J43" s="6">
        <f t="shared" si="0"/>
        <v>3513510223</v>
      </c>
      <c r="K43" s="1179">
        <f t="shared" si="1"/>
        <v>3686246941</v>
      </c>
      <c r="L43" s="84">
        <f>+J43+J44</f>
        <v>3575792043</v>
      </c>
    </row>
    <row r="44" spans="1:12" ht="23.25" customHeight="1" x14ac:dyDescent="0.25">
      <c r="A44" s="26" t="s">
        <v>284</v>
      </c>
      <c r="B44" s="33" t="s">
        <v>645</v>
      </c>
      <c r="C44" s="31"/>
      <c r="D44" s="6">
        <f>SUMIFS('2.1. sz. PMH'!D44:AA44,'2.1. sz. PMH'!$D$5:$AA$5,"kötelező",'2.1. sz. PMH'!$D$3:$AA$3,"Eredeti előirányzat")+SUMIFS('2.2. sz. Hétszínvirág Óvoda'!D44:S44,'2.2. sz. Hétszínvirág Óvoda'!$D$5:$S$5,"kötelező",'2.2. sz. Hétszínvirág Óvoda'!$D$3:$S$3,"Eredeti előirányzat")+SUMIFS('2.3. sz. Mese Óvoda'!D44:O44,'2.3. sz. Mese Óvoda'!$D$5:$O$5,"kötelező",'2.3. sz. Mese Óvoda'!$D$3:$O$3,"Eredeti előirányzat")+SUMIFS('2.4. sz. Bölcsőde'!D44:M44,'2.4. sz. Bölcsőde'!$D$5:$M$5,"kötelező",'2.4. sz. Bölcsőde'!$D$3:$M$3,"Eredeti előirányzat")+SUMIFS('2.5. sz. Gyermekjóléti'!D44:Q44,'2.5. sz. Gyermekjóléti'!$D$5:$Q$5,"kötelező",'2.5. sz. Gyermekjóléti'!$D$3:$Q$3,"Eredeti előirányzat")+SUMIFS('2.6 sz. Területi'!D44:AO44,'2.6 sz. Területi'!$D$5:$AO$5,"kötelező",'2.6 sz. Területi'!$D$3:$AO$3,"Eredeti előirányzat")+SUMIFS('2.7. sz. Könyvtár'!D44:S44,'2.7. sz. Könyvtár'!$D$5:$S$5,"kötelező",'2.7. sz. Könyvtár'!$D$3:$S$3,"Eredeti előirányzat")+SUMIFS('2.8. sz. Műv.Ház'!D44:S44,'2.8. sz. Műv.Ház'!$D$5:$S$5,"kötelező",'2.8. sz. Műv.Ház'!$D$3:$S$3,"Eredeti előirányzat")+SUMIFS('2.9. sz. Szivárvány Ó.'!D44:Q44,'2.9. sz. Szivárvány Ó.'!$D$5:$Q$5,"kötelező",'2.9. sz. Szivárvány Ó.'!$D$3:$Q$3,"Eredeti előirányzat")</f>
        <v>62281820</v>
      </c>
      <c r="E44" s="6">
        <f>SUMIFS('2.1. sz. PMH'!D44:AA44,'2.1. sz. PMH'!$D$5:$AA$5,"kötelező",'2.1. sz. PMH'!$D$3:$AA$3,"Módosított előirányzat")+SUMIFS('2.2. sz. Hétszínvirág Óvoda'!D44:S44,'2.2. sz. Hétszínvirág Óvoda'!$D$5:$S$5,"kötelező",'2.2. sz. Hétszínvirág Óvoda'!$D$3:$S$3,"Módosított előirányzat")+SUMIFS('2.3. sz. Mese Óvoda'!D44:O44,'2.3. sz. Mese Óvoda'!$D$5:$O$5,"kötelező",'2.3. sz. Mese Óvoda'!$D$3:$O$3,"Módosított előirányzat")+SUMIFS('2.4. sz. Bölcsőde'!D44:M44,'2.4. sz. Bölcsőde'!$D$5:$M$5,"kötelező",'2.4. sz. Bölcsőde'!$D$3:$M$3,"Módosított előirányzat")+SUMIFS('2.5. sz. Gyermekjóléti'!D44:Q44,'2.5. sz. Gyermekjóléti'!$D$5:$Q$5,"kötelező",'2.5. sz. Gyermekjóléti'!$D$3:$Q$3,"Módosított előirányzat")+SUMIFS('2.6 sz. Területi'!D44:AO44,'2.6 sz. Területi'!$D$5:$AO$5,"kötelező",'2.6 sz. Területi'!$D$3:$AO$3,"Módosított előirányzat")+SUMIFS('2.7. sz. Könyvtár'!D44:S44,'2.7. sz. Könyvtár'!$D$5:$S$5,"kötelező",'2.7. sz. Könyvtár'!$D$3:$S$3,"Módosított előirányzat")+SUMIFS('2.8. sz. Műv.Ház'!D44:S44,'2.8. sz. Műv.Ház'!$D$5:$S$5,"kötelező",'2.8. sz. Műv.Ház'!$D$3:$S$3,"Módosított előirányzat")+SUMIFS('2.9. sz. Szivárvány Ó.'!D44:Q44,'2.9. sz. Szivárvány Ó.'!$D$5:$Q$5,"kötelező",'2.9. sz. Szivárvány Ó.'!$D$3:$Q$3,"Módosított előirányzat")</f>
        <v>98501338</v>
      </c>
      <c r="F44" s="6">
        <f>SUMIFS('2.1. sz. PMH'!D44:AA44,'2.1. sz. PMH'!$D$5:$AA$5,"önként vállalt",'2.1. sz. PMH'!$D$3:$AA$3,"Eredeti előirányzat")+SUMIFS('2.2. sz. Hétszínvirág Óvoda'!D44:S44,'2.2. sz. Hétszínvirág Óvoda'!$D$5:$S$5,"önként vállalt",'2.2. sz. Hétszínvirág Óvoda'!$D$3:$S$3,"Eredeti előirányzat")+SUMIFS('2.3. sz. Mese Óvoda'!D44:O44,'2.3. sz. Mese Óvoda'!$D$5:$O$5,"önként vállalt",'2.3. sz. Mese Óvoda'!$D$3:$O$3,"Eredeti előirányzat")+SUMIFS('2.4. sz. Bölcsőde'!D44:M44,'2.4. sz. Bölcsőde'!$D$5:$M$5,"önként vállalt",'2.4. sz. Bölcsőde'!$D$3:$M$3,"Eredeti előirányzat")+SUMIFS('2.5. sz. Gyermekjóléti'!D44:Q44,'2.5. sz. Gyermekjóléti'!$D$5:$Q$5,"önként vállalt",'2.5. sz. Gyermekjóléti'!$D$3:$Q$3,"Eredeti előirányzat")+SUMIFS('2.6 sz. Területi'!D44:AO44,'2.6 sz. Területi'!$D$5:$AO$5,"önként vállalt",'2.6 sz. Területi'!$D$3:$AO$3,"Eredeti előirányzat")+SUMIFS('2.7. sz. Könyvtár'!D44:S44,'2.7. sz. Könyvtár'!$D$5:$S$5,"önként vállalt",'2.7. sz. Könyvtár'!$D$3:$S$3,"Eredeti előirányzat")+SUMIFS('2.8. sz. Műv.Ház'!D44:S44,'2.8. sz. Műv.Ház'!$D$5:$S$5,"önként vállalt",'2.8. sz. Műv.Ház'!$D$3:$S$3,"Eredeti előirányzat")+SUMIFS('2.9. sz. Szivárvány Ó.'!D44:Q44,'2.9. sz. Szivárvány Ó.'!$D$5:$Q$5,"önként vállalt",'2.9. sz. Szivárvány Ó.'!$D$3:$Q$3,"Eredeti előirányzat")</f>
        <v>0</v>
      </c>
      <c r="G44" s="6">
        <f>SUMIFS('2.1. sz. PMH'!D44:AA44,'2.1. sz. PMH'!$D$5:$AA$5,"önként vállalt",'2.1. sz. PMH'!$D$3:$AA$3,"Módosított előirányzat")+SUMIFS('2.2. sz. Hétszínvirág Óvoda'!D44:S44,'2.2. sz. Hétszínvirág Óvoda'!$D$5:$S$5,"önként vállalt",'2.2. sz. Hétszínvirág Óvoda'!$D$3:$S$3,"Módosított előirányzat")+SUMIFS('2.3. sz. Mese Óvoda'!D44:O44,'2.3. sz. Mese Óvoda'!$D$5:$O$5,"önként vállalt",'2.3. sz. Mese Óvoda'!$D$3:$O$3,"Módosított előirányzat")+SUMIFS('2.4. sz. Bölcsőde'!D44:M44,'2.4. sz. Bölcsőde'!$D$5:$M$5,"önként vállalt",'2.4. sz. Bölcsőde'!$D$3:$M$3,"Módosított előirányzat")+SUMIFS('2.5. sz. Gyermekjóléti'!D44:Q44,'2.5. sz. Gyermekjóléti'!$D$5:$Q$5,"önként vállalt",'2.5. sz. Gyermekjóléti'!$D$3:$Q$3,"Módosított előirányzat")+SUMIFS('2.6 sz. Területi'!D44:AO44,'2.6 sz. Területi'!$D$5:$AO$5,"önként vállalt",'2.6 sz. Területi'!$D$3:$AO$3,"Módosított előirányzat")+SUMIFS('2.7. sz. Könyvtár'!D44:S44,'2.7. sz. Könyvtár'!$D$5:$S$5,"önként vállalt",'2.7. sz. Könyvtár'!$D$3:$S$3,"Módosított előirányzat")+SUMIFS('2.8. sz. Műv.Ház'!D44:S44,'2.8. sz. Műv.Ház'!$D$5:$S$5,"önként vállalt",'2.8. sz. Műv.Ház'!$D$3:$S$3,"Módosított előirányzat")+SUMIFS('2.9. sz. Szivárvány Ó.'!D44:Q44,'2.9. sz. Szivárvány Ó.'!$D$5:$Q$5,"önként vállalt",'2.9. sz. Szivárvány Ó.'!$D$3:$Q$3,"Módosított előirányzat")</f>
        <v>0</v>
      </c>
      <c r="H44" s="6">
        <f>SUMIFS('2.1. sz. PMH'!D44:AA44,'2.1. sz. PMH'!$D$5:$AA$5,"államigazgatási",'2.1. sz. PMH'!$D$3:$AA$3,"Eredeti előirányzat")+SUMIFS('2.2. sz. Hétszínvirág Óvoda'!D44:S44,'2.2. sz. Hétszínvirág Óvoda'!$D$5:$S$5,"államigazgatási",'2.2. sz. Hétszínvirág Óvoda'!$D$3:$S$3,"Eredeti előirányzat")+SUMIFS('2.3. sz. Mese Óvoda'!D44:O44,'2.3. sz. Mese Óvoda'!$D$5:$O$5,"államigazgatási",'2.3. sz. Mese Óvoda'!$D$3:$O$3,"Eredeti előirányzat")+SUMIFS('2.4. sz. Bölcsőde'!D44:M44,'2.4. sz. Bölcsőde'!$D$5:$M$5,"államigazgatási",'2.4. sz. Bölcsőde'!$D$3:$M$3,"Eredeti előirányzat")+SUMIFS('2.5. sz. Gyermekjóléti'!D44:Q44,'2.5. sz. Gyermekjóléti'!$D$5:$Q$5,"államigazgatási",'2.5. sz. Gyermekjóléti'!$D$3:$Q$3,"Eredeti előirányzat")+SUMIFS('2.6 sz. Területi'!D44:AO44,'2.6 sz. Területi'!$D$5:$AO$5,"államigazgatási",'2.6 sz. Területi'!$D$3:$AO$3,"Eredeti előirányzat")+SUMIFS('2.7. sz. Könyvtár'!D44:S44,'2.7. sz. Könyvtár'!$D$5:$S$5,"államigazgatási",'2.7. sz. Könyvtár'!$D$3:$S$3,"Eredeti előirányzat")+SUMIFS('2.8. sz. Műv.Ház'!D44:S44,'2.8. sz. Műv.Ház'!$D$5:$S$5,"államigazgatási",'2.8. sz. Műv.Ház'!$D$3:$S$3,"Eredeti előirányzat")+SUMIFS('2.9. sz. Szivárvány Ó.'!D44:Q44,'2.9. sz. Szivárvány Ó.'!$D$5:$Q$5,"államigazgatási",'2.9. sz. Szivárvány Ó.'!$D$3:$Q$3,"Eredeti előirányzat")</f>
        <v>0</v>
      </c>
      <c r="I44" s="6">
        <f>SUMIFS('2.1. sz. PMH'!D44:AA44,'2.1. sz. PMH'!$D$5:$AA$5,"államigazgatási",'2.1. sz. PMH'!$D$3:$AA$3,"Módosított előirányzat")+SUMIFS('2.2. sz. Hétszínvirág Óvoda'!D44:S44,'2.2. sz. Hétszínvirág Óvoda'!$D$5:$S$5,"államigazgatási",'2.2. sz. Hétszínvirág Óvoda'!$D$3:$S$3,"Módosított előirányzat")+SUMIFS('2.3. sz. Mese Óvoda'!D44:O44,'2.3. sz. Mese Óvoda'!$D$5:$O$5,"államigazgatási",'2.3. sz. Mese Óvoda'!$D$3:$O$3,"Módosított előirányzat")+SUMIFS('2.4. sz. Bölcsőde'!D44:M44,'2.4. sz. Bölcsőde'!$D$5:$M$5,"államigazgatási",'2.4. sz. Bölcsőde'!$D$3:$M$3,"Módosított előirányzat")+SUMIFS('2.5. sz. Gyermekjóléti'!D44:Q44,'2.5. sz. Gyermekjóléti'!$D$5:$Q$5,"államigazgatási",'2.5. sz. Gyermekjóléti'!$D$3:$Q$3,"Módosított előirányzat")+SUMIFS('2.6 sz. Területi'!D44:AO44,'2.6 sz. Területi'!$D$5:$AO$5,"államigazgatási",'2.6 sz. Területi'!$D$3:$AO$3,"Módosított előirányzat")+SUMIFS('2.7. sz. Könyvtár'!D44:S44,'2.7. sz. Könyvtár'!$D$5:$S$5,"államigazgatási",'2.7. sz. Könyvtár'!$D$3:$S$3,"Módosított előirányzat")+SUMIFS('2.8. sz. Műv.Ház'!D44:S44,'2.8. sz. Műv.Ház'!$D$5:$S$5,"államigazgatási",'2.8. sz. Műv.Ház'!$D$3:$S$3,"Módosított előirányzat")+SUMIFS('2.9. sz. Szivárvány Ó.'!D44:Q44,'2.9. sz. Szivárvány Ó.'!$D$5:$Q$5,"államigazgatási",'2.9. sz. Szivárvány Ó.'!$D$3:$Q$3,"Módosított előirányzat")</f>
        <v>0</v>
      </c>
      <c r="J44" s="6">
        <f t="shared" si="0"/>
        <v>62281820</v>
      </c>
      <c r="K44" s="1179">
        <f t="shared" si="1"/>
        <v>98501338</v>
      </c>
    </row>
    <row r="45" spans="1:12" ht="23.25" customHeight="1" x14ac:dyDescent="0.25">
      <c r="A45" s="26" t="s">
        <v>285</v>
      </c>
      <c r="B45" s="33" t="s">
        <v>592</v>
      </c>
      <c r="C45" s="31"/>
      <c r="D45" s="6">
        <f>SUMIFS('2.1. sz. PMH'!D45:AA45,'2.1. sz. PMH'!$D$5:$AA$5,"kötelező",'2.1. sz. PMH'!$D$3:$AA$3,"Eredeti előirányzat")+SUMIFS('2.2. sz. Hétszínvirág Óvoda'!D45:S45,'2.2. sz. Hétszínvirág Óvoda'!$D$5:$S$5,"kötelező",'2.2. sz. Hétszínvirág Óvoda'!$D$3:$S$3,"Eredeti előirányzat")+SUMIFS('2.3. sz. Mese Óvoda'!D45:O45,'2.3. sz. Mese Óvoda'!$D$5:$O$5,"kötelező",'2.3. sz. Mese Óvoda'!$D$3:$O$3,"Eredeti előirányzat")+SUMIFS('2.4. sz. Bölcsőde'!D45:M45,'2.4. sz. Bölcsőde'!$D$5:$M$5,"kötelező",'2.4. sz. Bölcsőde'!$D$3:$M$3,"Eredeti előirányzat")+SUMIFS('2.5. sz. Gyermekjóléti'!D45:Q45,'2.5. sz. Gyermekjóléti'!$D$5:$Q$5,"kötelező",'2.5. sz. Gyermekjóléti'!$D$3:$Q$3,"Eredeti előirányzat")+SUMIFS('2.6 sz. Területi'!D45:AO45,'2.6 sz. Területi'!$D$5:$AO$5,"kötelező",'2.6 sz. Területi'!$D$3:$AO$3,"Eredeti előirányzat")+SUMIFS('2.7. sz. Könyvtár'!D45:S45,'2.7. sz. Könyvtár'!$D$5:$S$5,"kötelező",'2.7. sz. Könyvtár'!$D$3:$S$3,"Eredeti előirányzat")+SUMIFS('2.8. sz. Műv.Ház'!D45:S45,'2.8. sz. Műv.Ház'!$D$5:$S$5,"kötelező",'2.8. sz. Műv.Ház'!$D$3:$S$3,"Eredeti előirányzat")+SUMIFS('2.9. sz. Szivárvány Ó.'!D45:Q45,'2.9. sz. Szivárvány Ó.'!$D$5:$Q$5,"kötelező",'2.9. sz. Szivárvány Ó.'!$D$3:$Q$3,"Eredeti előirányzat")</f>
        <v>0</v>
      </c>
      <c r="E45" s="6">
        <f>SUMIFS('2.1. sz. PMH'!D45:AA45,'2.1. sz. PMH'!$D$5:$AA$5,"kötelező",'2.1. sz. PMH'!$D$3:$AA$3,"Módosított előirányzat")+SUMIFS('2.2. sz. Hétszínvirág Óvoda'!D45:S45,'2.2. sz. Hétszínvirág Óvoda'!$D$5:$S$5,"kötelező",'2.2. sz. Hétszínvirág Óvoda'!$D$3:$S$3,"Módosított előirányzat")+SUMIFS('2.3. sz. Mese Óvoda'!D45:O45,'2.3. sz. Mese Óvoda'!$D$5:$O$5,"kötelező",'2.3. sz. Mese Óvoda'!$D$3:$O$3,"Módosított előirányzat")+SUMIFS('2.4. sz. Bölcsőde'!D45:M45,'2.4. sz. Bölcsőde'!$D$5:$M$5,"kötelező",'2.4. sz. Bölcsőde'!$D$3:$M$3,"Módosított előirányzat")+SUMIFS('2.5. sz. Gyermekjóléti'!D45:Q45,'2.5. sz. Gyermekjóléti'!$D$5:$Q$5,"kötelező",'2.5. sz. Gyermekjóléti'!$D$3:$Q$3,"Módosított előirányzat")+SUMIFS('2.6 sz. Területi'!D45:AO45,'2.6 sz. Területi'!$D$5:$AO$5,"kötelező",'2.6 sz. Területi'!$D$3:$AO$3,"Módosított előirányzat")+SUMIFS('2.7. sz. Könyvtár'!D45:S45,'2.7. sz. Könyvtár'!$D$5:$S$5,"kötelező",'2.7. sz. Könyvtár'!$D$3:$S$3,"Módosított előirányzat")+SUMIFS('2.8. sz. Műv.Ház'!D45:S45,'2.8. sz. Műv.Ház'!$D$5:$S$5,"kötelező",'2.8. sz. Műv.Ház'!$D$3:$S$3,"Módosított előirányzat")+SUMIFS('2.9. sz. Szivárvány Ó.'!D45:Q45,'2.9. sz. Szivárvány Ó.'!$D$5:$Q$5,"kötelező",'2.9. sz. Szivárvány Ó.'!$D$3:$Q$3,"Módosított előirányzat")</f>
        <v>0</v>
      </c>
      <c r="F45" s="6">
        <f>SUMIFS('2.1. sz. PMH'!D45:AA45,'2.1. sz. PMH'!$D$5:$AA$5,"önként vállalt",'2.1. sz. PMH'!$D$3:$AA$3,"Eredeti előirányzat")+SUMIFS('2.2. sz. Hétszínvirág Óvoda'!D45:S45,'2.2. sz. Hétszínvirág Óvoda'!$D$5:$S$5,"önként vállalt",'2.2. sz. Hétszínvirág Óvoda'!$D$3:$S$3,"Eredeti előirányzat")+SUMIFS('2.3. sz. Mese Óvoda'!D45:O45,'2.3. sz. Mese Óvoda'!$D$5:$O$5,"önként vállalt",'2.3. sz. Mese Óvoda'!$D$3:$O$3,"Eredeti előirányzat")+SUMIFS('2.4. sz. Bölcsőde'!D45:M45,'2.4. sz. Bölcsőde'!$D$5:$M$5,"önként vállalt",'2.4. sz. Bölcsőde'!$D$3:$M$3,"Eredeti előirányzat")+SUMIFS('2.5. sz. Gyermekjóléti'!D45:Q45,'2.5. sz. Gyermekjóléti'!$D$5:$Q$5,"önként vállalt",'2.5. sz. Gyermekjóléti'!$D$3:$Q$3,"Eredeti előirányzat")+SUMIFS('2.6 sz. Területi'!D45:AO45,'2.6 sz. Területi'!$D$5:$AO$5,"önként vállalt",'2.6 sz. Területi'!$D$3:$AO$3,"Eredeti előirányzat")+SUMIFS('2.7. sz. Könyvtár'!D45:S45,'2.7. sz. Könyvtár'!$D$5:$S$5,"önként vállalt",'2.7. sz. Könyvtár'!$D$3:$S$3,"Eredeti előirányzat")+SUMIFS('2.8. sz. Műv.Ház'!D45:S45,'2.8. sz. Műv.Ház'!$D$5:$S$5,"önként vállalt",'2.8. sz. Műv.Ház'!$D$3:$S$3,"Eredeti előirányzat")+SUMIFS('2.9. sz. Szivárvány Ó.'!D45:Q45,'2.9. sz. Szivárvány Ó.'!$D$5:$Q$5,"önként vállalt",'2.9. sz. Szivárvány Ó.'!$D$3:$Q$3,"Eredeti előirányzat")</f>
        <v>0</v>
      </c>
      <c r="G45" s="6">
        <f>SUMIFS('2.1. sz. PMH'!D45:AA45,'2.1. sz. PMH'!$D$5:$AA$5,"önként vállalt",'2.1. sz. PMH'!$D$3:$AA$3,"Módosított előirányzat")+SUMIFS('2.2. sz. Hétszínvirág Óvoda'!D45:S45,'2.2. sz. Hétszínvirág Óvoda'!$D$5:$S$5,"önként vállalt",'2.2. sz. Hétszínvirág Óvoda'!$D$3:$S$3,"Módosított előirányzat")+SUMIFS('2.3. sz. Mese Óvoda'!D45:O45,'2.3. sz. Mese Óvoda'!$D$5:$O$5,"önként vállalt",'2.3. sz. Mese Óvoda'!$D$3:$O$3,"Módosított előirányzat")+SUMIFS('2.4. sz. Bölcsőde'!D45:M45,'2.4. sz. Bölcsőde'!$D$5:$M$5,"önként vállalt",'2.4. sz. Bölcsőde'!$D$3:$M$3,"Módosított előirányzat")+SUMIFS('2.5. sz. Gyermekjóléti'!D45:Q45,'2.5. sz. Gyermekjóléti'!$D$5:$Q$5,"önként vállalt",'2.5. sz. Gyermekjóléti'!$D$3:$Q$3,"Módosított előirányzat")+SUMIFS('2.6 sz. Területi'!D45:AO45,'2.6 sz. Területi'!$D$5:$AO$5,"önként vállalt",'2.6 sz. Területi'!$D$3:$AO$3,"Módosított előirányzat")+SUMIFS('2.7. sz. Könyvtár'!D45:S45,'2.7. sz. Könyvtár'!$D$5:$S$5,"önként vállalt",'2.7. sz. Könyvtár'!$D$3:$S$3,"Módosított előirányzat")+SUMIFS('2.8. sz. Műv.Ház'!D45:S45,'2.8. sz. Műv.Ház'!$D$5:$S$5,"önként vállalt",'2.8. sz. Műv.Ház'!$D$3:$S$3,"Módosított előirányzat")+SUMIFS('2.9. sz. Szivárvány Ó.'!D45:Q45,'2.9. sz. Szivárvány Ó.'!$D$5:$Q$5,"önként vállalt",'2.9. sz. Szivárvány Ó.'!$D$3:$Q$3,"Módosított előirányzat")</f>
        <v>0</v>
      </c>
      <c r="H45" s="6">
        <f>SUMIFS('2.1. sz. PMH'!D45:AA45,'2.1. sz. PMH'!$D$5:$AA$5,"államigazgatási",'2.1. sz. PMH'!$D$3:$AA$3,"Eredeti előirányzat")+SUMIFS('2.2. sz. Hétszínvirág Óvoda'!D45:S45,'2.2. sz. Hétszínvirág Óvoda'!$D$5:$S$5,"államigazgatási",'2.2. sz. Hétszínvirág Óvoda'!$D$3:$S$3,"Eredeti előirányzat")+SUMIFS('2.3. sz. Mese Óvoda'!D45:O45,'2.3. sz. Mese Óvoda'!$D$5:$O$5,"államigazgatási",'2.3. sz. Mese Óvoda'!$D$3:$O$3,"Eredeti előirányzat")+SUMIFS('2.4. sz. Bölcsőde'!D45:M45,'2.4. sz. Bölcsőde'!$D$5:$M$5,"államigazgatási",'2.4. sz. Bölcsőde'!$D$3:$M$3,"Eredeti előirányzat")+SUMIFS('2.5. sz. Gyermekjóléti'!D45:Q45,'2.5. sz. Gyermekjóléti'!$D$5:$Q$5,"államigazgatási",'2.5. sz. Gyermekjóléti'!$D$3:$Q$3,"Eredeti előirányzat")+SUMIFS('2.6 sz. Területi'!D45:AO45,'2.6 sz. Területi'!$D$5:$AO$5,"államigazgatási",'2.6 sz. Területi'!$D$3:$AO$3,"Eredeti előirányzat")+SUMIFS('2.7. sz. Könyvtár'!D45:S45,'2.7. sz. Könyvtár'!$D$5:$S$5,"államigazgatási",'2.7. sz. Könyvtár'!$D$3:$S$3,"Eredeti előirányzat")+SUMIFS('2.8. sz. Műv.Ház'!D45:S45,'2.8. sz. Műv.Ház'!$D$5:$S$5,"államigazgatási",'2.8. sz. Műv.Ház'!$D$3:$S$3,"Eredeti előirányzat")+SUMIFS('2.9. sz. Szivárvány Ó.'!D45:Q45,'2.9. sz. Szivárvány Ó.'!$D$5:$Q$5,"államigazgatási",'2.9. sz. Szivárvány Ó.'!$D$3:$Q$3,"Eredeti előirányzat")</f>
        <v>0</v>
      </c>
      <c r="I45" s="6">
        <f>SUMIFS('2.1. sz. PMH'!D45:AA45,'2.1. sz. PMH'!$D$5:$AA$5,"államigazgatási",'2.1. sz. PMH'!$D$3:$AA$3,"Módosított előirányzat")+SUMIFS('2.2. sz. Hétszínvirág Óvoda'!D45:S45,'2.2. sz. Hétszínvirág Óvoda'!$D$5:$S$5,"államigazgatási",'2.2. sz. Hétszínvirág Óvoda'!$D$3:$S$3,"Módosított előirányzat")+SUMIFS('2.3. sz. Mese Óvoda'!D45:O45,'2.3. sz. Mese Óvoda'!$D$5:$O$5,"államigazgatási",'2.3. sz. Mese Óvoda'!$D$3:$O$3,"Módosított előirányzat")+SUMIFS('2.4. sz. Bölcsőde'!D45:M45,'2.4. sz. Bölcsőde'!$D$5:$M$5,"államigazgatási",'2.4. sz. Bölcsőde'!$D$3:$M$3,"Módosított előirányzat")+SUMIFS('2.5. sz. Gyermekjóléti'!D45:Q45,'2.5. sz. Gyermekjóléti'!$D$5:$Q$5,"államigazgatási",'2.5. sz. Gyermekjóléti'!$D$3:$Q$3,"Módosított előirányzat")+SUMIFS('2.6 sz. Területi'!D45:AO45,'2.6 sz. Területi'!$D$5:$AO$5,"államigazgatási",'2.6 sz. Területi'!$D$3:$AO$3,"Módosított előirányzat")+SUMIFS('2.7. sz. Könyvtár'!D45:S45,'2.7. sz. Könyvtár'!$D$5:$S$5,"államigazgatási",'2.7. sz. Könyvtár'!$D$3:$S$3,"Módosított előirányzat")+SUMIFS('2.8. sz. Műv.Ház'!D45:S45,'2.8. sz. Műv.Ház'!$D$5:$S$5,"államigazgatási",'2.8. sz. Műv.Ház'!$D$3:$S$3,"Módosított előirányzat")+SUMIFS('2.9. sz. Szivárvány Ó.'!D45:Q45,'2.9. sz. Szivárvány Ó.'!$D$5:$Q$5,"államigazgatási",'2.9. sz. Szivárvány Ó.'!$D$3:$Q$3,"Módosított előirányzat")</f>
        <v>0</v>
      </c>
      <c r="J45" s="6">
        <f t="shared" si="0"/>
        <v>0</v>
      </c>
      <c r="K45" s="1179">
        <f t="shared" si="1"/>
        <v>0</v>
      </c>
    </row>
    <row r="46" spans="1:12" ht="23.25" customHeight="1" x14ac:dyDescent="0.25">
      <c r="A46" s="26" t="s">
        <v>286</v>
      </c>
      <c r="B46" s="33" t="s">
        <v>846</v>
      </c>
      <c r="C46" s="31"/>
      <c r="D46" s="6">
        <f>SUMIFS('2.1. sz. PMH'!D46:AA46,'2.1. sz. PMH'!$D$5:$AA$5,"kötelező",'2.1. sz. PMH'!$D$3:$AA$3,"Eredeti előirányzat")+SUMIFS('2.2. sz. Hétszínvirág Óvoda'!D46:S46,'2.2. sz. Hétszínvirág Óvoda'!$D$5:$S$5,"kötelező",'2.2. sz. Hétszínvirág Óvoda'!$D$3:$S$3,"Eredeti előirányzat")+SUMIFS('2.3. sz. Mese Óvoda'!D46:O46,'2.3. sz. Mese Óvoda'!$D$5:$O$5,"kötelező",'2.3. sz. Mese Óvoda'!$D$3:$O$3,"Eredeti előirányzat")+SUMIFS('2.4. sz. Bölcsőde'!D46:M46,'2.4. sz. Bölcsőde'!$D$5:$M$5,"kötelező",'2.4. sz. Bölcsőde'!$D$3:$M$3,"Eredeti előirányzat")+SUMIFS('2.5. sz. Gyermekjóléti'!D46:Q46,'2.5. sz. Gyermekjóléti'!$D$5:$Q$5,"kötelező",'2.5. sz. Gyermekjóléti'!$D$3:$Q$3,"Eredeti előirányzat")+SUMIFS('2.6 sz. Területi'!D46:AO46,'2.6 sz. Területi'!$D$5:$AO$5,"kötelező",'2.6 sz. Területi'!$D$3:$AO$3,"Eredeti előirányzat")+SUMIFS('2.7. sz. Könyvtár'!D46:S46,'2.7. sz. Könyvtár'!$D$5:$S$5,"kötelező",'2.7. sz. Könyvtár'!$D$3:$S$3,"Eredeti előirányzat")+SUMIFS('2.8. sz. Műv.Ház'!D46:S46,'2.8. sz. Műv.Ház'!$D$5:$S$5,"kötelező",'2.8. sz. Műv.Ház'!$D$3:$S$3,"Eredeti előirányzat")+SUMIFS('2.9. sz. Szivárvány Ó.'!D46:Q46,'2.9. sz. Szivárvány Ó.'!$D$5:$Q$5,"kötelező",'2.9. sz. Szivárvány Ó.'!$D$3:$Q$3,"Eredeti előirányzat")</f>
        <v>0</v>
      </c>
      <c r="E46" s="6">
        <f>SUMIFS('2.1. sz. PMH'!D46:AA46,'2.1. sz. PMH'!$D$5:$AA$5,"kötelező",'2.1. sz. PMH'!$D$3:$AA$3,"Módosított előirányzat")+SUMIFS('2.2. sz. Hétszínvirág Óvoda'!D46:S46,'2.2. sz. Hétszínvirág Óvoda'!$D$5:$S$5,"kötelező",'2.2. sz. Hétszínvirág Óvoda'!$D$3:$S$3,"Módosított előirányzat")+SUMIFS('2.3. sz. Mese Óvoda'!D46:O46,'2.3. sz. Mese Óvoda'!$D$5:$O$5,"kötelező",'2.3. sz. Mese Óvoda'!$D$3:$O$3,"Módosított előirányzat")+SUMIFS('2.4. sz. Bölcsőde'!D46:M46,'2.4. sz. Bölcsőde'!$D$5:$M$5,"kötelező",'2.4. sz. Bölcsőde'!$D$3:$M$3,"Módosított előirányzat")+SUMIFS('2.5. sz. Gyermekjóléti'!D46:Q46,'2.5. sz. Gyermekjóléti'!$D$5:$Q$5,"kötelező",'2.5. sz. Gyermekjóléti'!$D$3:$Q$3,"Módosított előirányzat")+SUMIFS('2.6 sz. Területi'!D46:AO46,'2.6 sz. Területi'!$D$5:$AO$5,"kötelező",'2.6 sz. Területi'!$D$3:$AO$3,"Módosított előirányzat")+SUMIFS('2.7. sz. Könyvtár'!D46:S46,'2.7. sz. Könyvtár'!$D$5:$S$5,"kötelező",'2.7. sz. Könyvtár'!$D$3:$S$3,"Módosított előirányzat")+SUMIFS('2.8. sz. Műv.Ház'!D46:S46,'2.8. sz. Műv.Ház'!$D$5:$S$5,"kötelező",'2.8. sz. Műv.Ház'!$D$3:$S$3,"Módosított előirányzat")+SUMIFS('2.9. sz. Szivárvány Ó.'!D46:Q46,'2.9. sz. Szivárvány Ó.'!$D$5:$Q$5,"kötelező",'2.9. sz. Szivárvány Ó.'!$D$3:$Q$3,"Módosított előirányzat")</f>
        <v>0</v>
      </c>
      <c r="F46" s="6">
        <f>SUMIFS('2.1. sz. PMH'!D46:AA46,'2.1. sz. PMH'!$D$5:$AA$5,"önként vállalt",'2.1. sz. PMH'!$D$3:$AA$3,"Eredeti előirányzat")+SUMIFS('2.2. sz. Hétszínvirág Óvoda'!D46:S46,'2.2. sz. Hétszínvirág Óvoda'!$D$5:$S$5,"önként vállalt",'2.2. sz. Hétszínvirág Óvoda'!$D$3:$S$3,"Eredeti előirányzat")+SUMIFS('2.3. sz. Mese Óvoda'!D46:O46,'2.3. sz. Mese Óvoda'!$D$5:$O$5,"önként vállalt",'2.3. sz. Mese Óvoda'!$D$3:$O$3,"Eredeti előirányzat")+SUMIFS('2.4. sz. Bölcsőde'!D46:M46,'2.4. sz. Bölcsőde'!$D$5:$M$5,"önként vállalt",'2.4. sz. Bölcsőde'!$D$3:$M$3,"Eredeti előirányzat")+SUMIFS('2.5. sz. Gyermekjóléti'!D46:Q46,'2.5. sz. Gyermekjóléti'!$D$5:$Q$5,"önként vállalt",'2.5. sz. Gyermekjóléti'!$D$3:$Q$3,"Eredeti előirányzat")+SUMIFS('2.6 sz. Területi'!D46:AO46,'2.6 sz. Területi'!$D$5:$AO$5,"önként vállalt",'2.6 sz. Területi'!$D$3:$AO$3,"Eredeti előirányzat")+SUMIFS('2.7. sz. Könyvtár'!D46:S46,'2.7. sz. Könyvtár'!$D$5:$S$5,"önként vállalt",'2.7. sz. Könyvtár'!$D$3:$S$3,"Eredeti előirányzat")+SUMIFS('2.8. sz. Műv.Ház'!D46:S46,'2.8. sz. Műv.Ház'!$D$5:$S$5,"önként vállalt",'2.8. sz. Műv.Ház'!$D$3:$S$3,"Eredeti előirányzat")+SUMIFS('2.9. sz. Szivárvány Ó.'!D46:Q46,'2.9. sz. Szivárvány Ó.'!$D$5:$Q$5,"önként vállalt",'2.9. sz. Szivárvány Ó.'!$D$3:$Q$3,"Eredeti előirányzat")</f>
        <v>0</v>
      </c>
      <c r="G46" s="6">
        <f>SUMIFS('2.1. sz. PMH'!D46:AA46,'2.1. sz. PMH'!$D$5:$AA$5,"önként vállalt",'2.1. sz. PMH'!$D$3:$AA$3,"Módosított előirányzat")+SUMIFS('2.2. sz. Hétszínvirág Óvoda'!D46:S46,'2.2. sz. Hétszínvirág Óvoda'!$D$5:$S$5,"önként vállalt",'2.2. sz. Hétszínvirág Óvoda'!$D$3:$S$3,"Módosított előirányzat")+SUMIFS('2.3. sz. Mese Óvoda'!D46:O46,'2.3. sz. Mese Óvoda'!$D$5:$O$5,"önként vállalt",'2.3. sz. Mese Óvoda'!$D$3:$O$3,"Módosított előirányzat")+SUMIFS('2.4. sz. Bölcsőde'!D46:M46,'2.4. sz. Bölcsőde'!$D$5:$M$5,"önként vállalt",'2.4. sz. Bölcsőde'!$D$3:$M$3,"Módosított előirányzat")+SUMIFS('2.5. sz. Gyermekjóléti'!D46:Q46,'2.5. sz. Gyermekjóléti'!$D$5:$Q$5,"önként vállalt",'2.5. sz. Gyermekjóléti'!$D$3:$Q$3,"Módosított előirányzat")+SUMIFS('2.6 sz. Területi'!D46:AO46,'2.6 sz. Területi'!$D$5:$AO$5,"önként vállalt",'2.6 sz. Területi'!$D$3:$AO$3,"Módosított előirányzat")+SUMIFS('2.7. sz. Könyvtár'!D46:S46,'2.7. sz. Könyvtár'!$D$5:$S$5,"önként vállalt",'2.7. sz. Könyvtár'!$D$3:$S$3,"Módosított előirányzat")+SUMIFS('2.8. sz. Műv.Ház'!D46:S46,'2.8. sz. Műv.Ház'!$D$5:$S$5,"önként vállalt",'2.8. sz. Műv.Ház'!$D$3:$S$3,"Módosított előirányzat")+SUMIFS('2.9. sz. Szivárvány Ó.'!D46:Q46,'2.9. sz. Szivárvány Ó.'!$D$5:$Q$5,"önként vállalt",'2.9. sz. Szivárvány Ó.'!$D$3:$Q$3,"Módosított előirányzat")</f>
        <v>0</v>
      </c>
      <c r="H46" s="6">
        <f>SUMIFS('2.1. sz. PMH'!D46:AA46,'2.1. sz. PMH'!$D$5:$AA$5,"államigazgatási",'2.1. sz. PMH'!$D$3:$AA$3,"Eredeti előirányzat")+SUMIFS('2.2. sz. Hétszínvirág Óvoda'!D46:S46,'2.2. sz. Hétszínvirág Óvoda'!$D$5:$S$5,"államigazgatási",'2.2. sz. Hétszínvirág Óvoda'!$D$3:$S$3,"Eredeti előirányzat")+SUMIFS('2.3. sz. Mese Óvoda'!D46:O46,'2.3. sz. Mese Óvoda'!$D$5:$O$5,"államigazgatási",'2.3. sz. Mese Óvoda'!$D$3:$O$3,"Eredeti előirányzat")+SUMIFS('2.4. sz. Bölcsőde'!D46:M46,'2.4. sz. Bölcsőde'!$D$5:$M$5,"államigazgatási",'2.4. sz. Bölcsőde'!$D$3:$M$3,"Eredeti előirányzat")+SUMIFS('2.5. sz. Gyermekjóléti'!D46:Q46,'2.5. sz. Gyermekjóléti'!$D$5:$Q$5,"államigazgatási",'2.5. sz. Gyermekjóléti'!$D$3:$Q$3,"Eredeti előirányzat")+SUMIFS('2.6 sz. Területi'!D46:AO46,'2.6 sz. Területi'!$D$5:$AO$5,"államigazgatási",'2.6 sz. Területi'!$D$3:$AO$3,"Eredeti előirányzat")+SUMIFS('2.7. sz. Könyvtár'!D46:S46,'2.7. sz. Könyvtár'!$D$5:$S$5,"államigazgatási",'2.7. sz. Könyvtár'!$D$3:$S$3,"Eredeti előirányzat")+SUMIFS('2.8. sz. Műv.Ház'!D46:S46,'2.8. sz. Műv.Ház'!$D$5:$S$5,"államigazgatási",'2.8. sz. Műv.Ház'!$D$3:$S$3,"Eredeti előirányzat")+SUMIFS('2.9. sz. Szivárvány Ó.'!D46:Q46,'2.9. sz. Szivárvány Ó.'!$D$5:$Q$5,"államigazgatási",'2.9. sz. Szivárvány Ó.'!$D$3:$Q$3,"Eredeti előirányzat")</f>
        <v>0</v>
      </c>
      <c r="I46" s="6">
        <f>SUMIFS('2.1. sz. PMH'!D46:AA46,'2.1. sz. PMH'!$D$5:$AA$5,"államigazgatási",'2.1. sz. PMH'!$D$3:$AA$3,"Módosított előirányzat")+SUMIFS('2.2. sz. Hétszínvirág Óvoda'!D46:S46,'2.2. sz. Hétszínvirág Óvoda'!$D$5:$S$5,"államigazgatási",'2.2. sz. Hétszínvirág Óvoda'!$D$3:$S$3,"Módosított előirányzat")+SUMIFS('2.3. sz. Mese Óvoda'!D46:O46,'2.3. sz. Mese Óvoda'!$D$5:$O$5,"államigazgatási",'2.3. sz. Mese Óvoda'!$D$3:$O$3,"Módosított előirányzat")+SUMIFS('2.4. sz. Bölcsőde'!D46:M46,'2.4. sz. Bölcsőde'!$D$5:$M$5,"államigazgatási",'2.4. sz. Bölcsőde'!$D$3:$M$3,"Módosított előirányzat")+SUMIFS('2.5. sz. Gyermekjóléti'!D46:Q46,'2.5. sz. Gyermekjóléti'!$D$5:$Q$5,"államigazgatási",'2.5. sz. Gyermekjóléti'!$D$3:$Q$3,"Módosított előirányzat")+SUMIFS('2.6 sz. Területi'!D46:AO46,'2.6 sz. Területi'!$D$5:$AO$5,"államigazgatási",'2.6 sz. Területi'!$D$3:$AO$3,"Módosított előirányzat")+SUMIFS('2.7. sz. Könyvtár'!D46:S46,'2.7. sz. Könyvtár'!$D$5:$S$5,"államigazgatási",'2.7. sz. Könyvtár'!$D$3:$S$3,"Módosított előirányzat")+SUMIFS('2.8. sz. Műv.Ház'!D46:S46,'2.8. sz. Műv.Ház'!$D$5:$S$5,"államigazgatási",'2.8. sz. Műv.Ház'!$D$3:$S$3,"Módosított előirányzat")+SUMIFS('2.9. sz. Szivárvány Ó.'!D46:Q46,'2.9. sz. Szivárvány Ó.'!$D$5:$Q$5,"államigazgatási",'2.9. sz. Szivárvány Ó.'!$D$3:$Q$3,"Módosított előirányzat")</f>
        <v>0</v>
      </c>
      <c r="J46" s="6">
        <f t="shared" si="0"/>
        <v>0</v>
      </c>
      <c r="K46" s="1179">
        <f t="shared" si="1"/>
        <v>0</v>
      </c>
    </row>
    <row r="47" spans="1:12" s="36" customFormat="1" ht="23.25" customHeight="1" x14ac:dyDescent="0.25">
      <c r="A47" s="26" t="s">
        <v>287</v>
      </c>
      <c r="B47" s="34" t="s">
        <v>112</v>
      </c>
      <c r="C47" s="27"/>
      <c r="D47" s="7">
        <f>SUMIFS('2.1. sz. PMH'!D47:AA47,'2.1. sz. PMH'!$D$5:$AA$5,"kötelező",'2.1. sz. PMH'!$D$3:$AA$3,"Eredeti előirányzat")+SUMIFS('2.2. sz. Hétszínvirág Óvoda'!D47:S47,'2.2. sz. Hétszínvirág Óvoda'!$D$5:$S$5,"kötelező",'2.2. sz. Hétszínvirág Óvoda'!$D$3:$S$3,"Eredeti előirányzat")+SUMIFS('2.3. sz. Mese Óvoda'!D47:O47,'2.3. sz. Mese Óvoda'!$D$5:$O$5,"kötelező",'2.3. sz. Mese Óvoda'!$D$3:$O$3,"Eredeti előirányzat")+SUMIFS('2.4. sz. Bölcsőde'!D47:M47,'2.4. sz. Bölcsőde'!$D$5:$M$5,"kötelező",'2.4. sz. Bölcsőde'!$D$3:$M$3,"Eredeti előirányzat")+SUMIFS('2.5. sz. Gyermekjóléti'!D47:Q47,'2.5. sz. Gyermekjóléti'!$D$5:$Q$5,"kötelező",'2.5. sz. Gyermekjóléti'!$D$3:$Q$3,"Eredeti előirányzat")+SUMIFS('2.6 sz. Területi'!D47:AO47,'2.6 sz. Területi'!$D$5:$AO$5,"kötelező",'2.6 sz. Területi'!$D$3:$AO$3,"Eredeti előirányzat")+SUMIFS('2.7. sz. Könyvtár'!D47:S47,'2.7. sz. Könyvtár'!$D$5:$S$5,"kötelező",'2.7. sz. Könyvtár'!$D$3:$S$3,"Eredeti előirányzat")+SUMIFS('2.8. sz. Műv.Ház'!D47:S47,'2.8. sz. Műv.Ház'!$D$5:$S$5,"kötelező",'2.8. sz. Műv.Ház'!$D$3:$S$3,"Eredeti előirányzat")+SUMIFS('2.9. sz. Szivárvány Ó.'!D47:Q47,'2.9. sz. Szivárvány Ó.'!$D$5:$Q$5,"kötelező",'2.9. sz. Szivárvány Ó.'!$D$3:$Q$3,"Eredeti előirányzat")</f>
        <v>3837627539</v>
      </c>
      <c r="E47" s="7">
        <f>SUMIFS('2.1. sz. PMH'!D47:AA47,'2.1. sz. PMH'!$D$5:$AA$5,"kötelező",'2.1. sz. PMH'!$D$3:$AA$3,"Módosított előirányzat")+SUMIFS('2.2. sz. Hétszínvirág Óvoda'!D47:S47,'2.2. sz. Hétszínvirág Óvoda'!$D$5:$S$5,"kötelező",'2.2. sz. Hétszínvirág Óvoda'!$D$3:$S$3,"Módosított előirányzat")+SUMIFS('2.3. sz. Mese Óvoda'!D47:O47,'2.3. sz. Mese Óvoda'!$D$5:$O$5,"kötelező",'2.3. sz. Mese Óvoda'!$D$3:$O$3,"Módosított előirányzat")+SUMIFS('2.4. sz. Bölcsőde'!D47:M47,'2.4. sz. Bölcsőde'!$D$5:$M$5,"kötelező",'2.4. sz. Bölcsőde'!$D$3:$M$3,"Módosított előirányzat")+SUMIFS('2.5. sz. Gyermekjóléti'!D47:Q47,'2.5. sz. Gyermekjóléti'!$D$5:$Q$5,"kötelező",'2.5. sz. Gyermekjóléti'!$D$3:$Q$3,"Módosított előirányzat")+SUMIFS('2.6 sz. Területi'!D47:AO47,'2.6 sz. Területi'!$D$5:$AO$5,"kötelező",'2.6 sz. Területi'!$D$3:$AO$3,"Módosított előirányzat")+SUMIFS('2.7. sz. Könyvtár'!D47:S47,'2.7. sz. Könyvtár'!$D$5:$S$5,"kötelező",'2.7. sz. Könyvtár'!$D$3:$S$3,"Módosított előirányzat")+SUMIFS('2.8. sz. Műv.Ház'!D47:S47,'2.8. sz. Műv.Ház'!$D$5:$S$5,"kötelező",'2.8. sz. Műv.Ház'!$D$3:$S$3,"Módosított előirányzat")+SUMIFS('2.9. sz. Szivárvány Ó.'!D47:Q47,'2.9. sz. Szivárvány Ó.'!$D$5:$Q$5,"kötelező",'2.9. sz. Szivárvány Ó.'!$D$3:$Q$3,"Módosított előirányzat")</f>
        <v>4280538911</v>
      </c>
      <c r="F47" s="7">
        <f>SUMIFS('2.1. sz. PMH'!D47:AA47,'2.1. sz. PMH'!$D$5:$AA$5,"önként vállalt",'2.1. sz. PMH'!$D$3:$AA$3,"Eredeti előirányzat")+SUMIFS('2.2. sz. Hétszínvirág Óvoda'!D47:S47,'2.2. sz. Hétszínvirág Óvoda'!$D$5:$S$5,"önként vállalt",'2.2. sz. Hétszínvirág Óvoda'!$D$3:$S$3,"Eredeti előirányzat")+SUMIFS('2.3. sz. Mese Óvoda'!D47:O47,'2.3. sz. Mese Óvoda'!$D$5:$O$5,"önként vállalt",'2.3. sz. Mese Óvoda'!$D$3:$O$3,"Eredeti előirányzat")+SUMIFS('2.4. sz. Bölcsőde'!D47:M47,'2.4. sz. Bölcsőde'!$D$5:$M$5,"önként vállalt",'2.4. sz. Bölcsőde'!$D$3:$M$3,"Eredeti előirányzat")+SUMIFS('2.5. sz. Gyermekjóléti'!D47:Q47,'2.5. sz. Gyermekjóléti'!$D$5:$Q$5,"önként vállalt",'2.5. sz. Gyermekjóléti'!$D$3:$Q$3,"Eredeti előirányzat")+SUMIFS('2.6 sz. Területi'!D47:AO47,'2.6 sz. Területi'!$D$5:$AO$5,"önként vállalt",'2.6 sz. Területi'!$D$3:$AO$3,"Eredeti előirányzat")+SUMIFS('2.7. sz. Könyvtár'!D47:S47,'2.7. sz. Könyvtár'!$D$5:$S$5,"önként vállalt",'2.7. sz. Könyvtár'!$D$3:$S$3,"Eredeti előirányzat")+SUMIFS('2.8. sz. Műv.Ház'!D47:S47,'2.8. sz. Műv.Ház'!$D$5:$S$5,"önként vállalt",'2.8. sz. Műv.Ház'!$D$3:$S$3,"Eredeti előirányzat")+SUMIFS('2.9. sz. Szivárvány Ó.'!D47:Q47,'2.9. sz. Szivárvány Ó.'!$D$5:$Q$5,"önként vállalt",'2.9. sz. Szivárvány Ó.'!$D$3:$Q$3,"Eredeti előirányzat")</f>
        <v>3800000</v>
      </c>
      <c r="G47" s="7">
        <f>SUMIFS('2.1. sz. PMH'!D47:AA47,'2.1. sz. PMH'!$D$5:$AA$5,"önként vállalt",'2.1. sz. PMH'!$D$3:$AA$3,"Módosított előirányzat")+SUMIFS('2.2. sz. Hétszínvirág Óvoda'!D47:S47,'2.2. sz. Hétszínvirág Óvoda'!$D$5:$S$5,"önként vállalt",'2.2. sz. Hétszínvirág Óvoda'!$D$3:$S$3,"Módosított előirányzat")+SUMIFS('2.3. sz. Mese Óvoda'!D47:O47,'2.3. sz. Mese Óvoda'!$D$5:$O$5,"önként vállalt",'2.3. sz. Mese Óvoda'!$D$3:$O$3,"Módosított előirányzat")+SUMIFS('2.4. sz. Bölcsőde'!D47:M47,'2.4. sz. Bölcsőde'!$D$5:$M$5,"önként vállalt",'2.4. sz. Bölcsőde'!$D$3:$M$3,"Módosított előirányzat")+SUMIFS('2.5. sz. Gyermekjóléti'!D47:Q47,'2.5. sz. Gyermekjóléti'!$D$5:$Q$5,"önként vállalt",'2.5. sz. Gyermekjóléti'!$D$3:$Q$3,"Módosított előirányzat")+SUMIFS('2.6 sz. Területi'!D47:AO47,'2.6 sz. Területi'!$D$5:$AO$5,"önként vállalt",'2.6 sz. Területi'!$D$3:$AO$3,"Módosított előirányzat")+SUMIFS('2.7. sz. Könyvtár'!D47:S47,'2.7. sz. Könyvtár'!$D$5:$S$5,"önként vállalt",'2.7. sz. Könyvtár'!$D$3:$S$3,"Módosított előirányzat")+SUMIFS('2.8. sz. Műv.Ház'!D47:S47,'2.8. sz. Műv.Ház'!$D$5:$S$5,"önként vállalt",'2.8. sz. Műv.Ház'!$D$3:$S$3,"Módosított előirányzat")+SUMIFS('2.9. sz. Szivárvány Ó.'!D47:Q47,'2.9. sz. Szivárvány Ó.'!$D$5:$Q$5,"önként vállalt",'2.9. sz. Szivárvány Ó.'!$D$3:$Q$3,"Módosított előirányzat")</f>
        <v>3945640</v>
      </c>
      <c r="H47" s="7">
        <f>SUMIFS('2.1. sz. PMH'!D47:AA47,'2.1. sz. PMH'!$D$5:$AA$5,"államigazgatási",'2.1. sz. PMH'!$D$3:$AA$3,"Eredeti előirányzat")+SUMIFS('2.2. sz. Hétszínvirág Óvoda'!D47:S47,'2.2. sz. Hétszínvirág Óvoda'!$D$5:$S$5,"államigazgatási",'2.2. sz. Hétszínvirág Óvoda'!$D$3:$S$3,"Eredeti előirányzat")+SUMIFS('2.3. sz. Mese Óvoda'!D47:O47,'2.3. sz. Mese Óvoda'!$D$5:$O$5,"államigazgatási",'2.3. sz. Mese Óvoda'!$D$3:$O$3,"Eredeti előirányzat")+SUMIFS('2.4. sz. Bölcsőde'!D47:M47,'2.4. sz. Bölcsőde'!$D$5:$M$5,"államigazgatási",'2.4. sz. Bölcsőde'!$D$3:$M$3,"Eredeti előirányzat")+SUMIFS('2.5. sz. Gyermekjóléti'!D47:Q47,'2.5. sz. Gyermekjóléti'!$D$5:$Q$5,"államigazgatási",'2.5. sz. Gyermekjóléti'!$D$3:$Q$3,"Eredeti előirányzat")+SUMIFS('2.6 sz. Területi'!D47:AO47,'2.6 sz. Területi'!$D$5:$AO$5,"államigazgatási",'2.6 sz. Területi'!$D$3:$AO$3,"Eredeti előirányzat")+SUMIFS('2.7. sz. Könyvtár'!D47:S47,'2.7. sz. Könyvtár'!$D$5:$S$5,"államigazgatási",'2.7. sz. Könyvtár'!$D$3:$S$3,"Eredeti előirányzat")+SUMIFS('2.8. sz. Műv.Ház'!D47:S47,'2.8. sz. Műv.Ház'!$D$5:$S$5,"államigazgatási",'2.8. sz. Műv.Ház'!$D$3:$S$3,"Eredeti előirányzat")+SUMIFS('2.9. sz. Szivárvány Ó.'!D47:Q47,'2.9. sz. Szivárvány Ó.'!$D$5:$Q$5,"államigazgatási",'2.9. sz. Szivárvány Ó.'!$D$3:$Q$3,"Eredeti előirányzat")</f>
        <v>4000000</v>
      </c>
      <c r="I47" s="7">
        <f>SUMIFS('2.1. sz. PMH'!D47:AA47,'2.1. sz. PMH'!$D$5:$AA$5,"államigazgatási",'2.1. sz. PMH'!$D$3:$AA$3,"Módosított előirányzat")+SUMIFS('2.2. sz. Hétszínvirág Óvoda'!D47:S47,'2.2. sz. Hétszínvirág Óvoda'!$D$5:$S$5,"államigazgatási",'2.2. sz. Hétszínvirág Óvoda'!$D$3:$S$3,"Módosított előirányzat")+SUMIFS('2.3. sz. Mese Óvoda'!D47:O47,'2.3. sz. Mese Óvoda'!$D$5:$O$5,"államigazgatási",'2.3. sz. Mese Óvoda'!$D$3:$O$3,"Módosított előirányzat")+SUMIFS('2.4. sz. Bölcsőde'!D47:M47,'2.4. sz. Bölcsőde'!$D$5:$M$5,"államigazgatási",'2.4. sz. Bölcsőde'!$D$3:$M$3,"Módosított előirányzat")+SUMIFS('2.5. sz. Gyermekjóléti'!D47:Q47,'2.5. sz. Gyermekjóléti'!$D$5:$Q$5,"államigazgatási",'2.5. sz. Gyermekjóléti'!$D$3:$Q$3,"Módosított előirányzat")+SUMIFS('2.6 sz. Területi'!D47:AO47,'2.6 sz. Területi'!$D$5:$AO$5,"államigazgatási",'2.6 sz. Területi'!$D$3:$AO$3,"Módosított előirányzat")+SUMIFS('2.7. sz. Könyvtár'!D47:S47,'2.7. sz. Könyvtár'!$D$5:$S$5,"államigazgatási",'2.7. sz. Könyvtár'!$D$3:$S$3,"Módosított előirányzat")+SUMIFS('2.8. sz. Műv.Ház'!D47:S47,'2.8. sz. Műv.Ház'!$D$5:$S$5,"államigazgatási",'2.8. sz. Műv.Ház'!$D$3:$S$3,"Módosított előirányzat")+SUMIFS('2.9. sz. Szivárvány Ó.'!D47:Q47,'2.9. sz. Szivárvány Ó.'!$D$5:$Q$5,"államigazgatási",'2.9. sz. Szivárvány Ó.'!$D$3:$Q$3,"Módosított előirányzat")</f>
        <v>29647804</v>
      </c>
      <c r="J47" s="7">
        <f t="shared" si="0"/>
        <v>3845427539</v>
      </c>
      <c r="K47" s="1180">
        <f t="shared" si="1"/>
        <v>4314132355</v>
      </c>
    </row>
    <row r="48" spans="1:12" s="36" customFormat="1" ht="23.25" customHeight="1" x14ac:dyDescent="0.25">
      <c r="A48" s="26" t="s">
        <v>288</v>
      </c>
      <c r="B48" s="34" t="s">
        <v>113</v>
      </c>
      <c r="C48" s="27"/>
      <c r="D48" s="7">
        <f>SUMIFS('2.1. sz. PMH'!D48:AA48,'2.1. sz. PMH'!$D$5:$AA$5,"kötelező",'2.1. sz. PMH'!$D$3:$AA$3,"Eredeti előirányzat")+SUMIFS('2.2. sz. Hétszínvirág Óvoda'!D48:S48,'2.2. sz. Hétszínvirág Óvoda'!$D$5:$S$5,"kötelező",'2.2. sz. Hétszínvirág Óvoda'!$D$3:$S$3,"Eredeti előirányzat")+SUMIFS('2.3. sz. Mese Óvoda'!D48:O48,'2.3. sz. Mese Óvoda'!$D$5:$O$5,"kötelező",'2.3. sz. Mese Óvoda'!$D$3:$O$3,"Eredeti előirányzat")+SUMIFS('2.4. sz. Bölcsőde'!D48:M48,'2.4. sz. Bölcsőde'!$D$5:$M$5,"kötelező",'2.4. sz. Bölcsőde'!$D$3:$M$3,"Eredeti előirányzat")+SUMIFS('2.5. sz. Gyermekjóléti'!D48:Q48,'2.5. sz. Gyermekjóléti'!$D$5:$Q$5,"kötelező",'2.5. sz. Gyermekjóléti'!$D$3:$Q$3,"Eredeti előirányzat")+SUMIFS('2.6 sz. Területi'!D48:AO48,'2.6 sz. Területi'!$D$5:$AO$5,"kötelező",'2.6 sz. Területi'!$D$3:$AO$3,"Eredeti előirányzat")+SUMIFS('2.7. sz. Könyvtár'!D48:S48,'2.7. sz. Könyvtár'!$D$5:$S$5,"kötelező",'2.7. sz. Könyvtár'!$D$3:$S$3,"Eredeti előirányzat")+SUMIFS('2.8. sz. Műv.Ház'!D48:S48,'2.8. sz. Műv.Ház'!$D$5:$S$5,"kötelező",'2.8. sz. Műv.Ház'!$D$3:$S$3,"Eredeti előirányzat")+SUMIFS('2.9. sz. Szivárvány Ó.'!D48:Q48,'2.9. sz. Szivárvány Ó.'!$D$5:$Q$5,"kötelező",'2.9. sz. Szivárvány Ó.'!$D$3:$Q$3,"Eredeti előirányzat")</f>
        <v>70859015</v>
      </c>
      <c r="E48" s="7">
        <f>SUMIFS('2.1. sz. PMH'!D48:AA48,'2.1. sz. PMH'!$D$5:$AA$5,"kötelező",'2.1. sz. PMH'!$D$3:$AA$3,"Módosított előirányzat")+SUMIFS('2.2. sz. Hétszínvirág Óvoda'!D48:S48,'2.2. sz. Hétszínvirág Óvoda'!$D$5:$S$5,"kötelező",'2.2. sz. Hétszínvirág Óvoda'!$D$3:$S$3,"Módosított előirányzat")+SUMIFS('2.3. sz. Mese Óvoda'!D48:O48,'2.3. sz. Mese Óvoda'!$D$5:$O$5,"kötelező",'2.3. sz. Mese Óvoda'!$D$3:$O$3,"Módosított előirányzat")+SUMIFS('2.4. sz. Bölcsőde'!D48:M48,'2.4. sz. Bölcsőde'!$D$5:$M$5,"kötelező",'2.4. sz. Bölcsőde'!$D$3:$M$3,"Módosított előirányzat")+SUMIFS('2.5. sz. Gyermekjóléti'!D48:Q48,'2.5. sz. Gyermekjóléti'!$D$5:$Q$5,"kötelező",'2.5. sz. Gyermekjóléti'!$D$3:$Q$3,"Módosított előirányzat")+SUMIFS('2.6 sz. Területi'!D48:AO48,'2.6 sz. Területi'!$D$5:$AO$5,"kötelező",'2.6 sz. Területi'!$D$3:$AO$3,"Módosított előirányzat")+SUMIFS('2.7. sz. Könyvtár'!D48:S48,'2.7. sz. Könyvtár'!$D$5:$S$5,"kötelező",'2.7. sz. Könyvtár'!$D$3:$S$3,"Módosított előirányzat")+SUMIFS('2.8. sz. Műv.Ház'!D48:S48,'2.8. sz. Műv.Ház'!$D$5:$S$5,"kötelező",'2.8. sz. Műv.Ház'!$D$3:$S$3,"Módosított előirányzat")+SUMIFS('2.9. sz. Szivárvány Ó.'!D48:Q48,'2.9. sz. Szivárvány Ó.'!$D$5:$Q$5,"kötelező",'2.9. sz. Szivárvány Ó.'!$D$3:$Q$3,"Módosított előirányzat")</f>
        <v>109157133</v>
      </c>
      <c r="F48" s="7">
        <f>SUMIFS('2.1. sz. PMH'!D48:AA48,'2.1. sz. PMH'!$D$5:$AA$5,"önként vállalt",'2.1. sz. PMH'!$D$3:$AA$3,"Eredeti előirányzat")+SUMIFS('2.2. sz. Hétszínvirág Óvoda'!D48:S48,'2.2. sz. Hétszínvirág Óvoda'!$D$5:$S$5,"önként vállalt",'2.2. sz. Hétszínvirág Óvoda'!$D$3:$S$3,"Eredeti előirányzat")+SUMIFS('2.3. sz. Mese Óvoda'!D48:O48,'2.3. sz. Mese Óvoda'!$D$5:$O$5,"önként vállalt",'2.3. sz. Mese Óvoda'!$D$3:$O$3,"Eredeti előirányzat")+SUMIFS('2.4. sz. Bölcsőde'!D48:M48,'2.4. sz. Bölcsőde'!$D$5:$M$5,"önként vállalt",'2.4. sz. Bölcsőde'!$D$3:$M$3,"Eredeti előirányzat")+SUMIFS('2.5. sz. Gyermekjóléti'!D48:Q48,'2.5. sz. Gyermekjóléti'!$D$5:$Q$5,"önként vállalt",'2.5. sz. Gyermekjóléti'!$D$3:$Q$3,"Eredeti előirányzat")+SUMIFS('2.6 sz. Területi'!D48:AO48,'2.6 sz. Területi'!$D$5:$AO$5,"önként vállalt",'2.6 sz. Területi'!$D$3:$AO$3,"Eredeti előirányzat")+SUMIFS('2.7. sz. Könyvtár'!D48:S48,'2.7. sz. Könyvtár'!$D$5:$S$5,"önként vállalt",'2.7. sz. Könyvtár'!$D$3:$S$3,"Eredeti előirányzat")+SUMIFS('2.8. sz. Műv.Ház'!D48:S48,'2.8. sz. Műv.Ház'!$D$5:$S$5,"önként vállalt",'2.8. sz. Műv.Ház'!$D$3:$S$3,"Eredeti előirányzat")+SUMIFS('2.9. sz. Szivárvány Ó.'!D48:Q48,'2.9. sz. Szivárvány Ó.'!$D$5:$Q$5,"önként vállalt",'2.9. sz. Szivárvány Ó.'!$D$3:$Q$3,"Eredeti előirányzat")</f>
        <v>0</v>
      </c>
      <c r="G48" s="7">
        <f>SUMIFS('2.1. sz. PMH'!D48:AA48,'2.1. sz. PMH'!$D$5:$AA$5,"önként vállalt",'2.1. sz. PMH'!$D$3:$AA$3,"Módosított előirányzat")+SUMIFS('2.2. sz. Hétszínvirág Óvoda'!D48:S48,'2.2. sz. Hétszínvirág Óvoda'!$D$5:$S$5,"önként vállalt",'2.2. sz. Hétszínvirág Óvoda'!$D$3:$S$3,"Módosított előirányzat")+SUMIFS('2.3. sz. Mese Óvoda'!D48:O48,'2.3. sz. Mese Óvoda'!$D$5:$O$5,"önként vállalt",'2.3. sz. Mese Óvoda'!$D$3:$O$3,"Módosított előirányzat")+SUMIFS('2.4. sz. Bölcsőde'!D48:M48,'2.4. sz. Bölcsőde'!$D$5:$M$5,"önként vállalt",'2.4. sz. Bölcsőde'!$D$3:$M$3,"Módosított előirányzat")+SUMIFS('2.5. sz. Gyermekjóléti'!D48:Q48,'2.5. sz. Gyermekjóléti'!$D$5:$Q$5,"önként vállalt",'2.5. sz. Gyermekjóléti'!$D$3:$Q$3,"Módosított előirányzat")+SUMIFS('2.6 sz. Területi'!D48:AO48,'2.6 sz. Területi'!$D$5:$AO$5,"önként vállalt",'2.6 sz. Területi'!$D$3:$AO$3,"Módosított előirányzat")+SUMIFS('2.7. sz. Könyvtár'!D48:S48,'2.7. sz. Könyvtár'!$D$5:$S$5,"önként vállalt",'2.7. sz. Könyvtár'!$D$3:$S$3,"Módosított előirányzat")+SUMIFS('2.8. sz. Műv.Ház'!D48:S48,'2.8. sz. Műv.Ház'!$D$5:$S$5,"önként vállalt",'2.8. sz. Műv.Ház'!$D$3:$S$3,"Módosított előirányzat")+SUMIFS('2.9. sz. Szivárvány Ó.'!D48:Q48,'2.9. sz. Szivárvány Ó.'!$D$5:$Q$5,"önként vállalt",'2.9. sz. Szivárvány Ó.'!$D$3:$Q$3,"Módosított előirányzat")</f>
        <v>0</v>
      </c>
      <c r="H48" s="7">
        <f>SUMIFS('2.1. sz. PMH'!D48:AA48,'2.1. sz. PMH'!$D$5:$AA$5,"államigazgatási",'2.1. sz. PMH'!$D$3:$AA$3,"Eredeti előirányzat")+SUMIFS('2.2. sz. Hétszínvirág Óvoda'!D48:S48,'2.2. sz. Hétszínvirág Óvoda'!$D$5:$S$5,"államigazgatási",'2.2. sz. Hétszínvirág Óvoda'!$D$3:$S$3,"Eredeti előirányzat")+SUMIFS('2.3. sz. Mese Óvoda'!D48:O48,'2.3. sz. Mese Óvoda'!$D$5:$O$5,"államigazgatási",'2.3. sz. Mese Óvoda'!$D$3:$O$3,"Eredeti előirányzat")+SUMIFS('2.4. sz. Bölcsőde'!D48:M48,'2.4. sz. Bölcsőde'!$D$5:$M$5,"államigazgatási",'2.4. sz. Bölcsőde'!$D$3:$M$3,"Eredeti előirányzat")+SUMIFS('2.5. sz. Gyermekjóléti'!D48:Q48,'2.5. sz. Gyermekjóléti'!$D$5:$Q$5,"államigazgatási",'2.5. sz. Gyermekjóléti'!$D$3:$Q$3,"Eredeti előirányzat")+SUMIFS('2.6 sz. Területi'!D48:AO48,'2.6 sz. Területi'!$D$5:$AO$5,"államigazgatási",'2.6 sz. Területi'!$D$3:$AO$3,"Eredeti előirányzat")+SUMIFS('2.7. sz. Könyvtár'!D48:S48,'2.7. sz. Könyvtár'!$D$5:$S$5,"államigazgatási",'2.7. sz. Könyvtár'!$D$3:$S$3,"Eredeti előirányzat")+SUMIFS('2.8. sz. Műv.Ház'!D48:S48,'2.8. sz. Műv.Ház'!$D$5:$S$5,"államigazgatási",'2.8. sz. Műv.Ház'!$D$3:$S$3,"Eredeti előirányzat")+SUMIFS('2.9. sz. Szivárvány Ó.'!D48:Q48,'2.9. sz. Szivárvány Ó.'!$D$5:$Q$5,"államigazgatási",'2.9. sz. Szivárvány Ó.'!$D$3:$Q$3,"Eredeti előirányzat")</f>
        <v>0</v>
      </c>
      <c r="I48" s="7">
        <f>SUMIFS('2.1. sz. PMH'!D48:AA48,'2.1. sz. PMH'!$D$5:$AA$5,"államigazgatási",'2.1. sz. PMH'!$D$3:$AA$3,"Módosított előirányzat")+SUMIFS('2.2. sz. Hétszínvirág Óvoda'!D48:S48,'2.2. sz. Hétszínvirág Óvoda'!$D$5:$S$5,"államigazgatási",'2.2. sz. Hétszínvirág Óvoda'!$D$3:$S$3,"Módosított előirányzat")+SUMIFS('2.3. sz. Mese Óvoda'!D48:O48,'2.3. sz. Mese Óvoda'!$D$5:$O$5,"államigazgatási",'2.3. sz. Mese Óvoda'!$D$3:$O$3,"Módosított előirányzat")+SUMIFS('2.4. sz. Bölcsőde'!D48:M48,'2.4. sz. Bölcsőde'!$D$5:$M$5,"államigazgatási",'2.4. sz. Bölcsőde'!$D$3:$M$3,"Módosított előirányzat")+SUMIFS('2.5. sz. Gyermekjóléti'!D48:Q48,'2.5. sz. Gyermekjóléti'!$D$5:$Q$5,"államigazgatási",'2.5. sz. Gyermekjóléti'!$D$3:$Q$3,"Módosított előirányzat")+SUMIFS('2.6 sz. Területi'!D48:AO48,'2.6 sz. Területi'!$D$5:$AO$5,"államigazgatási",'2.6 sz. Területi'!$D$3:$AO$3,"Módosított előirányzat")+SUMIFS('2.7. sz. Könyvtár'!D48:S48,'2.7. sz. Könyvtár'!$D$5:$S$5,"államigazgatási",'2.7. sz. Könyvtár'!$D$3:$S$3,"Módosított előirányzat")+SUMIFS('2.8. sz. Műv.Ház'!D48:S48,'2.8. sz. Műv.Ház'!$D$5:$S$5,"államigazgatási",'2.8. sz. Műv.Ház'!$D$3:$S$3,"Módosított előirányzat")+SUMIFS('2.9. sz. Szivárvány Ó.'!D48:Q48,'2.9. sz. Szivárvány Ó.'!$D$5:$Q$5,"államigazgatási",'2.9. sz. Szivárvány Ó.'!$D$3:$Q$3,"Módosított előirányzat")</f>
        <v>0</v>
      </c>
      <c r="J48" s="7">
        <f t="shared" si="0"/>
        <v>70859015</v>
      </c>
      <c r="K48" s="1180">
        <f t="shared" si="1"/>
        <v>109157133</v>
      </c>
    </row>
    <row r="49" spans="1:12" s="36" customFormat="1" ht="23.25" customHeight="1" x14ac:dyDescent="0.25">
      <c r="A49" s="26" t="s">
        <v>289</v>
      </c>
      <c r="B49" s="34" t="s">
        <v>334</v>
      </c>
      <c r="C49" s="27"/>
      <c r="D49" s="7">
        <f>SUMIFS('2.1. sz. PMH'!D49:AA49,'2.1. sz. PMH'!$D$5:$AA$5,"kötelező",'2.1. sz. PMH'!$D$3:$AA$3,"Eredeti előirányzat")+SUMIFS('2.2. sz. Hétszínvirág Óvoda'!D49:S49,'2.2. sz. Hétszínvirág Óvoda'!$D$5:$S$5,"kötelező",'2.2. sz. Hétszínvirág Óvoda'!$D$3:$S$3,"Eredeti előirányzat")+SUMIFS('2.3. sz. Mese Óvoda'!D49:O49,'2.3. sz. Mese Óvoda'!$D$5:$O$5,"kötelező",'2.3. sz. Mese Óvoda'!$D$3:$O$3,"Eredeti előirányzat")+SUMIFS('2.4. sz. Bölcsőde'!D49:M49,'2.4. sz. Bölcsőde'!$D$5:$M$5,"kötelező",'2.4. sz. Bölcsőde'!$D$3:$M$3,"Eredeti előirányzat")+SUMIFS('2.5. sz. Gyermekjóléti'!D49:Q49,'2.5. sz. Gyermekjóléti'!$D$5:$Q$5,"kötelező",'2.5. sz. Gyermekjóléti'!$D$3:$Q$3,"Eredeti előirányzat")+SUMIFS('2.6 sz. Területi'!D49:AO49,'2.6 sz. Területi'!$D$5:$AO$5,"kötelező",'2.6 sz. Területi'!$D$3:$AO$3,"Eredeti előirányzat")+SUMIFS('2.7. sz. Könyvtár'!D49:S49,'2.7. sz. Könyvtár'!$D$5:$S$5,"kötelező",'2.7. sz. Könyvtár'!$D$3:$S$3,"Eredeti előirányzat")+SUMIFS('2.8. sz. Műv.Ház'!D49:S49,'2.8. sz. Műv.Ház'!$D$5:$S$5,"kötelező",'2.8. sz. Műv.Ház'!$D$3:$S$3,"Eredeti előirányzat")+SUMIFS('2.9. sz. Szivárvány Ó.'!D49:Q49,'2.9. sz. Szivárvány Ó.'!$D$5:$Q$5,"kötelező",'2.9. sz. Szivárvány Ó.'!$D$3:$Q$3,"Eredeti előirányzat")</f>
        <v>3908486554</v>
      </c>
      <c r="E49" s="7">
        <f>SUMIFS('2.1. sz. PMH'!D49:AA49,'2.1. sz. PMH'!$D$5:$AA$5,"kötelező",'2.1. sz. PMH'!$D$3:$AA$3,"Módosított előirányzat")+SUMIFS('2.2. sz. Hétszínvirág Óvoda'!D49:S49,'2.2. sz. Hétszínvirág Óvoda'!$D$5:$S$5,"kötelező",'2.2. sz. Hétszínvirág Óvoda'!$D$3:$S$3,"Módosított előirányzat")+SUMIFS('2.3. sz. Mese Óvoda'!D49:O49,'2.3. sz. Mese Óvoda'!$D$5:$O$5,"kötelező",'2.3. sz. Mese Óvoda'!$D$3:$O$3,"Módosított előirányzat")+SUMIFS('2.4. sz. Bölcsőde'!D49:M49,'2.4. sz. Bölcsőde'!$D$5:$M$5,"kötelező",'2.4. sz. Bölcsőde'!$D$3:$M$3,"Módosított előirányzat")+SUMIFS('2.5. sz. Gyermekjóléti'!D49:Q49,'2.5. sz. Gyermekjóléti'!$D$5:$Q$5,"kötelező",'2.5. sz. Gyermekjóléti'!$D$3:$Q$3,"Módosított előirányzat")+SUMIFS('2.6 sz. Területi'!D49:AO49,'2.6 sz. Területi'!$D$5:$AO$5,"kötelező",'2.6 sz. Területi'!$D$3:$AO$3,"Módosított előirányzat")+SUMIFS('2.7. sz. Könyvtár'!D49:S49,'2.7. sz. Könyvtár'!$D$5:$S$5,"kötelező",'2.7. sz. Könyvtár'!$D$3:$S$3,"Módosított előirányzat")+SUMIFS('2.8. sz. Műv.Ház'!D49:S49,'2.8. sz. Műv.Ház'!$D$5:$S$5,"kötelező",'2.8. sz. Műv.Ház'!$D$3:$S$3,"Módosított előirányzat")+SUMIFS('2.9. sz. Szivárvány Ó.'!D49:Q49,'2.9. sz. Szivárvány Ó.'!$D$5:$Q$5,"kötelező",'2.9. sz. Szivárvány Ó.'!$D$3:$Q$3,"Módosított előirányzat")</f>
        <v>4389696044</v>
      </c>
      <c r="F49" s="7">
        <f>SUMIFS('2.1. sz. PMH'!D49:AA49,'2.1. sz. PMH'!$D$5:$AA$5,"önként vállalt",'2.1. sz. PMH'!$D$3:$AA$3,"Eredeti előirányzat")+SUMIFS('2.2. sz. Hétszínvirág Óvoda'!D49:S49,'2.2. sz. Hétszínvirág Óvoda'!$D$5:$S$5,"önként vállalt",'2.2. sz. Hétszínvirág Óvoda'!$D$3:$S$3,"Eredeti előirányzat")+SUMIFS('2.3. sz. Mese Óvoda'!D49:O49,'2.3. sz. Mese Óvoda'!$D$5:$O$5,"önként vállalt",'2.3. sz. Mese Óvoda'!$D$3:$O$3,"Eredeti előirányzat")+SUMIFS('2.4. sz. Bölcsőde'!D49:M49,'2.4. sz. Bölcsőde'!$D$5:$M$5,"önként vállalt",'2.4. sz. Bölcsőde'!$D$3:$M$3,"Eredeti előirányzat")+SUMIFS('2.5. sz. Gyermekjóléti'!D49:Q49,'2.5. sz. Gyermekjóléti'!$D$5:$Q$5,"önként vállalt",'2.5. sz. Gyermekjóléti'!$D$3:$Q$3,"Eredeti előirányzat")+SUMIFS('2.6 sz. Területi'!D49:AO49,'2.6 sz. Területi'!$D$5:$AO$5,"önként vállalt",'2.6 sz. Területi'!$D$3:$AO$3,"Eredeti előirányzat")+SUMIFS('2.7. sz. Könyvtár'!D49:S49,'2.7. sz. Könyvtár'!$D$5:$S$5,"önként vállalt",'2.7. sz. Könyvtár'!$D$3:$S$3,"Eredeti előirányzat")+SUMIFS('2.8. sz. Műv.Ház'!D49:S49,'2.8. sz. Műv.Ház'!$D$5:$S$5,"önként vállalt",'2.8. sz. Műv.Ház'!$D$3:$S$3,"Eredeti előirányzat")+SUMIFS('2.9. sz. Szivárvány Ó.'!D49:Q49,'2.9. sz. Szivárvány Ó.'!$D$5:$Q$5,"önként vállalt",'2.9. sz. Szivárvány Ó.'!$D$3:$Q$3,"Eredeti előirányzat")</f>
        <v>3800000</v>
      </c>
      <c r="G49" s="7">
        <f>SUMIFS('2.1. sz. PMH'!D49:AA49,'2.1. sz. PMH'!$D$5:$AA$5,"önként vállalt",'2.1. sz. PMH'!$D$3:$AA$3,"Módosított előirányzat")+SUMIFS('2.2. sz. Hétszínvirág Óvoda'!D49:S49,'2.2. sz. Hétszínvirág Óvoda'!$D$5:$S$5,"önként vállalt",'2.2. sz. Hétszínvirág Óvoda'!$D$3:$S$3,"Módosított előirányzat")+SUMIFS('2.3. sz. Mese Óvoda'!D49:O49,'2.3. sz. Mese Óvoda'!$D$5:$O$5,"önként vállalt",'2.3. sz. Mese Óvoda'!$D$3:$O$3,"Módosított előirányzat")+SUMIFS('2.4. sz. Bölcsőde'!D49:M49,'2.4. sz. Bölcsőde'!$D$5:$M$5,"önként vállalt",'2.4. sz. Bölcsőde'!$D$3:$M$3,"Módosított előirányzat")+SUMIFS('2.5. sz. Gyermekjóléti'!D49:Q49,'2.5. sz. Gyermekjóléti'!$D$5:$Q$5,"önként vállalt",'2.5. sz. Gyermekjóléti'!$D$3:$Q$3,"Módosított előirányzat")+SUMIFS('2.6 sz. Területi'!D49:AO49,'2.6 sz. Területi'!$D$5:$AO$5,"önként vállalt",'2.6 sz. Területi'!$D$3:$AO$3,"Módosított előirányzat")+SUMIFS('2.7. sz. Könyvtár'!D49:S49,'2.7. sz. Könyvtár'!$D$5:$S$5,"önként vállalt",'2.7. sz. Könyvtár'!$D$3:$S$3,"Módosított előirányzat")+SUMIFS('2.8. sz. Műv.Ház'!D49:S49,'2.8. sz. Műv.Ház'!$D$5:$S$5,"önként vállalt",'2.8. sz. Műv.Ház'!$D$3:$S$3,"Módosított előirányzat")+SUMIFS('2.9. sz. Szivárvány Ó.'!D49:Q49,'2.9. sz. Szivárvány Ó.'!$D$5:$Q$5,"önként vállalt",'2.9. sz. Szivárvány Ó.'!$D$3:$Q$3,"Módosított előirányzat")</f>
        <v>3945640</v>
      </c>
      <c r="H49" s="7">
        <f>SUMIFS('2.1. sz. PMH'!D49:AA49,'2.1. sz. PMH'!$D$5:$AA$5,"államigazgatási",'2.1. sz. PMH'!$D$3:$AA$3,"Eredeti előirányzat")+SUMIFS('2.2. sz. Hétszínvirág Óvoda'!D49:S49,'2.2. sz. Hétszínvirág Óvoda'!$D$5:$S$5,"államigazgatási",'2.2. sz. Hétszínvirág Óvoda'!$D$3:$S$3,"Eredeti előirányzat")+SUMIFS('2.3. sz. Mese Óvoda'!D49:O49,'2.3. sz. Mese Óvoda'!$D$5:$O$5,"államigazgatási",'2.3. sz. Mese Óvoda'!$D$3:$O$3,"Eredeti előirányzat")+SUMIFS('2.4. sz. Bölcsőde'!D49:M49,'2.4. sz. Bölcsőde'!$D$5:$M$5,"államigazgatási",'2.4. sz. Bölcsőde'!$D$3:$M$3,"Eredeti előirányzat")+SUMIFS('2.5. sz. Gyermekjóléti'!D49:Q49,'2.5. sz. Gyermekjóléti'!$D$5:$Q$5,"államigazgatási",'2.5. sz. Gyermekjóléti'!$D$3:$Q$3,"Eredeti előirányzat")+SUMIFS('2.6 sz. Területi'!D49:AO49,'2.6 sz. Területi'!$D$5:$AO$5,"államigazgatási",'2.6 sz. Területi'!$D$3:$AO$3,"Eredeti előirányzat")+SUMIFS('2.7. sz. Könyvtár'!D49:S49,'2.7. sz. Könyvtár'!$D$5:$S$5,"államigazgatási",'2.7. sz. Könyvtár'!$D$3:$S$3,"Eredeti előirányzat")+SUMIFS('2.8. sz. Műv.Ház'!D49:S49,'2.8. sz. Műv.Ház'!$D$5:$S$5,"államigazgatási",'2.8. sz. Műv.Ház'!$D$3:$S$3,"Eredeti előirányzat")+SUMIFS('2.9. sz. Szivárvány Ó.'!D49:Q49,'2.9. sz. Szivárvány Ó.'!$D$5:$Q$5,"államigazgatási",'2.9. sz. Szivárvány Ó.'!$D$3:$Q$3,"Eredeti előirányzat")</f>
        <v>4000000</v>
      </c>
      <c r="I49" s="7">
        <f>SUMIFS('2.1. sz. PMH'!D49:AA49,'2.1. sz. PMH'!$D$5:$AA$5,"államigazgatási",'2.1. sz. PMH'!$D$3:$AA$3,"Módosított előirányzat")+SUMIFS('2.2. sz. Hétszínvirág Óvoda'!D49:S49,'2.2. sz. Hétszínvirág Óvoda'!$D$5:$S$5,"államigazgatási",'2.2. sz. Hétszínvirág Óvoda'!$D$3:$S$3,"Módosított előirányzat")+SUMIFS('2.3. sz. Mese Óvoda'!D49:O49,'2.3. sz. Mese Óvoda'!$D$5:$O$5,"államigazgatási",'2.3. sz. Mese Óvoda'!$D$3:$O$3,"Módosított előirányzat")+SUMIFS('2.4. sz. Bölcsőde'!D49:M49,'2.4. sz. Bölcsőde'!$D$5:$M$5,"államigazgatási",'2.4. sz. Bölcsőde'!$D$3:$M$3,"Módosított előirányzat")+SUMIFS('2.5. sz. Gyermekjóléti'!D49:Q49,'2.5. sz. Gyermekjóléti'!$D$5:$Q$5,"államigazgatási",'2.5. sz. Gyermekjóléti'!$D$3:$Q$3,"Módosított előirányzat")+SUMIFS('2.6 sz. Területi'!D49:AO49,'2.6 sz. Területi'!$D$5:$AO$5,"államigazgatási",'2.6 sz. Területi'!$D$3:$AO$3,"Módosított előirányzat")+SUMIFS('2.7. sz. Könyvtár'!D49:S49,'2.7. sz. Könyvtár'!$D$5:$S$5,"államigazgatási",'2.7. sz. Könyvtár'!$D$3:$S$3,"Módosított előirányzat")+SUMIFS('2.8. sz. Műv.Ház'!D49:S49,'2.8. sz. Műv.Ház'!$D$5:$S$5,"államigazgatási",'2.8. sz. Műv.Ház'!$D$3:$S$3,"Módosított előirányzat")+SUMIFS('2.9. sz. Szivárvány Ó.'!D49:Q49,'2.9. sz. Szivárvány Ó.'!$D$5:$Q$5,"államigazgatási",'2.9. sz. Szivárvány Ó.'!$D$3:$Q$3,"Módosított előirányzat")</f>
        <v>29647804</v>
      </c>
      <c r="J49" s="7">
        <f t="shared" si="0"/>
        <v>3916286554</v>
      </c>
      <c r="K49" s="1180">
        <f t="shared" si="1"/>
        <v>4423289488</v>
      </c>
      <c r="L49" s="85">
        <f>J49-J30</f>
        <v>0</v>
      </c>
    </row>
    <row r="50" spans="1:12" ht="23.25" customHeight="1" x14ac:dyDescent="0.25">
      <c r="A50" s="26" t="s">
        <v>290</v>
      </c>
      <c r="B50" s="380" t="s">
        <v>450</v>
      </c>
      <c r="C50" s="184"/>
      <c r="D50" s="7">
        <f>SUMIFS('2.1. sz. PMH'!D50:AA50,'2.1. sz. PMH'!$D$5:$AA$5,"kötelező",'2.1. sz. PMH'!$D$3:$AA$3,"Eredeti előirányzat")+SUMIFS('2.2. sz. Hétszínvirág Óvoda'!D50:S50,'2.2. sz. Hétszínvirág Óvoda'!$D$5:$S$5,"kötelező",'2.2. sz. Hétszínvirág Óvoda'!$D$3:$S$3,"Eredeti előirányzat")+SUMIFS('2.3. sz. Mese Óvoda'!D50:O50,'2.3. sz. Mese Óvoda'!$D$5:$O$5,"kötelező",'2.3. sz. Mese Óvoda'!$D$3:$O$3,"Eredeti előirányzat")+SUMIFS('2.4. sz. Bölcsőde'!D50:M50,'2.4. sz. Bölcsőde'!$D$5:$M$5,"kötelező",'2.4. sz. Bölcsőde'!$D$3:$M$3,"Eredeti előirányzat")+SUMIFS('2.5. sz. Gyermekjóléti'!D50:Q50,'2.5. sz. Gyermekjóléti'!$D$5:$Q$5,"kötelező",'2.5. sz. Gyermekjóléti'!$D$3:$Q$3,"Eredeti előirányzat")+SUMIFS('2.6 sz. Területi'!D50:AO50,'2.6 sz. Területi'!$D$5:$AO$5,"kötelező",'2.6 sz. Területi'!$D$3:$AO$3,"Eredeti előirányzat")+SUMIFS('2.7. sz. Könyvtár'!D50:S50,'2.7. sz. Könyvtár'!$D$5:$S$5,"kötelező",'2.7. sz. Könyvtár'!$D$3:$S$3,"Eredeti előirányzat")+SUMIFS('2.8. sz. Műv.Ház'!D50:S50,'2.8. sz. Műv.Ház'!$D$5:$S$5,"kötelező",'2.8. sz. Műv.Ház'!$D$3:$S$3,"Eredeti előirányzat")+SUMIFS('2.9. sz. Szivárvány Ó.'!D50:Q50,'2.9. sz. Szivárvány Ó.'!$D$5:$Q$5,"kötelező",'2.9. sz. Szivárvány Ó.'!$D$3:$Q$3,"Eredeti előirányzat")</f>
        <v>338</v>
      </c>
      <c r="E50" s="7">
        <f>SUMIFS('2.1. sz. PMH'!D50:AA50,'2.1. sz. PMH'!$D$5:$AA$5,"kötelező",'2.1. sz. PMH'!$D$3:$AA$3,"Módosított előirányzat")+SUMIFS('2.2. sz. Hétszínvirág Óvoda'!D50:S50,'2.2. sz. Hétszínvirág Óvoda'!$D$5:$S$5,"kötelező",'2.2. sz. Hétszínvirág Óvoda'!$D$3:$S$3,"Módosított előirányzat")+SUMIFS('2.3. sz. Mese Óvoda'!D50:O50,'2.3. sz. Mese Óvoda'!$D$5:$O$5,"kötelező",'2.3. sz. Mese Óvoda'!$D$3:$O$3,"Módosított előirányzat")+SUMIFS('2.4. sz. Bölcsőde'!D50:M50,'2.4. sz. Bölcsőde'!$D$5:$M$5,"kötelező",'2.4. sz. Bölcsőde'!$D$3:$M$3,"Módosított előirányzat")+SUMIFS('2.5. sz. Gyermekjóléti'!D50:Q50,'2.5. sz. Gyermekjóléti'!$D$5:$Q$5,"kötelező",'2.5. sz. Gyermekjóléti'!$D$3:$Q$3,"Módosított előirányzat")+SUMIFS('2.6 sz. Területi'!D50:AO50,'2.6 sz. Területi'!$D$5:$AO$5,"kötelező",'2.6 sz. Területi'!$D$3:$AO$3,"Módosított előirányzat")+SUMIFS('2.7. sz. Könyvtár'!D50:S50,'2.7. sz. Könyvtár'!$D$5:$S$5,"kötelező",'2.7. sz. Könyvtár'!$D$3:$S$3,"Módosított előirányzat")+SUMIFS('2.8. sz. Műv.Ház'!D50:S50,'2.8. sz. Műv.Ház'!$D$5:$S$5,"kötelező",'2.8. sz. Műv.Ház'!$D$3:$S$3,"Módosított előirányzat")+SUMIFS('2.9. sz. Szivárvány Ó.'!D50:Q50,'2.9. sz. Szivárvány Ó.'!$D$5:$Q$5,"kötelező",'2.9. sz. Szivárvány Ó.'!$D$3:$Q$3,"Módosított előirányzat")</f>
        <v>338</v>
      </c>
      <c r="F50" s="7">
        <f>SUMIFS('2.1. sz. PMH'!D50:AA50,'2.1. sz. PMH'!$D$5:$AA$5,"önként vállalt",'2.1. sz. PMH'!$D$3:$AA$3,"Eredeti előirányzat")+SUMIFS('2.2. sz. Hétszínvirág Óvoda'!D50:S50,'2.2. sz. Hétszínvirág Óvoda'!$D$5:$S$5,"önként vállalt",'2.2. sz. Hétszínvirág Óvoda'!$D$3:$S$3,"Eredeti előirányzat")+SUMIFS('2.3. sz. Mese Óvoda'!D50:O50,'2.3. sz. Mese Óvoda'!$D$5:$O$5,"önként vállalt",'2.3. sz. Mese Óvoda'!$D$3:$O$3,"Eredeti előirányzat")+SUMIFS('2.4. sz. Bölcsőde'!D50:M50,'2.4. sz. Bölcsőde'!$D$5:$M$5,"önként vállalt",'2.4. sz. Bölcsőde'!$D$3:$M$3,"Eredeti előirányzat")+SUMIFS('2.5. sz. Gyermekjóléti'!D50:Q50,'2.5. sz. Gyermekjóléti'!$D$5:$Q$5,"önként vállalt",'2.5. sz. Gyermekjóléti'!$D$3:$Q$3,"Eredeti előirányzat")+SUMIFS('2.6 sz. Területi'!D50:AO50,'2.6 sz. Területi'!$D$5:$AO$5,"önként vállalt",'2.6 sz. Területi'!$D$3:$AO$3,"Eredeti előirányzat")+SUMIFS('2.7. sz. Könyvtár'!D50:S50,'2.7. sz. Könyvtár'!$D$5:$S$5,"önként vállalt",'2.7. sz. Könyvtár'!$D$3:$S$3,"Eredeti előirányzat")+SUMIFS('2.8. sz. Műv.Ház'!D50:S50,'2.8. sz. Műv.Ház'!$D$5:$S$5,"önként vállalt",'2.8. sz. Műv.Ház'!$D$3:$S$3,"Eredeti előirányzat")+SUMIFS('2.9. sz. Szivárvány Ó.'!D50:Q50,'2.9. sz. Szivárvány Ó.'!$D$5:$Q$5,"önként vállalt",'2.9. sz. Szivárvány Ó.'!$D$3:$Q$3,"Eredeti előirányzat")</f>
        <v>11</v>
      </c>
      <c r="G50" s="7">
        <f>SUMIFS('2.1. sz. PMH'!D50:AA50,'2.1. sz. PMH'!$D$5:$AA$5,"önként vállalt",'2.1. sz. PMH'!$D$3:$AA$3,"Módosított előirányzat")+SUMIFS('2.2. sz. Hétszínvirág Óvoda'!D50:S50,'2.2. sz. Hétszínvirág Óvoda'!$D$5:$S$5,"önként vállalt",'2.2. sz. Hétszínvirág Óvoda'!$D$3:$S$3,"Módosított előirányzat")+SUMIFS('2.3. sz. Mese Óvoda'!D50:O50,'2.3. sz. Mese Óvoda'!$D$5:$O$5,"önként vállalt",'2.3. sz. Mese Óvoda'!$D$3:$O$3,"Módosított előirányzat")+SUMIFS('2.4. sz. Bölcsőde'!D50:M50,'2.4. sz. Bölcsőde'!$D$5:$M$5,"önként vállalt",'2.4. sz. Bölcsőde'!$D$3:$M$3,"Módosított előirányzat")+SUMIFS('2.5. sz. Gyermekjóléti'!D50:Q50,'2.5. sz. Gyermekjóléti'!$D$5:$Q$5,"önként vállalt",'2.5. sz. Gyermekjóléti'!$D$3:$Q$3,"Módosított előirányzat")+SUMIFS('2.6 sz. Területi'!D50:AO50,'2.6 sz. Területi'!$D$5:$AO$5,"önként vállalt",'2.6 sz. Területi'!$D$3:$AO$3,"Módosított előirányzat")+SUMIFS('2.7. sz. Könyvtár'!D50:S50,'2.7. sz. Könyvtár'!$D$5:$S$5,"önként vállalt",'2.7. sz. Könyvtár'!$D$3:$S$3,"Módosított előirányzat")+SUMIFS('2.8. sz. Műv.Ház'!D50:S50,'2.8. sz. Műv.Ház'!$D$5:$S$5,"önként vállalt",'2.8. sz. Műv.Ház'!$D$3:$S$3,"Módosított előirányzat")+SUMIFS('2.9. sz. Szivárvány Ó.'!D50:Q50,'2.9. sz. Szivárvány Ó.'!$D$5:$Q$5,"önként vállalt",'2.9. sz. Szivárvány Ó.'!$D$3:$Q$3,"Módosított előirányzat")</f>
        <v>11</v>
      </c>
      <c r="H50" s="7">
        <f>SUMIFS('2.1. sz. PMH'!D50:AA50,'2.1. sz. PMH'!$D$5:$AA$5,"államigazgatási",'2.1. sz. PMH'!$D$3:$AA$3,"Eredeti előirányzat")+SUMIFS('2.2. sz. Hétszínvirág Óvoda'!D50:S50,'2.2. sz. Hétszínvirág Óvoda'!$D$5:$S$5,"államigazgatási",'2.2. sz. Hétszínvirág Óvoda'!$D$3:$S$3,"Eredeti előirányzat")+SUMIFS('2.3. sz. Mese Óvoda'!D50:O50,'2.3. sz. Mese Óvoda'!$D$5:$O$5,"államigazgatási",'2.3. sz. Mese Óvoda'!$D$3:$O$3,"Eredeti előirányzat")+SUMIFS('2.4. sz. Bölcsőde'!D50:M50,'2.4. sz. Bölcsőde'!$D$5:$M$5,"államigazgatási",'2.4. sz. Bölcsőde'!$D$3:$M$3,"Eredeti előirányzat")+SUMIFS('2.5. sz. Gyermekjóléti'!D50:Q50,'2.5. sz. Gyermekjóléti'!$D$5:$Q$5,"államigazgatási",'2.5. sz. Gyermekjóléti'!$D$3:$Q$3,"Eredeti előirányzat")+SUMIFS('2.6 sz. Területi'!D50:AO50,'2.6 sz. Területi'!$D$5:$AO$5,"államigazgatási",'2.6 sz. Területi'!$D$3:$AO$3,"Eredeti előirányzat")+SUMIFS('2.7. sz. Könyvtár'!D50:S50,'2.7. sz. Könyvtár'!$D$5:$S$5,"államigazgatási",'2.7. sz. Könyvtár'!$D$3:$S$3,"Eredeti előirányzat")+SUMIFS('2.8. sz. Műv.Ház'!D50:S50,'2.8. sz. Műv.Ház'!$D$5:$S$5,"államigazgatási",'2.8. sz. Műv.Ház'!$D$3:$S$3,"Eredeti előirányzat")+SUMIFS('2.9. sz. Szivárvány Ó.'!D50:Q50,'2.9. sz. Szivárvány Ó.'!$D$5:$Q$5,"államigazgatási",'2.9. sz. Szivárvány Ó.'!$D$3:$Q$3,"Eredeti előirányzat")</f>
        <v>9</v>
      </c>
      <c r="I50" s="7">
        <f>SUMIFS('2.1. sz. PMH'!D50:AA50,'2.1. sz. PMH'!$D$5:$AA$5,"államigazgatási",'2.1. sz. PMH'!$D$3:$AA$3,"Módosított előirányzat")+SUMIFS('2.2. sz. Hétszínvirág Óvoda'!D50:S50,'2.2. sz. Hétszínvirág Óvoda'!$D$5:$S$5,"államigazgatási",'2.2. sz. Hétszínvirág Óvoda'!$D$3:$S$3,"Módosított előirányzat")+SUMIFS('2.3. sz. Mese Óvoda'!D50:O50,'2.3. sz. Mese Óvoda'!$D$5:$O$5,"államigazgatási",'2.3. sz. Mese Óvoda'!$D$3:$O$3,"Módosított előirányzat")+SUMIFS('2.4. sz. Bölcsőde'!D50:M50,'2.4. sz. Bölcsőde'!$D$5:$M$5,"államigazgatási",'2.4. sz. Bölcsőde'!$D$3:$M$3,"Módosított előirányzat")+SUMIFS('2.5. sz. Gyermekjóléti'!D50:Q50,'2.5. sz. Gyermekjóléti'!$D$5:$Q$5,"államigazgatási",'2.5. sz. Gyermekjóléti'!$D$3:$Q$3,"Módosított előirányzat")+SUMIFS('2.6 sz. Területi'!D50:AO50,'2.6 sz. Területi'!$D$5:$AO$5,"államigazgatási",'2.6 sz. Területi'!$D$3:$AO$3,"Módosított előirányzat")+SUMIFS('2.7. sz. Könyvtár'!D50:S50,'2.7. sz. Könyvtár'!$D$5:$S$5,"államigazgatási",'2.7. sz. Könyvtár'!$D$3:$S$3,"Módosított előirányzat")+SUMIFS('2.8. sz. Műv.Ház'!D50:S50,'2.8. sz. Műv.Ház'!$D$5:$S$5,"államigazgatási",'2.8. sz. Műv.Ház'!$D$3:$S$3,"Módosított előirányzat")+SUMIFS('2.9. sz. Szivárvány Ó.'!D50:Q50,'2.9. sz. Szivárvány Ó.'!$D$5:$Q$5,"államigazgatási",'2.9. sz. Szivárvány Ó.'!$D$3:$Q$3,"Módosított előirányzat")</f>
        <v>9</v>
      </c>
      <c r="J50" s="6">
        <f t="shared" si="0"/>
        <v>358</v>
      </c>
      <c r="K50" s="1179">
        <f t="shared" si="1"/>
        <v>358</v>
      </c>
    </row>
    <row r="51" spans="1:12" ht="23.25" customHeight="1" x14ac:dyDescent="0.25">
      <c r="A51" s="26" t="s">
        <v>291</v>
      </c>
      <c r="B51" s="48" t="s">
        <v>1357</v>
      </c>
      <c r="C51" s="184"/>
      <c r="D51" s="6">
        <f>SUMIFS('2.1. sz. PMH'!D51:AA51,'2.1. sz. PMH'!$D$5:$AA$5,"kötelező",'2.1. sz. PMH'!$D$3:$AA$3,"Eredeti előirányzat")+SUMIFS('2.2. sz. Hétszínvirág Óvoda'!D51:S51,'2.2. sz. Hétszínvirág Óvoda'!$D$5:$S$5,"kötelező",'2.2. sz. Hétszínvirág Óvoda'!$D$3:$S$3,"Eredeti előirányzat")+SUMIFS('2.3. sz. Mese Óvoda'!D51:O51,'2.3. sz. Mese Óvoda'!$D$5:$O$5,"kötelező",'2.3. sz. Mese Óvoda'!$D$3:$O$3,"Eredeti előirányzat")+SUMIFS('2.4. sz. Bölcsőde'!D51:M51,'2.4. sz. Bölcsőde'!$D$5:$M$5,"kötelező",'2.4. sz. Bölcsőde'!$D$3:$M$3,"Eredeti előirányzat")+SUMIFS('2.5. sz. Gyermekjóléti'!D51:Q51,'2.5. sz. Gyermekjóléti'!$D$5:$Q$5,"kötelező",'2.5. sz. Gyermekjóléti'!$D$3:$Q$3,"Eredeti előirányzat")+SUMIFS('2.6 sz. Területi'!D51:AO51,'2.6 sz. Területi'!$D$5:$AO$5,"kötelező",'2.6 sz. Területi'!$D$3:$AO$3,"Eredeti előirányzat")+SUMIFS('2.7. sz. Könyvtár'!D51:S51,'2.7. sz. Könyvtár'!$D$5:$S$5,"kötelező",'2.7. sz. Könyvtár'!$D$3:$S$3,"Eredeti előirányzat")+SUMIFS('2.8. sz. Műv.Ház'!D51:S51,'2.8. sz. Műv.Ház'!$D$5:$S$5,"kötelező",'2.8. sz. Műv.Ház'!$D$3:$S$3,"Eredeti előirányzat")+SUMIFS('2.9. sz. Szivárvány Ó.'!D51:Q51,'2.9. sz. Szivárvány Ó.'!$D$5:$Q$5,"kötelező",'2.9. sz. Szivárvány Ó.'!$D$3:$Q$3,"Eredeti előirányzat")</f>
        <v>0</v>
      </c>
      <c r="E51" s="6">
        <f>SUMIFS('2.1. sz. PMH'!D51:AA51,'2.1. sz. PMH'!$D$5:$AA$5,"kötelező",'2.1. sz. PMH'!$D$3:$AA$3,"Módosított előirányzat")+SUMIFS('2.2. sz. Hétszínvirág Óvoda'!D51:S51,'2.2. sz. Hétszínvirág Óvoda'!$D$5:$S$5,"kötelező",'2.2. sz. Hétszínvirág Óvoda'!$D$3:$S$3,"Módosított előirányzat")+SUMIFS('2.3. sz. Mese Óvoda'!D51:O51,'2.3. sz. Mese Óvoda'!$D$5:$O$5,"kötelező",'2.3. sz. Mese Óvoda'!$D$3:$O$3,"Módosított előirányzat")+SUMIFS('2.4. sz. Bölcsőde'!D51:M51,'2.4. sz. Bölcsőde'!$D$5:$M$5,"kötelező",'2.4. sz. Bölcsőde'!$D$3:$M$3,"Módosított előirányzat")+SUMIFS('2.5. sz. Gyermekjóléti'!D51:Q51,'2.5. sz. Gyermekjóléti'!$D$5:$Q$5,"kötelező",'2.5. sz. Gyermekjóléti'!$D$3:$Q$3,"Módosított előirányzat")+SUMIFS('2.6 sz. Területi'!D51:AO51,'2.6 sz. Területi'!$D$5:$AO$5,"kötelező",'2.6 sz. Területi'!$D$3:$AO$3,"Módosított előirányzat")+SUMIFS('2.7. sz. Könyvtár'!D51:S51,'2.7. sz. Könyvtár'!$D$5:$S$5,"kötelező",'2.7. sz. Könyvtár'!$D$3:$S$3,"Módosított előirányzat")+SUMIFS('2.8. sz. Műv.Ház'!D51:S51,'2.8. sz. Műv.Ház'!$D$5:$S$5,"kötelező",'2.8. sz. Műv.Ház'!$D$3:$S$3,"Módosított előirányzat")+SUMIFS('2.9. sz. Szivárvány Ó.'!D51:Q51,'2.9. sz. Szivárvány Ó.'!$D$5:$Q$5,"kötelező",'2.9. sz. Szivárvány Ó.'!$D$3:$Q$3,"Módosított előirányzat")</f>
        <v>0</v>
      </c>
      <c r="F51" s="6">
        <f>SUMIFS('2.1. sz. PMH'!D51:AA51,'2.1. sz. PMH'!$D$5:$AA$5,"önként vállalt",'2.1. sz. PMH'!$D$3:$AA$3,"Eredeti előirányzat")+SUMIFS('2.2. sz. Hétszínvirág Óvoda'!D51:S51,'2.2. sz. Hétszínvirág Óvoda'!$D$5:$S$5,"önként vállalt",'2.2. sz. Hétszínvirág Óvoda'!$D$3:$S$3,"Eredeti előirányzat")+SUMIFS('2.3. sz. Mese Óvoda'!D51:O51,'2.3. sz. Mese Óvoda'!$D$5:$O$5,"önként vállalt",'2.3. sz. Mese Óvoda'!$D$3:$O$3,"Eredeti előirányzat")+SUMIFS('2.4. sz. Bölcsőde'!D51:M51,'2.4. sz. Bölcsőde'!$D$5:$M$5,"önként vállalt",'2.4. sz. Bölcsőde'!$D$3:$M$3,"Eredeti előirányzat")+SUMIFS('2.5. sz. Gyermekjóléti'!D51:Q51,'2.5. sz. Gyermekjóléti'!$D$5:$Q$5,"önként vállalt",'2.5. sz. Gyermekjóléti'!$D$3:$Q$3,"Eredeti előirányzat")+SUMIFS('2.6 sz. Területi'!D51:AO51,'2.6 sz. Területi'!$D$5:$AO$5,"önként vállalt",'2.6 sz. Területi'!$D$3:$AO$3,"Eredeti előirányzat")+SUMIFS('2.7. sz. Könyvtár'!D51:S51,'2.7. sz. Könyvtár'!$D$5:$S$5,"önként vállalt",'2.7. sz. Könyvtár'!$D$3:$S$3,"Eredeti előirányzat")+SUMIFS('2.8. sz. Műv.Ház'!D51:S51,'2.8. sz. Műv.Ház'!$D$5:$S$5,"önként vállalt",'2.8. sz. Műv.Ház'!$D$3:$S$3,"Eredeti előirányzat")+SUMIFS('2.9. sz. Szivárvány Ó.'!D51:Q51,'2.9. sz. Szivárvány Ó.'!$D$5:$Q$5,"önként vállalt",'2.9. sz. Szivárvány Ó.'!$D$3:$Q$3,"Eredeti előirányzat")</f>
        <v>0</v>
      </c>
      <c r="G51" s="6">
        <f>SUMIFS('2.1. sz. PMH'!D51:AA51,'2.1. sz. PMH'!$D$5:$AA$5,"önként vállalt",'2.1. sz. PMH'!$D$3:$AA$3,"Módosított előirányzat")+SUMIFS('2.2. sz. Hétszínvirág Óvoda'!D51:S51,'2.2. sz. Hétszínvirág Óvoda'!$D$5:$S$5,"önként vállalt",'2.2. sz. Hétszínvirág Óvoda'!$D$3:$S$3,"Módosított előirányzat")+SUMIFS('2.3. sz. Mese Óvoda'!D51:O51,'2.3. sz. Mese Óvoda'!$D$5:$O$5,"önként vállalt",'2.3. sz. Mese Óvoda'!$D$3:$O$3,"Módosított előirányzat")+SUMIFS('2.4. sz. Bölcsőde'!D51:M51,'2.4. sz. Bölcsőde'!$D$5:$M$5,"önként vállalt",'2.4. sz. Bölcsőde'!$D$3:$M$3,"Módosított előirányzat")+SUMIFS('2.5. sz. Gyermekjóléti'!D51:Q51,'2.5. sz. Gyermekjóléti'!$D$5:$Q$5,"önként vállalt",'2.5. sz. Gyermekjóléti'!$D$3:$Q$3,"Módosított előirányzat")+SUMIFS('2.6 sz. Területi'!D51:AO51,'2.6 sz. Területi'!$D$5:$AO$5,"önként vállalt",'2.6 sz. Területi'!$D$3:$AO$3,"Módosított előirányzat")+SUMIFS('2.7. sz. Könyvtár'!D51:S51,'2.7. sz. Könyvtár'!$D$5:$S$5,"önként vállalt",'2.7. sz. Könyvtár'!$D$3:$S$3,"Módosított előirányzat")+SUMIFS('2.8. sz. Műv.Ház'!D51:S51,'2.8. sz. Műv.Ház'!$D$5:$S$5,"önként vállalt",'2.8. sz. Műv.Ház'!$D$3:$S$3,"Módosított előirányzat")+SUMIFS('2.9. sz. Szivárvány Ó.'!D51:Q51,'2.9. sz. Szivárvány Ó.'!$D$5:$Q$5,"önként vállalt",'2.9. sz. Szivárvány Ó.'!$D$3:$Q$3,"Módosított előirányzat")</f>
        <v>0</v>
      </c>
      <c r="H51" s="6">
        <f>SUMIFS('2.1. sz. PMH'!D51:Z51,'2.1. sz. PMH'!$D$5:$Z$5,"államigazgatási")+SUMIFS('2.2. sz. Hétszínvirág Óvoda'!D51:R51,'2.2. sz. Hétszínvirág Óvoda'!$D$5:$R$5,"államigazgatási")+SUMIFS('2.3. sz. Mese Óvoda'!D51:L51,'2.3. sz. Mese Óvoda'!$D$5:$L$5,"államigazgatási")+SUMIFS('2.4. sz. Bölcsőde'!D51:L51,'2.4. sz. Bölcsőde'!$D$5:$L$5,"államigazgatási")+SUMIFS('2.5. sz. Gyermekjóléti'!D51:P51,'2.5. sz. Gyermekjóléti'!$D$5:$P$5,"államigazgatási")+SUMIFS('2.6 sz. Területi'!D51:AN51,'2.6 sz. Területi'!$D$5:$AN$5,"államigazgatási")+SUMIFS('2.7. sz. Könyvtár'!D51:R51,'2.7. sz. Könyvtár'!$D$5:$R$5,"államigazgatási")+SUMIFS('2.8. sz. Műv.Ház'!D51:R51,'2.8. sz. Műv.Ház'!$D$5:$R$5,"államigazgatási")+SUMIFS('2.9. sz. Szivárvány Ó.'!D51:P51,'2.9. sz. Szivárvány Ó.'!$D$5:$P$5,"államigazgatási")</f>
        <v>0</v>
      </c>
      <c r="I51" s="6">
        <f>SUMIFS('2.1. sz. PMH'!D51:AA51,'2.1. sz. PMH'!$D$5:$AA$5,"államigazgatási",'2.1. sz. PMH'!$D$3:$AA$3,"Módosított előirányzat")+SUMIFS('2.2. sz. Hétszínvirág Óvoda'!D51:S51,'2.2. sz. Hétszínvirág Óvoda'!$D$5:$S$5,"államigazgatási",'2.2. sz. Hétszínvirág Óvoda'!$D$3:$S$3,"Módosított előirányzat")+SUMIFS('2.3. sz. Mese Óvoda'!D51:O51,'2.3. sz. Mese Óvoda'!$D$5:$O$5,"államigazgatási",'2.3. sz. Mese Óvoda'!$D$3:$O$3,"Módosított előirányzat")+SUMIFS('2.4. sz. Bölcsőde'!D51:M51,'2.4. sz. Bölcsőde'!$D$5:$M$5,"államigazgatási",'2.4. sz. Bölcsőde'!$D$3:$M$3,"Módosított előirányzat")+SUMIFS('2.5. sz. Gyermekjóléti'!D51:Q51,'2.5. sz. Gyermekjóléti'!$D$5:$Q$5,"államigazgatási",'2.5. sz. Gyermekjóléti'!$D$3:$Q$3,"Módosított előirányzat")+SUMIFS('2.6 sz. Területi'!D51:AO51,'2.6 sz. Területi'!$D$5:$AO$5,"államigazgatási",'2.6 sz. Területi'!$D$3:$AO$3,"Módosított előirányzat")+SUMIFS('2.7. sz. Könyvtár'!D51:S51,'2.7. sz. Könyvtár'!$D$5:$S$5,"államigazgatási",'2.7. sz. Könyvtár'!$D$3:$S$3,"Módosított előirányzat")+SUMIFS('2.8. sz. Műv.Ház'!D51:S51,'2.8. sz. Műv.Ház'!$D$5:$S$5,"államigazgatási",'2.8. sz. Műv.Ház'!$D$3:$S$3,"Módosított előirányzat")+SUMIFS('2.9. sz. Szivárvány Ó.'!D51:Q51,'2.9. sz. Szivárvány Ó.'!$D$5:$Q$5,"államigazgatási",'2.9. sz. Szivárvány Ó.'!$D$3:$Q$3,"Módosított előirányzat")</f>
        <v>0</v>
      </c>
      <c r="J51" s="213"/>
      <c r="K51" s="1179">
        <f t="shared" si="1"/>
        <v>0</v>
      </c>
    </row>
    <row r="52" spans="1:12" x14ac:dyDescent="0.25">
      <c r="A52" s="60"/>
      <c r="D52" s="19"/>
      <c r="E52" s="19"/>
      <c r="F52" s="19"/>
      <c r="G52" s="19"/>
      <c r="H52" s="19"/>
      <c r="I52" s="19"/>
      <c r="J52" s="19"/>
    </row>
    <row r="53" spans="1:12" x14ac:dyDescent="0.25">
      <c r="D53" s="13"/>
      <c r="E53" s="13"/>
      <c r="F53" s="13"/>
      <c r="G53" s="13"/>
      <c r="H53" s="13"/>
      <c r="I53" s="13"/>
      <c r="J53" s="13"/>
    </row>
    <row r="54" spans="1:12" ht="15" customHeight="1" x14ac:dyDescent="0.25">
      <c r="D54" s="13"/>
      <c r="E54" s="13"/>
      <c r="F54" s="13"/>
      <c r="G54" s="13"/>
      <c r="H54" s="13"/>
      <c r="I54" s="13"/>
      <c r="J54" s="13"/>
    </row>
    <row r="55" spans="1:12" ht="20.45" customHeight="1" x14ac:dyDescent="0.3">
      <c r="J55" s="378">
        <f>+J49-J30</f>
        <v>0</v>
      </c>
      <c r="K55" s="378">
        <f>+K49-K30</f>
        <v>0</v>
      </c>
    </row>
    <row r="56" spans="1:12" ht="18.75" x14ac:dyDescent="0.3">
      <c r="J56" s="1121"/>
      <c r="K56" s="1122"/>
    </row>
  </sheetData>
  <mergeCells count="15">
    <mergeCell ref="J5:J7"/>
    <mergeCell ref="I5:I7"/>
    <mergeCell ref="K5:K7"/>
    <mergeCell ref="H2:K3"/>
    <mergeCell ref="F5:F7"/>
    <mergeCell ref="H5:H7"/>
    <mergeCell ref="E5:E7"/>
    <mergeCell ref="A2:C3"/>
    <mergeCell ref="D2:G3"/>
    <mergeCell ref="G5:G7"/>
    <mergeCell ref="B5:C5"/>
    <mergeCell ref="B6:C6"/>
    <mergeCell ref="A4:A7"/>
    <mergeCell ref="B4:C4"/>
    <mergeCell ref="D5:D7"/>
  </mergeCells>
  <phoneticPr fontId="45" type="noConversion"/>
  <printOptions horizontalCentered="1" verticalCentered="1"/>
  <pageMargins left="0.74803149606299213" right="0.74803149606299213" top="0.98425196850393704" bottom="0.98425196850393704" header="0.51181102362204722" footer="0.51181102362204722"/>
  <pageSetup paperSize="9" scale="55" orientation="portrait" horizontalDpi="200" verticalDpi="200" r:id="rId1"/>
  <headerFooter alignWithMargins="0">
    <oddHeader>&amp;C2022. évi költségvetés&amp;R&amp;A</oddHeader>
    <oddFooter>&amp;C&amp;P/&amp;N</oddFooter>
  </headerFooter>
  <colBreaks count="1" manualBreakCount="1">
    <brk id="7"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67"/>
  <sheetViews>
    <sheetView view="pageBreakPreview" zoomScale="70" zoomScaleNormal="80" zoomScaleSheetLayoutView="70" workbookViewId="0">
      <pane xSplit="3" ySplit="7" topLeftCell="H14" activePane="bottomRight" state="frozen"/>
      <selection pane="topRight" activeCell="D1" sqref="D1"/>
      <selection pane="bottomLeft" activeCell="A8" sqref="A8"/>
      <selection pane="bottomRight" activeCell="B13" sqref="B13"/>
    </sheetView>
  </sheetViews>
  <sheetFormatPr defaultColWidth="11.140625" defaultRowHeight="15.75" x14ac:dyDescent="0.25"/>
  <cols>
    <col min="1" max="1" width="7.140625" style="5" customWidth="1"/>
    <col min="2" max="2" width="71.28515625" style="4" customWidth="1"/>
    <col min="3" max="3" width="7.28515625" style="4" customWidth="1"/>
    <col min="4" max="5" width="20.42578125" style="4" customWidth="1"/>
    <col min="6" max="6" width="21.140625" style="4" customWidth="1"/>
    <col min="7" max="7" width="20.7109375" style="4" customWidth="1"/>
    <col min="8" max="8" width="19.7109375" style="4" customWidth="1"/>
    <col min="9" max="9" width="20.42578125" style="4" customWidth="1"/>
    <col min="10" max="11" width="20.28515625" style="4" customWidth="1"/>
    <col min="12" max="12" width="23.28515625" style="4" customWidth="1"/>
    <col min="13" max="13" width="24.28515625" style="4" customWidth="1"/>
    <col min="14" max="14" width="20.28515625" style="4" bestFit="1" customWidth="1"/>
    <col min="15" max="15" width="19" style="4" customWidth="1"/>
    <col min="16" max="16" width="18.140625" style="4" customWidth="1"/>
    <col min="17" max="18" width="9.140625" style="4" customWidth="1"/>
    <col min="19" max="19" width="4.28515625" style="4" customWidth="1"/>
    <col min="20" max="20" width="18.28515625" style="4" customWidth="1"/>
    <col min="21" max="21" width="3.5703125" style="4" customWidth="1"/>
    <col min="22" max="22" width="15.140625" style="4" customWidth="1"/>
    <col min="23" max="23" width="11.7109375" style="4" customWidth="1"/>
    <col min="24" max="26" width="9.140625" style="4" customWidth="1"/>
    <col min="27" max="27" width="7.140625" style="4" customWidth="1"/>
    <col min="28" max="28" width="58.28515625" style="4" bestFit="1" customWidth="1"/>
    <col min="29" max="29" width="6.85546875" style="4" bestFit="1" customWidth="1"/>
    <col min="30" max="30" width="11.28515625" style="4" customWidth="1"/>
    <col min="31" max="31" width="9.42578125" style="4" customWidth="1"/>
    <col min="32" max="32" width="12.7109375" style="4" customWidth="1"/>
    <col min="33" max="33" width="14.7109375" style="4" customWidth="1"/>
    <col min="34" max="39" width="13" style="4" customWidth="1"/>
    <col min="40" max="40" width="6.85546875" style="4" customWidth="1"/>
    <col min="41" max="41" width="15.7109375" style="4" customWidth="1"/>
    <col min="42" max="43" width="11.140625" style="4" bestFit="1" customWidth="1"/>
    <col min="44" max="44" width="15.42578125" style="4" customWidth="1"/>
    <col min="45" max="45" width="13.7109375" style="4" customWidth="1"/>
    <col min="46" max="46" width="12.85546875" style="4" customWidth="1"/>
    <col min="47" max="47" width="14.140625" style="4" bestFit="1" customWidth="1"/>
    <col min="48" max="48" width="14.140625" style="4" customWidth="1"/>
    <col min="49" max="49" width="14.140625" style="4" bestFit="1" customWidth="1"/>
    <col min="50" max="50" width="12.42578125" style="4" customWidth="1"/>
    <col min="51" max="51" width="11.140625" style="4" bestFit="1" customWidth="1"/>
    <col min="52" max="52" width="15.140625" style="4" bestFit="1" customWidth="1"/>
    <col min="53" max="53" width="11.140625" style="4" bestFit="1" customWidth="1"/>
    <col min="54" max="54" width="12.42578125" style="4" customWidth="1"/>
    <col min="55" max="55" width="12.7109375" style="4" customWidth="1"/>
    <col min="56" max="56" width="12.28515625" style="4" customWidth="1"/>
    <col min="57" max="57" width="14.28515625" style="4" customWidth="1"/>
    <col min="58" max="59" width="14.140625" style="4" customWidth="1"/>
    <col min="60" max="60" width="15.140625" style="4" bestFit="1" customWidth="1"/>
    <col min="61" max="61" width="12.7109375" style="4" customWidth="1"/>
    <col min="62" max="62" width="12.28515625" style="4" customWidth="1"/>
    <col min="63" max="63" width="13.28515625" style="4" customWidth="1"/>
    <col min="64" max="65" width="11.140625" style="4" bestFit="1" customWidth="1"/>
    <col min="66" max="66" width="15.28515625" style="4" customWidth="1"/>
    <col min="67" max="69" width="13.7109375" style="4" customWidth="1"/>
    <col min="70" max="71" width="12.42578125" style="4" bestFit="1" customWidth="1"/>
    <col min="72" max="72" width="13.140625" style="4" bestFit="1" customWidth="1"/>
    <col min="73" max="73" width="14" style="4" customWidth="1"/>
    <col min="74" max="74" width="15" style="4" customWidth="1"/>
    <col min="75" max="75" width="13.85546875" style="4" customWidth="1"/>
    <col min="76" max="76" width="14.7109375" style="4" bestFit="1" customWidth="1"/>
    <col min="77" max="78" width="11.140625" style="4" bestFit="1" customWidth="1"/>
    <col min="79" max="79" width="11.140625" style="4" customWidth="1"/>
    <col min="80" max="82" width="11.140625" style="4" bestFit="1" customWidth="1"/>
    <col min="83" max="84" width="11.140625" style="4" customWidth="1"/>
    <col min="85" max="85" width="11.140625" style="4" bestFit="1" customWidth="1"/>
    <col min="86" max="88" width="11.140625" style="4" customWidth="1"/>
    <col min="89" max="16384" width="11.140625" style="4"/>
  </cols>
  <sheetData>
    <row r="1" spans="1:26" ht="19.5" customHeight="1" x14ac:dyDescent="0.25">
      <c r="A1" s="3"/>
      <c r="B1" s="3"/>
      <c r="C1" s="3"/>
      <c r="G1" s="37" t="s">
        <v>444</v>
      </c>
      <c r="J1" s="37"/>
      <c r="K1" s="37" t="s">
        <v>444</v>
      </c>
      <c r="M1" s="37" t="s">
        <v>444</v>
      </c>
    </row>
    <row r="2" spans="1:26" ht="33.75" customHeight="1" x14ac:dyDescent="0.25">
      <c r="A2" s="1710" t="s">
        <v>258</v>
      </c>
      <c r="B2" s="1711"/>
      <c r="C2" s="1712"/>
      <c r="D2" s="1707" t="s">
        <v>158</v>
      </c>
      <c r="E2" s="1708"/>
      <c r="F2" s="1708"/>
      <c r="G2" s="1709"/>
      <c r="H2" s="1707" t="s">
        <v>158</v>
      </c>
      <c r="I2" s="1708"/>
      <c r="J2" s="1708"/>
      <c r="K2" s="1709"/>
      <c r="L2" s="1705" t="s">
        <v>158</v>
      </c>
      <c r="M2" s="1706"/>
    </row>
    <row r="3" spans="1:26" ht="38.25" customHeight="1" x14ac:dyDescent="0.25">
      <c r="A3" s="1713" t="s">
        <v>192</v>
      </c>
      <c r="B3" s="1634" t="s">
        <v>250</v>
      </c>
      <c r="C3" s="1634"/>
      <c r="D3" s="1546" t="s">
        <v>279</v>
      </c>
      <c r="E3" s="1546" t="s">
        <v>1512</v>
      </c>
      <c r="F3" s="1546" t="s">
        <v>279</v>
      </c>
      <c r="G3" s="1546" t="s">
        <v>1512</v>
      </c>
      <c r="H3" s="1546" t="s">
        <v>279</v>
      </c>
      <c r="I3" s="1546" t="s">
        <v>1512</v>
      </c>
      <c r="J3" s="1546" t="s">
        <v>279</v>
      </c>
      <c r="K3" s="1546" t="s">
        <v>1512</v>
      </c>
      <c r="L3" s="1546" t="s">
        <v>279</v>
      </c>
      <c r="M3" s="1546" t="s">
        <v>1512</v>
      </c>
    </row>
    <row r="4" spans="1:26" ht="27" customHeight="1" x14ac:dyDescent="0.25">
      <c r="A4" s="1713"/>
      <c r="B4" s="1634" t="s">
        <v>11</v>
      </c>
      <c r="C4" s="1634"/>
      <c r="D4" s="1632" t="s">
        <v>228</v>
      </c>
      <c r="E4" s="1632" t="s">
        <v>228</v>
      </c>
      <c r="F4" s="1632" t="s">
        <v>332</v>
      </c>
      <c r="G4" s="1632" t="s">
        <v>332</v>
      </c>
      <c r="H4" s="1632" t="s">
        <v>230</v>
      </c>
      <c r="I4" s="1632" t="s">
        <v>230</v>
      </c>
      <c r="J4" s="1632" t="s">
        <v>249</v>
      </c>
      <c r="K4" s="1632" t="s">
        <v>249</v>
      </c>
      <c r="L4" s="1641" t="s">
        <v>3025</v>
      </c>
      <c r="M4" s="1641" t="s">
        <v>3026</v>
      </c>
      <c r="N4" s="13">
        <f>+J8+J9+J10+J11+J12</f>
        <v>8502997555</v>
      </c>
    </row>
    <row r="5" spans="1:26" ht="25.5" customHeight="1" x14ac:dyDescent="0.25">
      <c r="A5" s="1713"/>
      <c r="B5" s="1634" t="s">
        <v>741</v>
      </c>
      <c r="C5" s="1634"/>
      <c r="D5" s="1632"/>
      <c r="E5" s="1632"/>
      <c r="F5" s="1632"/>
      <c r="G5" s="1632"/>
      <c r="H5" s="1632"/>
      <c r="I5" s="1632"/>
      <c r="J5" s="1632"/>
      <c r="K5" s="1632"/>
      <c r="L5" s="1648"/>
      <c r="M5" s="1648"/>
      <c r="N5" s="13">
        <f>+J16+J17+J18</f>
        <v>2085504817</v>
      </c>
    </row>
    <row r="6" spans="1:26" ht="31.5" customHeight="1" x14ac:dyDescent="0.25">
      <c r="A6" s="1713"/>
      <c r="B6" s="87" t="s">
        <v>193</v>
      </c>
      <c r="C6" s="88" t="s">
        <v>251</v>
      </c>
      <c r="D6" s="1632"/>
      <c r="E6" s="1632"/>
      <c r="F6" s="1632"/>
      <c r="G6" s="1632"/>
      <c r="H6" s="1632"/>
      <c r="I6" s="1632"/>
      <c r="J6" s="1632"/>
      <c r="K6" s="1632"/>
      <c r="L6" s="1638"/>
      <c r="M6" s="1638"/>
    </row>
    <row r="7" spans="1:26" ht="16.5" customHeight="1" x14ac:dyDescent="0.25">
      <c r="A7" s="747" t="s">
        <v>194</v>
      </c>
      <c r="B7" s="89" t="s">
        <v>195</v>
      </c>
      <c r="C7" s="89" t="s">
        <v>196</v>
      </c>
      <c r="D7" s="89" t="s">
        <v>197</v>
      </c>
      <c r="E7" s="89" t="s">
        <v>198</v>
      </c>
      <c r="F7" s="89" t="s">
        <v>199</v>
      </c>
      <c r="G7" s="89" t="s">
        <v>200</v>
      </c>
      <c r="H7" s="89" t="s">
        <v>201</v>
      </c>
      <c r="I7" s="89" t="s">
        <v>202</v>
      </c>
      <c r="J7" s="89" t="s">
        <v>203</v>
      </c>
      <c r="K7" s="89" t="s">
        <v>204</v>
      </c>
      <c r="L7" s="89" t="s">
        <v>231</v>
      </c>
      <c r="M7" s="89" t="s">
        <v>232</v>
      </c>
    </row>
    <row r="8" spans="1:26" ht="24.75" customHeight="1" x14ac:dyDescent="0.25">
      <c r="A8" s="748" t="s">
        <v>194</v>
      </c>
      <c r="B8" s="88" t="s">
        <v>335</v>
      </c>
      <c r="C8" s="1" t="s">
        <v>205</v>
      </c>
      <c r="D8" s="6">
        <f>+'1.b sz. Önkormányzat 2022.'!BZ8+'2.10. sz. Intézmények összesen'!D9</f>
        <v>2326762862</v>
      </c>
      <c r="E8" s="6">
        <f>+'1.b sz. Önkormányzat 2022.'!CA8+'2.10. sz. Intézmények összesen'!E9</f>
        <v>2450035838</v>
      </c>
      <c r="F8" s="6">
        <f>+'1.b sz. Önkormányzat 2022.'!CB8+'2.10. sz. Intézmények összesen'!F9</f>
        <v>138651682</v>
      </c>
      <c r="G8" s="6">
        <f>+'1.b sz. Önkormányzat 2022.'!CC8+'2.10. sz. Intézmények összesen'!G9</f>
        <v>147045245</v>
      </c>
      <c r="H8" s="6">
        <f>+'1.b sz. Önkormányzat 2022.'!CD8+'2.10. sz. Intézmények összesen'!H9</f>
        <v>79297519</v>
      </c>
      <c r="I8" s="6">
        <f>+'1.b sz. Önkormányzat 2022.'!CE8+'2.10. sz. Intézmények összesen'!I9</f>
        <v>109414163</v>
      </c>
      <c r="J8" s="6">
        <f>D8+F8+H8</f>
        <v>2544712063</v>
      </c>
      <c r="K8" s="6">
        <f>E8+G8+I8</f>
        <v>2706495246</v>
      </c>
      <c r="L8" s="6">
        <f>+'1.b sz. Önkormányzat 2022.'!CH8</f>
        <v>0</v>
      </c>
      <c r="M8" s="6">
        <f>+'1.b sz. Önkormányzat 2022.'!CI8</f>
        <v>579760</v>
      </c>
      <c r="N8" s="13">
        <f t="shared" ref="N8:N25" si="0">+M8-J8</f>
        <v>-2544132303</v>
      </c>
      <c r="O8" s="13">
        <f>+J8+J9+J10+J11+J12</f>
        <v>8502997555</v>
      </c>
    </row>
    <row r="9" spans="1:26" s="2" customFormat="1" ht="24.75" customHeight="1" x14ac:dyDescent="0.25">
      <c r="A9" s="748" t="s">
        <v>195</v>
      </c>
      <c r="B9" s="90" t="s">
        <v>206</v>
      </c>
      <c r="C9" s="1" t="s">
        <v>207</v>
      </c>
      <c r="D9" s="6">
        <f>+'1.b sz. Önkormányzat 2022.'!BZ9+'2.10. sz. Intézmények összesen'!D10</f>
        <v>350625129</v>
      </c>
      <c r="E9" s="6">
        <f>+'1.b sz. Önkormányzat 2022.'!CA9+'2.10. sz. Intézmények összesen'!E10</f>
        <v>364402664</v>
      </c>
      <c r="F9" s="6">
        <f>+'1.b sz. Önkormányzat 2022.'!CB9+'2.10. sz. Intézmények összesen'!F10</f>
        <v>18598225</v>
      </c>
      <c r="G9" s="6">
        <f>+'1.b sz. Önkormányzat 2022.'!CC9+'2.10. sz. Intézmények összesen'!G10</f>
        <v>21369384</v>
      </c>
      <c r="H9" s="6">
        <f>+'1.b sz. Önkormányzat 2022.'!CD9+'2.10. sz. Intézmények összesen'!H10</f>
        <v>11123677</v>
      </c>
      <c r="I9" s="6">
        <f>+'1.b sz. Önkormányzat 2022.'!CE9+'2.10. sz. Intézmények összesen'!I10</f>
        <v>15203143</v>
      </c>
      <c r="J9" s="6">
        <f t="shared" ref="J9:J50" si="1">D9+F9+H9</f>
        <v>380347031</v>
      </c>
      <c r="K9" s="6">
        <f t="shared" ref="K9:K50" si="2">E9+G9+I9</f>
        <v>400975191</v>
      </c>
      <c r="L9" s="6">
        <f>+'1.b sz. Önkormányzat 2022.'!CH9</f>
        <v>0</v>
      </c>
      <c r="M9" s="6">
        <f>+'1.b sz. Önkormányzat 2022.'!CI9</f>
        <v>67832</v>
      </c>
      <c r="N9" s="13">
        <f t="shared" si="0"/>
        <v>-380279199</v>
      </c>
      <c r="O9" s="230">
        <f>+J16+J17+J18</f>
        <v>2085504817</v>
      </c>
    </row>
    <row r="10" spans="1:26" ht="24.75" customHeight="1" x14ac:dyDescent="0.25">
      <c r="A10" s="748" t="s">
        <v>196</v>
      </c>
      <c r="B10" s="90" t="s">
        <v>336</v>
      </c>
      <c r="C10" s="1" t="s">
        <v>208</v>
      </c>
      <c r="D10" s="6">
        <f>+'1.b sz. Önkormányzat 2022.'!BZ10+'2.10. sz. Intézmények összesen'!D11</f>
        <v>3114848531</v>
      </c>
      <c r="E10" s="6">
        <f>+'1.b sz. Önkormányzat 2022.'!CA10+'2.10. sz. Intézmények összesen'!E11</f>
        <v>3698505322</v>
      </c>
      <c r="F10" s="6">
        <f>+'1.b sz. Önkormányzat 2022.'!CB10+'2.10. sz. Intézmények összesen'!F11</f>
        <v>306516581</v>
      </c>
      <c r="G10" s="6">
        <f>+'1.b sz. Önkormányzat 2022.'!CC10+'2.10. sz. Intézmények összesen'!G11</f>
        <v>452952873</v>
      </c>
      <c r="H10" s="6">
        <f>+'1.b sz. Önkormányzat 2022.'!CD10+'2.10. sz. Intézmények összesen'!H11</f>
        <v>31296481</v>
      </c>
      <c r="I10" s="6">
        <f>+'1.b sz. Önkormányzat 2022.'!CE10+'2.10. sz. Intézmények összesen'!I11</f>
        <v>33208823</v>
      </c>
      <c r="J10" s="6">
        <f t="shared" si="1"/>
        <v>3452661593</v>
      </c>
      <c r="K10" s="6">
        <f t="shared" si="2"/>
        <v>4184667018</v>
      </c>
      <c r="L10" s="6">
        <f>+'1.b sz. Önkormányzat 2022.'!CH10</f>
        <v>0</v>
      </c>
      <c r="M10" s="6">
        <f>+'1.b sz. Önkormányzat 2022.'!CI10</f>
        <v>7499350</v>
      </c>
      <c r="N10" s="13">
        <f t="shared" si="0"/>
        <v>-3445162243</v>
      </c>
      <c r="P10" s="13">
        <f>+O10-J10</f>
        <v>-3452661593</v>
      </c>
      <c r="R10" s="1123"/>
      <c r="S10" s="1124"/>
      <c r="T10" s="1124"/>
      <c r="U10" s="1124"/>
      <c r="V10" s="1124"/>
      <c r="W10" s="1124"/>
      <c r="X10" s="1124"/>
      <c r="Y10" s="1124"/>
      <c r="Z10" s="1125"/>
    </row>
    <row r="11" spans="1:26" ht="24.75" customHeight="1" x14ac:dyDescent="0.3">
      <c r="A11" s="748" t="s">
        <v>197</v>
      </c>
      <c r="B11" s="91" t="s">
        <v>337</v>
      </c>
      <c r="C11" s="1" t="s">
        <v>209</v>
      </c>
      <c r="D11" s="6">
        <f>+'1.b sz. Önkormányzat 2022.'!BZ11+'2.10. sz. Intézmények összesen'!D12</f>
        <v>44000000</v>
      </c>
      <c r="E11" s="6">
        <f>+'1.b sz. Önkormányzat 2022.'!CA11+'2.10. sz. Intézmények összesen'!E12</f>
        <v>47819430</v>
      </c>
      <c r="F11" s="6">
        <f>+'1.b sz. Önkormányzat 2022.'!CB11+'2.10. sz. Intézmények összesen'!F12</f>
        <v>0</v>
      </c>
      <c r="G11" s="6">
        <f>+'1.b sz. Önkormányzat 2022.'!CC11+'2.10. sz. Intézmények összesen'!G12</f>
        <v>0</v>
      </c>
      <c r="H11" s="6">
        <f>+'1.b sz. Önkormányzat 2022.'!CD11+'2.10. sz. Intézmények összesen'!H12</f>
        <v>0</v>
      </c>
      <c r="I11" s="6">
        <f>+'1.b sz. Önkormányzat 2022.'!CE11+'2.10. sz. Intézmények összesen'!I12</f>
        <v>0</v>
      </c>
      <c r="J11" s="6">
        <f t="shared" si="1"/>
        <v>44000000</v>
      </c>
      <c r="K11" s="6">
        <f t="shared" si="2"/>
        <v>47819430</v>
      </c>
      <c r="L11" s="6">
        <f>+'1.b sz. Önkormányzat 2022.'!CH11</f>
        <v>0</v>
      </c>
      <c r="M11" s="6">
        <f>+'1.b sz. Önkormányzat 2022.'!CI11</f>
        <v>0</v>
      </c>
      <c r="N11" s="13">
        <f t="shared" si="0"/>
        <v>-44000000</v>
      </c>
      <c r="P11" s="13">
        <f>+O11-J11</f>
        <v>-44000000</v>
      </c>
      <c r="R11" s="1126"/>
      <c r="T11" s="1127">
        <f>+'4.sz.Felhalm.c.pe.átadás'!Z26:Z26</f>
        <v>34271261</v>
      </c>
      <c r="V11" s="1128">
        <f>+T11-K19</f>
        <v>0</v>
      </c>
      <c r="W11" s="1129" t="s">
        <v>1741</v>
      </c>
      <c r="X11" s="1129"/>
      <c r="Z11" s="1130"/>
    </row>
    <row r="12" spans="1:26" ht="24.75" customHeight="1" x14ac:dyDescent="0.3">
      <c r="A12" s="748" t="s">
        <v>198</v>
      </c>
      <c r="B12" s="91" t="s">
        <v>240</v>
      </c>
      <c r="C12" s="1" t="s">
        <v>210</v>
      </c>
      <c r="D12" s="6">
        <f>+'1.b sz. Önkormányzat 2022.'!BZ12+'2.10. sz. Intézmények összesen'!D13</f>
        <v>1891458171</v>
      </c>
      <c r="E12" s="6">
        <f>+'1.b sz. Önkormányzat 2022.'!CA12+'2.10. sz. Intézmények összesen'!E13</f>
        <v>3053016103</v>
      </c>
      <c r="F12" s="6">
        <f>+'1.b sz. Önkormányzat 2022.'!CB12+'2.10. sz. Intézmények összesen'!F13</f>
        <v>189818697</v>
      </c>
      <c r="G12" s="6">
        <f>+'1.b sz. Önkormányzat 2022.'!CC12+'2.10. sz. Intézmények összesen'!G13</f>
        <v>215713864</v>
      </c>
      <c r="H12" s="6">
        <f>+'1.b sz. Önkormányzat 2022.'!CD12+'2.10. sz. Intézmények összesen'!H13</f>
        <v>0</v>
      </c>
      <c r="I12" s="6">
        <f>+'1.b sz. Önkormányzat 2022.'!CE12+'2.10. sz. Intézmények összesen'!I13</f>
        <v>0</v>
      </c>
      <c r="J12" s="6">
        <f t="shared" si="1"/>
        <v>2081276868</v>
      </c>
      <c r="K12" s="6">
        <f t="shared" si="2"/>
        <v>3268729967</v>
      </c>
      <c r="L12" s="6">
        <f>+'1.b sz. Önkormányzat 2022.'!CH12</f>
        <v>0</v>
      </c>
      <c r="M12" s="6">
        <f>+'1.b sz. Önkormányzat 2022.'!CI12</f>
        <v>0</v>
      </c>
      <c r="N12" s="13">
        <f t="shared" si="0"/>
        <v>-2081276868</v>
      </c>
      <c r="P12" s="13"/>
      <c r="R12" s="1126"/>
      <c r="T12" s="1127">
        <f>+'5.sz.Műk.c.pe.átadás'!J134</f>
        <v>338521864</v>
      </c>
      <c r="U12" s="1131"/>
      <c r="V12" s="13">
        <f>+T12-K13</f>
        <v>0</v>
      </c>
      <c r="W12" s="1129" t="s">
        <v>1742</v>
      </c>
      <c r="X12" s="1129"/>
      <c r="Z12" s="1130"/>
    </row>
    <row r="13" spans="1:26" ht="24.75" customHeight="1" x14ac:dyDescent="0.3">
      <c r="A13" s="748" t="s">
        <v>199</v>
      </c>
      <c r="B13" s="92" t="s">
        <v>125</v>
      </c>
      <c r="C13" s="1"/>
      <c r="D13" s="6">
        <f>+'1.b sz. Önkormányzat 2022.'!BZ13+'2.10. sz. Intézmények összesen'!D14</f>
        <v>96287551</v>
      </c>
      <c r="E13" s="6">
        <f>+'1.b sz. Önkormányzat 2022.'!CA13+'2.10. sz. Intézmények összesen'!E14</f>
        <v>122808000</v>
      </c>
      <c r="F13" s="6">
        <f>+'1.b sz. Önkormányzat 2022.'!CB13+'2.10. sz. Intézmények összesen'!F14</f>
        <v>189818697</v>
      </c>
      <c r="G13" s="6">
        <f>+'1.b sz. Önkormányzat 2022.'!CC13+'2.10. sz. Intézmények összesen'!G14</f>
        <v>215713864</v>
      </c>
      <c r="H13" s="6">
        <f>+'1.b sz. Önkormányzat 2022.'!CD13+'2.10. sz. Intézmények összesen'!H14</f>
        <v>0</v>
      </c>
      <c r="I13" s="6">
        <f>+'1.b sz. Önkormányzat 2022.'!CE13+'2.10. sz. Intézmények összesen'!I14</f>
        <v>0</v>
      </c>
      <c r="J13" s="6">
        <f t="shared" si="1"/>
        <v>286106248</v>
      </c>
      <c r="K13" s="6">
        <f t="shared" si="2"/>
        <v>338521864</v>
      </c>
      <c r="L13" s="6">
        <f>+'1.b sz. Önkormányzat 2022.'!CH13</f>
        <v>0</v>
      </c>
      <c r="M13" s="6">
        <f>+'1.b sz. Önkormányzat 2022.'!CI13</f>
        <v>0</v>
      </c>
      <c r="N13" s="13">
        <f t="shared" si="0"/>
        <v>-286106248</v>
      </c>
      <c r="P13" s="13"/>
      <c r="R13" s="1126"/>
      <c r="T13" s="1127">
        <f>+'6.sz. Beruházások'!F184</f>
        <v>2057444045</v>
      </c>
      <c r="U13" s="1131"/>
      <c r="V13" s="13">
        <f>+T13-K16</f>
        <v>0</v>
      </c>
      <c r="W13" s="1129" t="s">
        <v>1743</v>
      </c>
      <c r="X13" s="1129"/>
      <c r="Z13" s="1130"/>
    </row>
    <row r="14" spans="1:26" s="17" customFormat="1" ht="24.75" customHeight="1" x14ac:dyDescent="0.3">
      <c r="A14" s="748" t="s">
        <v>200</v>
      </c>
      <c r="B14" s="92" t="s">
        <v>115</v>
      </c>
      <c r="C14" s="15"/>
      <c r="D14" s="6">
        <f>+'1.b sz. Önkormányzat 2022.'!BZ14+'2.10. sz. Intézmények összesen'!D15</f>
        <v>897149962</v>
      </c>
      <c r="E14" s="6">
        <f>+'1.b sz. Önkormányzat 2022.'!CA14+'2.10. sz. Intézmények összesen'!E15</f>
        <v>1872854738</v>
      </c>
      <c r="F14" s="6">
        <f>+'1.b sz. Önkormányzat 2022.'!CB14+'2.10. sz. Intézmények összesen'!F15</f>
        <v>0</v>
      </c>
      <c r="G14" s="6">
        <f>+'1.b sz. Önkormányzat 2022.'!CC14+'2.10. sz. Intézmények összesen'!G15</f>
        <v>0</v>
      </c>
      <c r="H14" s="6">
        <f>+'1.b sz. Önkormányzat 2022.'!CD14+'2.10. sz. Intézmények összesen'!H15</f>
        <v>0</v>
      </c>
      <c r="I14" s="6">
        <f>+'1.b sz. Önkormányzat 2022.'!CE14+'2.10. sz. Intézmények összesen'!I15</f>
        <v>0</v>
      </c>
      <c r="J14" s="6">
        <f t="shared" si="1"/>
        <v>897149962</v>
      </c>
      <c r="K14" s="6">
        <f t="shared" si="2"/>
        <v>1872854738</v>
      </c>
      <c r="L14" s="6">
        <f>+'1.b sz. Önkormányzat 2022.'!CH14</f>
        <v>0</v>
      </c>
      <c r="M14" s="6">
        <f>+'1.b sz. Önkormányzat 2022.'!CI14</f>
        <v>0</v>
      </c>
      <c r="N14" s="13">
        <f t="shared" si="0"/>
        <v>-897149962</v>
      </c>
      <c r="P14" s="13"/>
      <c r="R14" s="1132"/>
      <c r="T14" s="1127">
        <f>+'7. sz. Felújítások'!F38</f>
        <v>174757458</v>
      </c>
      <c r="U14" s="1131"/>
      <c r="V14" s="1133">
        <f>+T14-K17</f>
        <v>0</v>
      </c>
      <c r="W14" s="1134" t="s">
        <v>1744</v>
      </c>
      <c r="X14" s="1134"/>
      <c r="Z14" s="1135"/>
    </row>
    <row r="15" spans="1:26" s="17" customFormat="1" ht="24.75" customHeight="1" x14ac:dyDescent="0.3">
      <c r="A15" s="748" t="s">
        <v>201</v>
      </c>
      <c r="B15" s="92" t="s">
        <v>566</v>
      </c>
      <c r="C15" s="15"/>
      <c r="D15" s="6">
        <f>+'1.b sz. Önkormányzat 2022.'!BZ15+'2.10. sz. Intézmények összesen'!D16</f>
        <v>898020658</v>
      </c>
      <c r="E15" s="6">
        <f>+'1.b sz. Önkormányzat 2022.'!CA15+'2.10. sz. Intézmények összesen'!E16</f>
        <v>1057353365</v>
      </c>
      <c r="F15" s="6">
        <f>+'1.b sz. Önkormányzat 2022.'!CB15+'2.10. sz. Intézmények összesen'!F16</f>
        <v>0</v>
      </c>
      <c r="G15" s="6">
        <f>+'1.b sz. Önkormányzat 2022.'!CC15+'2.10. sz. Intézmények összesen'!G16</f>
        <v>0</v>
      </c>
      <c r="H15" s="6">
        <f>+'1.b sz. Önkormányzat 2022.'!CD15+'2.10. sz. Intézmények összesen'!H16</f>
        <v>0</v>
      </c>
      <c r="I15" s="6">
        <f>+'1.b sz. Önkormányzat 2022.'!CE15+'2.10. sz. Intézmények összesen'!I16</f>
        <v>0</v>
      </c>
      <c r="J15" s="6">
        <f t="shared" si="1"/>
        <v>898020658</v>
      </c>
      <c r="K15" s="6">
        <f t="shared" si="2"/>
        <v>1057353365</v>
      </c>
      <c r="L15" s="6">
        <f>+'1.b sz. Önkormányzat 2022.'!CH15</f>
        <v>0</v>
      </c>
      <c r="M15" s="6">
        <f>+'1.b sz. Önkormányzat 2022.'!CI15</f>
        <v>0</v>
      </c>
      <c r="N15" s="13">
        <f t="shared" si="0"/>
        <v>-898020658</v>
      </c>
      <c r="P15" s="13"/>
      <c r="R15" s="1132"/>
      <c r="T15" s="1127">
        <f>+'8.sz.Tartalékok'!D74</f>
        <v>1872854738</v>
      </c>
      <c r="U15" s="1131"/>
      <c r="V15" s="1133">
        <f>+T15-K14</f>
        <v>0</v>
      </c>
      <c r="W15" s="1134" t="s">
        <v>1745</v>
      </c>
      <c r="X15" s="1134"/>
      <c r="Z15" s="1135"/>
    </row>
    <row r="16" spans="1:26" s="2" customFormat="1" ht="24.75" customHeight="1" x14ac:dyDescent="0.3">
      <c r="A16" s="748" t="s">
        <v>202</v>
      </c>
      <c r="B16" s="93" t="s">
        <v>247</v>
      </c>
      <c r="C16" s="1" t="s">
        <v>211</v>
      </c>
      <c r="D16" s="6">
        <f>+'1.b sz. Önkormányzat 2022.'!BZ16+'2.10. sz. Intézmények összesen'!D17</f>
        <v>1272519473</v>
      </c>
      <c r="E16" s="6">
        <f>+'1.b sz. Önkormányzat 2022.'!CA16+'2.10. sz. Intézmények összesen'!E17</f>
        <v>1529996063</v>
      </c>
      <c r="F16" s="6">
        <f>+'1.b sz. Önkormányzat 2022.'!CB16+'2.10. sz. Intézmények összesen'!F17</f>
        <v>554688577</v>
      </c>
      <c r="G16" s="6">
        <f>+'1.b sz. Önkormányzat 2022.'!CC16+'2.10. sz. Intézmények összesen'!G17</f>
        <v>516167245</v>
      </c>
      <c r="H16" s="6">
        <f>+'1.b sz. Önkormányzat 2022.'!CD16+'2.10. sz. Intézmények összesen'!H17</f>
        <v>7240500</v>
      </c>
      <c r="I16" s="6">
        <f>+'1.b sz. Önkormányzat 2022.'!CE16+'2.10. sz. Intézmények összesen'!I17</f>
        <v>11280737</v>
      </c>
      <c r="J16" s="6">
        <f t="shared" si="1"/>
        <v>1834448550</v>
      </c>
      <c r="K16" s="6">
        <f t="shared" si="2"/>
        <v>2057444045</v>
      </c>
      <c r="L16" s="6">
        <f>+'1.b sz. Önkormányzat 2022.'!CH16</f>
        <v>7499350</v>
      </c>
      <c r="M16" s="6">
        <f>+'1.b sz. Önkormányzat 2022.'!CI16</f>
        <v>41418264</v>
      </c>
      <c r="N16" s="13">
        <f t="shared" si="0"/>
        <v>-1793030286</v>
      </c>
      <c r="P16" s="13">
        <f>+O16-J16</f>
        <v>-1834448550</v>
      </c>
      <c r="R16" s="1136"/>
      <c r="T16" s="1127">
        <f>+'9.sz. Szociális'!F22:F22</f>
        <v>47819430</v>
      </c>
      <c r="U16" s="1131"/>
      <c r="V16" s="1128">
        <f>+T16-K11</f>
        <v>0</v>
      </c>
      <c r="W16" s="1129" t="s">
        <v>1746</v>
      </c>
      <c r="X16" s="1129"/>
      <c r="Z16" s="1137"/>
    </row>
    <row r="17" spans="1:26" s="2" customFormat="1" ht="24.75" customHeight="1" x14ac:dyDescent="0.3">
      <c r="A17" s="748" t="s">
        <v>203</v>
      </c>
      <c r="B17" s="91" t="s">
        <v>338</v>
      </c>
      <c r="C17" s="1" t="s">
        <v>212</v>
      </c>
      <c r="D17" s="6">
        <f>+'1.b sz. Önkormányzat 2022.'!BZ17+'2.10. sz. Intézmények összesen'!D18</f>
        <v>227236267</v>
      </c>
      <c r="E17" s="6">
        <f>+'1.b sz. Önkormányzat 2022.'!CA17+'2.10. sz. Intézmények összesen'!E18</f>
        <v>174757458</v>
      </c>
      <c r="F17" s="6">
        <f>+'1.b sz. Önkormányzat 2022.'!CB17+'2.10. sz. Intézmények összesen'!F18</f>
        <v>0</v>
      </c>
      <c r="G17" s="6">
        <f>+'1.b sz. Önkormányzat 2022.'!CC17+'2.10. sz. Intézmények összesen'!G18</f>
        <v>0</v>
      </c>
      <c r="H17" s="6">
        <f>+'1.b sz. Önkormányzat 2022.'!CD17+'2.10. sz. Intézmények összesen'!H18</f>
        <v>0</v>
      </c>
      <c r="I17" s="6">
        <f>+'1.b sz. Önkormányzat 2022.'!CE17+'2.10. sz. Intézmények összesen'!I18</f>
        <v>0</v>
      </c>
      <c r="J17" s="6">
        <f t="shared" si="1"/>
        <v>227236267</v>
      </c>
      <c r="K17" s="6">
        <f t="shared" si="2"/>
        <v>174757458</v>
      </c>
      <c r="L17" s="6">
        <f>+'1.b sz. Önkormányzat 2022.'!CH17</f>
        <v>0</v>
      </c>
      <c r="M17" s="6">
        <f>+'1.b sz. Önkormányzat 2022.'!CI17</f>
        <v>0</v>
      </c>
      <c r="N17" s="13">
        <f t="shared" si="0"/>
        <v>-227236267</v>
      </c>
      <c r="P17" s="13">
        <f>+O17-J17</f>
        <v>-227236267</v>
      </c>
      <c r="R17" s="1136"/>
      <c r="T17" s="1127">
        <f>+'10.sz.Intézményfinanszírozás'!E16</f>
        <v>3686246941</v>
      </c>
      <c r="U17" s="1131"/>
      <c r="V17" s="1128">
        <f>+T17-K23</f>
        <v>0</v>
      </c>
      <c r="W17" s="1129" t="s">
        <v>1747</v>
      </c>
      <c r="X17" s="1129"/>
      <c r="Z17" s="1137"/>
    </row>
    <row r="18" spans="1:26" ht="24.75" customHeight="1" x14ac:dyDescent="0.3">
      <c r="A18" s="748" t="s">
        <v>204</v>
      </c>
      <c r="B18" s="91" t="s">
        <v>241</v>
      </c>
      <c r="C18" s="1" t="s">
        <v>213</v>
      </c>
      <c r="D18" s="6">
        <f>+'1.b sz. Önkormányzat 2022.'!BZ18+'2.10. sz. Intézmények összesen'!D19</f>
        <v>10000000</v>
      </c>
      <c r="E18" s="6">
        <f>+'1.b sz. Önkormányzat 2022.'!CA18+'2.10. sz. Intézmények összesen'!E19</f>
        <v>17311551</v>
      </c>
      <c r="F18" s="6">
        <f>+'1.b sz. Önkormányzat 2022.'!CB18+'2.10. sz. Intézmények összesen'!F19</f>
        <v>13820000</v>
      </c>
      <c r="G18" s="6">
        <f>+'1.b sz. Önkormányzat 2022.'!CC18+'2.10. sz. Intézmények összesen'!G19</f>
        <v>16959710</v>
      </c>
      <c r="H18" s="6">
        <f>+'1.b sz. Önkormányzat 2022.'!CD18+'2.10. sz. Intézmények összesen'!H19</f>
        <v>0</v>
      </c>
      <c r="I18" s="6">
        <f>+'1.b sz. Önkormányzat 2022.'!CE18+'2.10. sz. Intézmények összesen'!I19</f>
        <v>0</v>
      </c>
      <c r="J18" s="6">
        <f t="shared" si="1"/>
        <v>23820000</v>
      </c>
      <c r="K18" s="6">
        <f t="shared" si="2"/>
        <v>34271261</v>
      </c>
      <c r="L18" s="6">
        <f>+'1.b sz. Önkormányzat 2022.'!CH18</f>
        <v>0</v>
      </c>
      <c r="M18" s="6">
        <f>+'1.b sz. Önkormányzat 2022.'!CI18</f>
        <v>0</v>
      </c>
      <c r="N18" s="13">
        <f t="shared" si="0"/>
        <v>-23820000</v>
      </c>
      <c r="P18" s="13">
        <f>SUM(P10:P17)</f>
        <v>-5558346410</v>
      </c>
      <c r="R18" s="1126"/>
      <c r="T18" s="1127">
        <f>+'10.sz.Intézményfinanszírozás'!G16</f>
        <v>98501338</v>
      </c>
      <c r="U18" s="1131"/>
      <c r="V18" s="13">
        <f>+T18-K24</f>
        <v>0</v>
      </c>
      <c r="W18" s="1129" t="s">
        <v>1748</v>
      </c>
      <c r="X18" s="1129"/>
      <c r="Z18" s="1130"/>
    </row>
    <row r="19" spans="1:26" ht="24.75" customHeight="1" x14ac:dyDescent="0.3">
      <c r="A19" s="748" t="s">
        <v>231</v>
      </c>
      <c r="B19" s="92" t="s">
        <v>124</v>
      </c>
      <c r="C19" s="1"/>
      <c r="D19" s="6">
        <f>+'1.b sz. Önkormányzat 2022.'!BZ19+'2.10. sz. Intézmények összesen'!D20</f>
        <v>10000000</v>
      </c>
      <c r="E19" s="6">
        <f>+'1.b sz. Önkormányzat 2022.'!CA19+'2.10. sz. Intézmények összesen'!E20</f>
        <v>17311551</v>
      </c>
      <c r="F19" s="6">
        <f>+'1.b sz. Önkormányzat 2022.'!CB19+'2.10. sz. Intézmények összesen'!F20</f>
        <v>13820000</v>
      </c>
      <c r="G19" s="6">
        <f>+'1.b sz. Önkormányzat 2022.'!CC19+'2.10. sz. Intézmények összesen'!G20</f>
        <v>16959710</v>
      </c>
      <c r="H19" s="6">
        <f>+'1.b sz. Önkormányzat 2022.'!CD19+'2.10. sz. Intézmények összesen'!H20</f>
        <v>0</v>
      </c>
      <c r="I19" s="6">
        <f>+'1.b sz. Önkormányzat 2022.'!CE19+'2.10. sz. Intézmények összesen'!I20</f>
        <v>0</v>
      </c>
      <c r="J19" s="6">
        <f t="shared" si="1"/>
        <v>23820000</v>
      </c>
      <c r="K19" s="6">
        <f t="shared" si="2"/>
        <v>34271261</v>
      </c>
      <c r="L19" s="6">
        <f>+'1.b sz. Önkormányzat 2022.'!CH19</f>
        <v>0</v>
      </c>
      <c r="M19" s="6">
        <f>+'1.b sz. Önkormányzat 2022.'!CI19</f>
        <v>0</v>
      </c>
      <c r="N19" s="13">
        <f t="shared" si="0"/>
        <v>-23820000</v>
      </c>
      <c r="P19" s="4">
        <f>+L54</f>
        <v>0</v>
      </c>
      <c r="R19" s="1126"/>
      <c r="T19" s="1127">
        <f>+'11.a.sz. Állami támogatás'!F78+'11.a.sz. Állami támogatás'!F90+'11.a.sz. Állami támogatás'!F94+'11.a.sz. Állami támogatás'!F6</f>
        <v>2374477160</v>
      </c>
      <c r="V19" s="13">
        <f>+T19-'1.b sz. Önkormányzat 2022.'!BW30</f>
        <v>0</v>
      </c>
      <c r="W19" s="1129" t="s">
        <v>1749</v>
      </c>
      <c r="Z19" s="1130"/>
    </row>
    <row r="20" spans="1:26" s="2" customFormat="1" ht="24.75" customHeight="1" x14ac:dyDescent="0.3">
      <c r="A20" s="748" t="s">
        <v>232</v>
      </c>
      <c r="B20" s="93" t="s">
        <v>242</v>
      </c>
      <c r="C20" s="1" t="s">
        <v>214</v>
      </c>
      <c r="D20" s="7">
        <f>+'1.b sz. Önkormányzat 2022.'!BZ20+'2.10. sz. Intézmények összesen'!D21</f>
        <v>9237450433</v>
      </c>
      <c r="E20" s="7">
        <f>+'1.b sz. Önkormányzat 2022.'!CA20+'2.10. sz. Intézmények összesen'!E21</f>
        <v>11335844429</v>
      </c>
      <c r="F20" s="7">
        <f>+'1.b sz. Önkormányzat 2022.'!CB20+'2.10. sz. Intézmények összesen'!F21</f>
        <v>1222093762</v>
      </c>
      <c r="G20" s="7">
        <f>+'1.b sz. Önkormányzat 2022.'!CC20+'2.10. sz. Intézmények összesen'!G21</f>
        <v>1370208321</v>
      </c>
      <c r="H20" s="7">
        <f>+'1.b sz. Önkormányzat 2022.'!CD20+'2.10. sz. Intézmények összesen'!H21</f>
        <v>128958177</v>
      </c>
      <c r="I20" s="7">
        <f>+'1.b sz. Önkormányzat 2022.'!CE20+'2.10. sz. Intézmények összesen'!I21</f>
        <v>169106866</v>
      </c>
      <c r="J20" s="7">
        <f t="shared" si="1"/>
        <v>10588502372</v>
      </c>
      <c r="K20" s="7">
        <f>E20+G20+I20</f>
        <v>12875159616</v>
      </c>
      <c r="L20" s="6">
        <f>+'1.b sz. Önkormányzat 2022.'!CH20</f>
        <v>7499350</v>
      </c>
      <c r="M20" s="6">
        <f>+'1.b sz. Önkormányzat 2022.'!CI20</f>
        <v>49565206</v>
      </c>
      <c r="N20" s="13">
        <f t="shared" si="0"/>
        <v>-10538937166</v>
      </c>
      <c r="P20" s="230">
        <f>+P19+P18</f>
        <v>-5558346410</v>
      </c>
      <c r="R20" s="1136"/>
      <c r="T20" s="1127">
        <f>+'13.sz. Közhatalmi bevételek'!R5</f>
        <v>4719374433</v>
      </c>
      <c r="V20" s="13">
        <f>+T20-'1.b sz. Önkormányzat 2022.'!BU32-'1.a sz. Önkormányzat 2022. '!AC32</f>
        <v>0</v>
      </c>
      <c r="W20" s="1129" t="s">
        <v>1763</v>
      </c>
      <c r="Z20" s="1137"/>
    </row>
    <row r="21" spans="1:26" s="2" customFormat="1" ht="24.75" customHeight="1" x14ac:dyDescent="0.3">
      <c r="A21" s="748" t="s">
        <v>233</v>
      </c>
      <c r="B21" s="93" t="s">
        <v>227</v>
      </c>
      <c r="C21" s="1" t="s">
        <v>223</v>
      </c>
      <c r="D21" s="6">
        <f>+'1.b sz. Önkormányzat 2022.'!BZ21+'2.10. sz. Intézmények összesen'!D22</f>
        <v>3575792043</v>
      </c>
      <c r="E21" s="6">
        <f>+'1.b sz. Önkormányzat 2022.'!CA21+'2.10. sz. Intézmények összesen'!E22</f>
        <v>4079816808</v>
      </c>
      <c r="F21" s="6">
        <f>+'1.b sz. Önkormányzat 2022.'!CB21+'2.10. sz. Intézmények összesen'!F22</f>
        <v>91696060</v>
      </c>
      <c r="G21" s="6">
        <f>+'1.b sz. Önkormányzat 2022.'!CC21+'2.10. sz. Intézmények összesen'!G22</f>
        <v>91696060</v>
      </c>
      <c r="H21" s="6">
        <f>+'1.b sz. Önkormányzat 2022.'!CD21+'2.10. sz. Intézmények összesen'!H22</f>
        <v>0</v>
      </c>
      <c r="I21" s="6">
        <f>+'1.b sz. Önkormányzat 2022.'!CE21+'2.10. sz. Intézmények összesen'!I22</f>
        <v>0</v>
      </c>
      <c r="J21" s="6">
        <f t="shared" si="1"/>
        <v>3667488103</v>
      </c>
      <c r="K21" s="6">
        <f t="shared" si="2"/>
        <v>4171512868</v>
      </c>
      <c r="L21" s="6">
        <f>+'1.b sz. Önkormányzat 2022.'!CH21</f>
        <v>0</v>
      </c>
      <c r="M21" s="6">
        <f>+'1.b sz. Önkormányzat 2022.'!CI21</f>
        <v>0</v>
      </c>
      <c r="N21" s="13">
        <f t="shared" si="0"/>
        <v>-3667488103</v>
      </c>
      <c r="O21" s="230">
        <f>+O20-J20</f>
        <v>-10588502372</v>
      </c>
      <c r="R21" s="1136"/>
      <c r="T21" s="1127">
        <f>+'14.sz.Felhalmozási bev'!N23</f>
        <v>741863797</v>
      </c>
      <c r="V21" s="13">
        <f>+T21-'1.a sz. Önkormányzat 2022. '!AA34</f>
        <v>0</v>
      </c>
      <c r="W21" s="1129" t="s">
        <v>1764</v>
      </c>
      <c r="Z21" s="1137"/>
    </row>
    <row r="22" spans="1:26" s="16" customFormat="1" ht="21.75" customHeight="1" x14ac:dyDescent="0.25">
      <c r="A22" s="748" t="s">
        <v>234</v>
      </c>
      <c r="B22" s="30" t="s">
        <v>852</v>
      </c>
      <c r="C22" s="15"/>
      <c r="D22" s="6">
        <f>+'1.b sz. Önkormányzat 2022.'!BZ22+'2.10. sz. Intézmények összesen'!D23</f>
        <v>0</v>
      </c>
      <c r="E22" s="6">
        <f>+'1.b sz. Önkormányzat 2022.'!CA22+'2.10. sz. Intézmények összesen'!E23</f>
        <v>295068529</v>
      </c>
      <c r="F22" s="6">
        <f>+'1.b sz. Önkormányzat 2022.'!CB22+'2.10. sz. Intézmények összesen'!F23</f>
        <v>63513436</v>
      </c>
      <c r="G22" s="6">
        <f>+'1.b sz. Önkormányzat 2022.'!CC22+'2.10. sz. Intézmények összesen'!G23</f>
        <v>63513436</v>
      </c>
      <c r="H22" s="6">
        <f>+'1.b sz. Önkormányzat 2022.'!CD22+'2.10. sz. Intézmények összesen'!H23</f>
        <v>0</v>
      </c>
      <c r="I22" s="6">
        <f>+'1.b sz. Önkormányzat 2022.'!CE22+'2.10. sz. Intézmények összesen'!I23</f>
        <v>0</v>
      </c>
      <c r="J22" s="6">
        <f t="shared" si="1"/>
        <v>63513436</v>
      </c>
      <c r="K22" s="6">
        <f t="shared" si="2"/>
        <v>358581965</v>
      </c>
      <c r="L22" s="6">
        <f>+'1.b sz. Önkormányzat 2022.'!CH22</f>
        <v>0</v>
      </c>
      <c r="M22" s="6">
        <f>+'1.b sz. Önkormányzat 2022.'!CI22</f>
        <v>0</v>
      </c>
      <c r="N22" s="13">
        <f t="shared" si="0"/>
        <v>-63513436</v>
      </c>
      <c r="R22" s="1142"/>
      <c r="Z22" s="1143"/>
    </row>
    <row r="23" spans="1:26" s="16" customFormat="1" ht="24.75" customHeight="1" x14ac:dyDescent="0.25">
      <c r="A23" s="748" t="s">
        <v>235</v>
      </c>
      <c r="B23" s="94" t="s">
        <v>569</v>
      </c>
      <c r="C23" s="15"/>
      <c r="D23" s="6">
        <f>+'1.b sz. Önkormányzat 2022.'!BZ23+'2.10. sz. Intézmények összesen'!D24</f>
        <v>3513510223</v>
      </c>
      <c r="E23" s="6">
        <f>+'1.b sz. Önkormányzat 2022.'!CA23+'2.10. sz. Intézmények összesen'!E24</f>
        <v>3686246941</v>
      </c>
      <c r="F23" s="6">
        <f>+'1.b sz. Önkormányzat 2022.'!CB23+'2.10. sz. Intézmények összesen'!F24</f>
        <v>0</v>
      </c>
      <c r="G23" s="6">
        <f>+'1.b sz. Önkormányzat 2022.'!CC23+'2.10. sz. Intézmények összesen'!G24</f>
        <v>0</v>
      </c>
      <c r="H23" s="6">
        <f>+'1.b sz. Önkormányzat 2022.'!CD23+'2.10. sz. Intézmények összesen'!H24</f>
        <v>0</v>
      </c>
      <c r="I23" s="6">
        <f>+'1.b sz. Önkormányzat 2022.'!CE23+'2.10. sz. Intézmények összesen'!I24</f>
        <v>0</v>
      </c>
      <c r="J23" s="6">
        <f t="shared" si="1"/>
        <v>3513510223</v>
      </c>
      <c r="K23" s="6">
        <f t="shared" si="2"/>
        <v>3686246941</v>
      </c>
      <c r="L23" s="6">
        <f>+'1.b sz. Önkormányzat 2022.'!CH23</f>
        <v>0</v>
      </c>
      <c r="M23" s="6">
        <f>+'1.b sz. Önkormányzat 2022.'!CI23</f>
        <v>0</v>
      </c>
      <c r="N23" s="13">
        <f t="shared" si="0"/>
        <v>-3513510223</v>
      </c>
      <c r="R23" s="1144"/>
      <c r="S23" s="1145"/>
      <c r="T23" s="1145"/>
      <c r="U23" s="1145"/>
      <c r="V23" s="1145"/>
      <c r="W23" s="1145"/>
      <c r="X23" s="1145"/>
      <c r="Y23" s="1145"/>
      <c r="Z23" s="1146"/>
    </row>
    <row r="24" spans="1:26" s="16" customFormat="1" ht="24.75" customHeight="1" x14ac:dyDescent="0.25">
      <c r="A24" s="748" t="s">
        <v>236</v>
      </c>
      <c r="B24" s="94" t="s">
        <v>570</v>
      </c>
      <c r="C24" s="15"/>
      <c r="D24" s="6">
        <f>+'1.b sz. Önkormányzat 2022.'!BZ24+'2.10. sz. Intézmények összesen'!D25</f>
        <v>62281820</v>
      </c>
      <c r="E24" s="6">
        <f>+'1.b sz. Önkormányzat 2022.'!CA24+'2.10. sz. Intézmények összesen'!E25</f>
        <v>98501338</v>
      </c>
      <c r="F24" s="6">
        <f>+'1.b sz. Önkormányzat 2022.'!CB24+'2.10. sz. Intézmények összesen'!F25</f>
        <v>0</v>
      </c>
      <c r="G24" s="6">
        <f>+'1.b sz. Önkormányzat 2022.'!CC24+'2.10. sz. Intézmények összesen'!G25</f>
        <v>0</v>
      </c>
      <c r="H24" s="6">
        <f>+'1.b sz. Önkormányzat 2022.'!CD24+'2.10. sz. Intézmények összesen'!H25</f>
        <v>0</v>
      </c>
      <c r="I24" s="6">
        <f>+'1.b sz. Önkormányzat 2022.'!CE24+'2.10. sz. Intézmények összesen'!I25</f>
        <v>0</v>
      </c>
      <c r="J24" s="6">
        <f t="shared" si="1"/>
        <v>62281820</v>
      </c>
      <c r="K24" s="6">
        <f t="shared" si="2"/>
        <v>98501338</v>
      </c>
      <c r="L24" s="6">
        <f>+'1.b sz. Önkormányzat 2022.'!CH24</f>
        <v>0</v>
      </c>
      <c r="M24" s="6">
        <f>+'1.b sz. Önkormányzat 2022.'!CI24</f>
        <v>0</v>
      </c>
      <c r="N24" s="13">
        <f t="shared" si="0"/>
        <v>-62281820</v>
      </c>
    </row>
    <row r="25" spans="1:26" s="16" customFormat="1" ht="24.75" customHeight="1" x14ac:dyDescent="0.25">
      <c r="A25" s="748" t="s">
        <v>237</v>
      </c>
      <c r="B25" s="94" t="s">
        <v>126</v>
      </c>
      <c r="C25" s="15"/>
      <c r="D25" s="6">
        <f>+'1.b sz. Önkormányzat 2022.'!BZ25+'2.10. sz. Intézmények összesen'!D26</f>
        <v>0</v>
      </c>
      <c r="E25" s="6">
        <f>+'1.b sz. Önkormányzat 2022.'!CA25+'2.10. sz. Intézmények összesen'!E26</f>
        <v>0</v>
      </c>
      <c r="F25" s="6">
        <f>+'1.b sz. Önkormányzat 2022.'!CB25+'2.10. sz. Intézmények összesen'!F26</f>
        <v>28182624</v>
      </c>
      <c r="G25" s="6">
        <f>+'1.b sz. Önkormányzat 2022.'!CC25+'2.10. sz. Intézmények összesen'!G26</f>
        <v>28182624</v>
      </c>
      <c r="H25" s="6">
        <f>+'1.b sz. Önkormányzat 2022.'!CD25+'2.10. sz. Intézmények összesen'!H26</f>
        <v>0</v>
      </c>
      <c r="I25" s="6">
        <f>+'1.b sz. Önkormányzat 2022.'!CE25+'2.10. sz. Intézmények összesen'!I26</f>
        <v>0</v>
      </c>
      <c r="J25" s="6">
        <f t="shared" si="1"/>
        <v>28182624</v>
      </c>
      <c r="K25" s="6">
        <f t="shared" si="2"/>
        <v>28182624</v>
      </c>
      <c r="L25" s="6">
        <f>+'1.b sz. Önkormányzat 2022.'!CH25</f>
        <v>0</v>
      </c>
      <c r="M25" s="6">
        <f>+'1.b sz. Önkormányzat 2022.'!CI25</f>
        <v>0</v>
      </c>
      <c r="N25" s="13">
        <f t="shared" si="0"/>
        <v>-28182624</v>
      </c>
    </row>
    <row r="26" spans="1:26" s="16" customFormat="1" ht="24.75" customHeight="1" x14ac:dyDescent="0.25">
      <c r="A26" s="748" t="s">
        <v>238</v>
      </c>
      <c r="B26" s="236" t="s">
        <v>847</v>
      </c>
      <c r="C26" s="15"/>
      <c r="D26" s="6">
        <f>+'1.b sz. Önkormányzat 2022.'!BZ26+'2.10. sz. Intézmények összesen'!D27</f>
        <v>0</v>
      </c>
      <c r="E26" s="6">
        <f>+'1.b sz. Önkormányzat 2022.'!CA26+'2.10. sz. Intézmények összesen'!E27</f>
        <v>0</v>
      </c>
      <c r="F26" s="6">
        <f>+'1.b sz. Önkormányzat 2022.'!CB26+'2.10. sz. Intézmények összesen'!F27</f>
        <v>0</v>
      </c>
      <c r="G26" s="6">
        <f>+'1.b sz. Önkormányzat 2022.'!CC26+'2.10. sz. Intézmények összesen'!G27</f>
        <v>0</v>
      </c>
      <c r="H26" s="6">
        <f>+'1.b sz. Önkormányzat 2022.'!CD26+'2.10. sz. Intézmények összesen'!H27</f>
        <v>0</v>
      </c>
      <c r="I26" s="6">
        <f>+'1.b sz. Önkormányzat 2022.'!CE26+'2.10. sz. Intézmények összesen'!I27</f>
        <v>0</v>
      </c>
      <c r="J26" s="6">
        <f t="shared" si="1"/>
        <v>0</v>
      </c>
      <c r="K26" s="6">
        <f t="shared" si="2"/>
        <v>0</v>
      </c>
      <c r="L26" s="6">
        <f>+'1.b sz. Önkormányzat 2022.'!CH26</f>
        <v>0</v>
      </c>
      <c r="M26" s="6">
        <f>+'1.b sz. Önkormányzat 2022.'!CI26</f>
        <v>0</v>
      </c>
      <c r="N26" s="13"/>
    </row>
    <row r="27" spans="1:26" s="2" customFormat="1" ht="24.75" customHeight="1" x14ac:dyDescent="0.25">
      <c r="A27" s="748" t="s">
        <v>239</v>
      </c>
      <c r="B27" s="48" t="s">
        <v>32</v>
      </c>
      <c r="C27" s="1"/>
      <c r="D27" s="7">
        <f>+'1.b sz. Önkormányzat 2022.'!BZ27+'2.10. sz. Intézmények összesen'!D28</f>
        <v>11241204916</v>
      </c>
      <c r="E27" s="7">
        <f>+'1.b sz. Önkormányzat 2022.'!CA27+'2.10. sz. Intézmények összesen'!E28</f>
        <v>13595094827</v>
      </c>
      <c r="F27" s="7">
        <f>+'1.b sz. Önkormányzat 2022.'!CB27+'2.10. sz. Intézmények összesen'!F28</f>
        <v>717098621</v>
      </c>
      <c r="G27" s="7">
        <f>+'1.b sz. Önkormányzat 2022.'!CC27+'2.10. sz. Intézmények összesen'!G28</f>
        <v>900594802</v>
      </c>
      <c r="H27" s="7">
        <f>+'1.b sz. Önkormányzat 2022.'!CD27+'2.10. sz. Intézmények összesen'!H28</f>
        <v>121717677</v>
      </c>
      <c r="I27" s="7">
        <f>+'1.b sz. Önkormányzat 2022.'!CE27+'2.10. sz. Intézmények összesen'!I28</f>
        <v>157826129</v>
      </c>
      <c r="J27" s="7">
        <f t="shared" si="1"/>
        <v>12080021214</v>
      </c>
      <c r="K27" s="7">
        <f t="shared" si="2"/>
        <v>14653515758</v>
      </c>
      <c r="L27" s="6">
        <f>+'1.b sz. Önkormányzat 2022.'!CH27</f>
        <v>0</v>
      </c>
      <c r="M27" s="6">
        <f>+'1.b sz. Önkormányzat 2022.'!CI27</f>
        <v>8146942</v>
      </c>
      <c r="N27" s="13">
        <f t="shared" ref="N27:N44" si="3">+M27-J27</f>
        <v>-12071874272</v>
      </c>
    </row>
    <row r="28" spans="1:26" s="2" customFormat="1" ht="24.75" customHeight="1" x14ac:dyDescent="0.25">
      <c r="A28" s="748" t="s">
        <v>266</v>
      </c>
      <c r="B28" s="48" t="s">
        <v>33</v>
      </c>
      <c r="C28" s="1"/>
      <c r="D28" s="7">
        <f>+'1.b sz. Önkormányzat 2022.'!BZ28+'2.10. sz. Intézmények összesen'!D29</f>
        <v>1572037560</v>
      </c>
      <c r="E28" s="7">
        <f>+'1.b sz. Önkormányzat 2022.'!CA28+'2.10. sz. Intézmények összesen'!E29</f>
        <v>1820566410</v>
      </c>
      <c r="F28" s="7">
        <f>+'1.b sz. Önkormányzat 2022.'!CB28+'2.10. sz. Intézmények összesen'!F29</f>
        <v>596691201</v>
      </c>
      <c r="G28" s="7">
        <f>+'1.b sz. Önkormányzat 2022.'!CC28+'2.10. sz. Intézmények összesen'!G29</f>
        <v>561309579</v>
      </c>
      <c r="H28" s="7">
        <f>+'1.b sz. Önkormányzat 2022.'!CD28+'2.10. sz. Intézmények összesen'!H29</f>
        <v>7240500</v>
      </c>
      <c r="I28" s="7">
        <f>+'1.b sz. Önkormányzat 2022.'!CE28+'2.10. sz. Intézmények összesen'!I29</f>
        <v>11280737</v>
      </c>
      <c r="J28" s="7">
        <f t="shared" si="1"/>
        <v>2175969261</v>
      </c>
      <c r="K28" s="7">
        <f t="shared" si="2"/>
        <v>2393156726</v>
      </c>
      <c r="L28" s="6">
        <f>+'1.b sz. Önkormányzat 2022.'!CH28</f>
        <v>7499350</v>
      </c>
      <c r="M28" s="6">
        <f>+'1.b sz. Önkormányzat 2022.'!CI28</f>
        <v>41418264</v>
      </c>
      <c r="N28" s="13">
        <f t="shared" si="3"/>
        <v>-2134550997</v>
      </c>
    </row>
    <row r="29" spans="1:26" s="2" customFormat="1" ht="24.75" customHeight="1" x14ac:dyDescent="0.25">
      <c r="A29" s="748" t="s">
        <v>267</v>
      </c>
      <c r="B29" s="48" t="s">
        <v>333</v>
      </c>
      <c r="C29" s="1" t="s">
        <v>31</v>
      </c>
      <c r="D29" s="7">
        <f>+'1.b sz. Önkormányzat 2022.'!BZ29+'2.10. sz. Intézmények összesen'!D30</f>
        <v>12813242476</v>
      </c>
      <c r="E29" s="7">
        <f>+'1.b sz. Önkormányzat 2022.'!CA29+'2.10. sz. Intézmények összesen'!E30</f>
        <v>15415661237</v>
      </c>
      <c r="F29" s="7">
        <f>+'1.b sz. Önkormányzat 2022.'!CB29+'2.10. sz. Intézmények összesen'!F30</f>
        <v>1313789822</v>
      </c>
      <c r="G29" s="7">
        <f>+'1.b sz. Önkormányzat 2022.'!CC29+'2.10. sz. Intézmények összesen'!G30</f>
        <v>1461904381</v>
      </c>
      <c r="H29" s="7">
        <f>+'1.b sz. Önkormányzat 2022.'!CD29+'2.10. sz. Intézmények összesen'!H30</f>
        <v>128958177</v>
      </c>
      <c r="I29" s="7">
        <f>+'1.b sz. Önkormányzat 2022.'!CE29+'2.10. sz. Intézmények összesen'!I30</f>
        <v>169106866</v>
      </c>
      <c r="J29" s="7">
        <f t="shared" si="1"/>
        <v>14255990475</v>
      </c>
      <c r="K29" s="7">
        <f>E29+G29+I29</f>
        <v>17046672484</v>
      </c>
      <c r="L29" s="6">
        <f>+'1.b sz. Önkormányzat 2022.'!CH29</f>
        <v>7499350</v>
      </c>
      <c r="M29" s="6">
        <f>+'1.b sz. Önkormányzat 2022.'!CI29</f>
        <v>49565206</v>
      </c>
      <c r="N29" s="13">
        <f t="shared" si="3"/>
        <v>-14206425269</v>
      </c>
      <c r="O29" s="313"/>
    </row>
    <row r="30" spans="1:26" ht="24.75" customHeight="1" x14ac:dyDescent="0.25">
      <c r="A30" s="748" t="s">
        <v>268</v>
      </c>
      <c r="B30" s="90" t="s">
        <v>52</v>
      </c>
      <c r="C30" s="93" t="s">
        <v>215</v>
      </c>
      <c r="D30" s="6">
        <f>+'1.b sz. Önkormányzat 2022.'!BZ30+'2.10. sz. Intézmények összesen'!D31</f>
        <v>1822145963</v>
      </c>
      <c r="E30" s="6">
        <f>+'1.b sz. Önkormányzat 2022.'!CA30+'2.10. sz. Intézmények összesen'!E31</f>
        <v>2664419565</v>
      </c>
      <c r="F30" s="6">
        <f>+'1.b sz. Önkormányzat 2022.'!CB30+'2.10. sz. Intézmények összesen'!F31</f>
        <v>0</v>
      </c>
      <c r="G30" s="6">
        <f>+'1.b sz. Önkormányzat 2022.'!CC30+'2.10. sz. Intézmények összesen'!G31</f>
        <v>662017</v>
      </c>
      <c r="H30" s="6">
        <f>+'1.b sz. Önkormányzat 2022.'!CD30+'2.10. sz. Intézmények összesen'!H31</f>
        <v>0</v>
      </c>
      <c r="I30" s="6">
        <f>+'1.b sz. Önkormányzat 2022.'!CE30+'2.10. sz. Intézmények összesen'!I31</f>
        <v>25517026</v>
      </c>
      <c r="J30" s="6">
        <f t="shared" si="1"/>
        <v>1822145963</v>
      </c>
      <c r="K30" s="6">
        <f t="shared" si="2"/>
        <v>2690598608</v>
      </c>
      <c r="L30" s="6">
        <f>+'1.b sz. Önkormányzat 2022.'!CH30</f>
        <v>0</v>
      </c>
      <c r="M30" s="6">
        <f>+'1.b sz. Önkormányzat 2022.'!CI30</f>
        <v>0</v>
      </c>
      <c r="N30" s="13">
        <f t="shared" si="3"/>
        <v>-1822145963</v>
      </c>
      <c r="O30" s="13">
        <f>+O29-J29</f>
        <v>-14255990475</v>
      </c>
    </row>
    <row r="31" spans="1:26" ht="24.75" customHeight="1" x14ac:dyDescent="0.25">
      <c r="A31" s="748" t="s">
        <v>269</v>
      </c>
      <c r="B31" s="90" t="s">
        <v>226</v>
      </c>
      <c r="C31" s="93" t="s">
        <v>216</v>
      </c>
      <c r="D31" s="6">
        <f>+'1.b sz. Önkormányzat 2022.'!BZ31+'2.10. sz. Intézmények összesen'!D32</f>
        <v>0</v>
      </c>
      <c r="E31" s="6">
        <f>+'1.b sz. Önkormányzat 2022.'!CA31+'2.10. sz. Intézmények összesen'!E32</f>
        <v>54255209</v>
      </c>
      <c r="F31" s="6">
        <f>+'1.b sz. Önkormányzat 2022.'!CB31+'2.10. sz. Intézmények összesen'!F32</f>
        <v>0</v>
      </c>
      <c r="G31" s="6">
        <f>+'1.b sz. Önkormányzat 2022.'!CC31+'2.10. sz. Intézmények összesen'!G32</f>
        <v>0</v>
      </c>
      <c r="H31" s="6">
        <f>+'1.b sz. Önkormányzat 2022.'!CD31+'2.10. sz. Intézmények összesen'!H32</f>
        <v>0</v>
      </c>
      <c r="I31" s="6">
        <f>+'1.b sz. Önkormányzat 2022.'!CE31+'2.10. sz. Intézmények összesen'!I32</f>
        <v>0</v>
      </c>
      <c r="J31" s="6">
        <f t="shared" si="1"/>
        <v>0</v>
      </c>
      <c r="K31" s="6">
        <f t="shared" si="2"/>
        <v>54255209</v>
      </c>
      <c r="L31" s="6">
        <f>+'1.b sz. Önkormányzat 2022.'!CH31</f>
        <v>0</v>
      </c>
      <c r="M31" s="6">
        <f>+'1.b sz. Önkormányzat 2022.'!CI31</f>
        <v>49565206</v>
      </c>
      <c r="N31" s="13">
        <f t="shared" si="3"/>
        <v>49565206</v>
      </c>
    </row>
    <row r="32" spans="1:26" ht="24.75" customHeight="1" x14ac:dyDescent="0.25">
      <c r="A32" s="748" t="s">
        <v>270</v>
      </c>
      <c r="B32" s="90" t="s">
        <v>225</v>
      </c>
      <c r="C32" s="93" t="s">
        <v>217</v>
      </c>
      <c r="D32" s="6">
        <f>+'1.b sz. Önkormányzat 2022.'!BZ32+'2.10. sz. Intézmények összesen'!D33</f>
        <v>3869339111</v>
      </c>
      <c r="E32" s="6">
        <f>+'1.b sz. Önkormányzat 2022.'!CA32+'2.10. sz. Intézmények összesen'!E33</f>
        <v>4719384433</v>
      </c>
      <c r="F32" s="6">
        <f>+'1.b sz. Önkormányzat 2022.'!CB32+'2.10. sz. Intézmények összesen'!F33</f>
        <v>0</v>
      </c>
      <c r="G32" s="6">
        <f>+'1.b sz. Önkormányzat 2022.'!CC32+'2.10. sz. Intézmények összesen'!G33</f>
        <v>0</v>
      </c>
      <c r="H32" s="6">
        <f>+'1.b sz. Önkormányzat 2022.'!CD32+'2.10. sz. Intézmények összesen'!H33</f>
        <v>4000000</v>
      </c>
      <c r="I32" s="6">
        <f>+'1.b sz. Önkormányzat 2022.'!CE32+'2.10. sz. Intézmények összesen'!I33</f>
        <v>4120000</v>
      </c>
      <c r="J32" s="6">
        <f t="shared" si="1"/>
        <v>3873339111</v>
      </c>
      <c r="K32" s="6">
        <f t="shared" si="2"/>
        <v>4723504433</v>
      </c>
      <c r="L32" s="6">
        <f>+'1.b sz. Önkormányzat 2022.'!CH32</f>
        <v>0</v>
      </c>
      <c r="M32" s="6">
        <f>+'1.b sz. Önkormányzat 2022.'!CI32</f>
        <v>0</v>
      </c>
      <c r="N32" s="13">
        <f t="shared" si="3"/>
        <v>-3873339111</v>
      </c>
      <c r="O32" s="13">
        <f>+J31+J34+J36</f>
        <v>726666403</v>
      </c>
    </row>
    <row r="33" spans="1:15" ht="24.75" customHeight="1" x14ac:dyDescent="0.25">
      <c r="A33" s="748" t="s">
        <v>271</v>
      </c>
      <c r="B33" s="91" t="s">
        <v>0</v>
      </c>
      <c r="C33" s="93" t="s">
        <v>218</v>
      </c>
      <c r="D33" s="6">
        <f>+'1.b sz. Önkormányzat 2022.'!BZ33+'2.10. sz. Intézmények összesen'!D34</f>
        <v>538397450</v>
      </c>
      <c r="E33" s="6">
        <f>+'1.b sz. Önkormányzat 2022.'!CA33+'2.10. sz. Intézmények összesen'!E34</f>
        <v>542600563</v>
      </c>
      <c r="F33" s="6">
        <f>+'1.b sz. Önkormányzat 2022.'!CB33+'2.10. sz. Intézmények összesen'!F34</f>
        <v>199318371</v>
      </c>
      <c r="G33" s="6">
        <f>+'1.b sz. Önkormányzat 2022.'!CC33+'2.10. sz. Intézmények összesen'!G34</f>
        <v>342110189</v>
      </c>
      <c r="H33" s="6">
        <f>+'1.b sz. Önkormányzat 2022.'!CD33+'2.10. sz. Intézmények összesen'!H34</f>
        <v>0</v>
      </c>
      <c r="I33" s="6">
        <f>+'1.b sz. Önkormányzat 2022.'!CE33+'2.10. sz. Intézmények összesen'!I34</f>
        <v>10778</v>
      </c>
      <c r="J33" s="6">
        <f>D33+F33+H33</f>
        <v>737715821</v>
      </c>
      <c r="K33" s="6">
        <f t="shared" si="2"/>
        <v>884721530</v>
      </c>
      <c r="L33" s="6">
        <f>+'1.b sz. Önkormányzat 2022.'!CH33</f>
        <v>0</v>
      </c>
      <c r="M33" s="6">
        <f>+'1.b sz. Önkormányzat 2022.'!CI33</f>
        <v>0</v>
      </c>
      <c r="N33" s="13">
        <f t="shared" si="3"/>
        <v>-737715821</v>
      </c>
    </row>
    <row r="34" spans="1:15" ht="24.75" customHeight="1" x14ac:dyDescent="0.25">
      <c r="A34" s="748" t="s">
        <v>272</v>
      </c>
      <c r="B34" s="90" t="s">
        <v>248</v>
      </c>
      <c r="C34" s="93" t="s">
        <v>219</v>
      </c>
      <c r="D34" s="6">
        <f>+'1.b sz. Önkormányzat 2022.'!BZ34+'2.10. sz. Intézmények összesen'!D35</f>
        <v>0</v>
      </c>
      <c r="E34" s="6">
        <f>+'1.b sz. Önkormányzat 2022.'!CA34+'2.10. sz. Intézmények összesen'!E35</f>
        <v>115000</v>
      </c>
      <c r="F34" s="6">
        <f>+'1.b sz. Önkormányzat 2022.'!CB34+'2.10. sz. Intézmények összesen'!F35</f>
        <v>720079203</v>
      </c>
      <c r="G34" s="6">
        <f>+'1.b sz. Önkormányzat 2022.'!CC34+'2.10. sz. Intézmények összesen'!G35</f>
        <v>741863797</v>
      </c>
      <c r="H34" s="6">
        <f>+'1.b sz. Önkormányzat 2022.'!CD34+'2.10. sz. Intézmények összesen'!H35</f>
        <v>0</v>
      </c>
      <c r="I34" s="6">
        <f>+'1.b sz. Önkormányzat 2022.'!CE34+'2.10. sz. Intézmények összesen'!I35</f>
        <v>0</v>
      </c>
      <c r="J34" s="6">
        <f t="shared" si="1"/>
        <v>720079203</v>
      </c>
      <c r="K34" s="6">
        <f t="shared" si="2"/>
        <v>741978797</v>
      </c>
      <c r="L34" s="6">
        <f>+'1.b sz. Önkormányzat 2022.'!CH34</f>
        <v>0</v>
      </c>
      <c r="M34" s="6">
        <f>+'1.b sz. Önkormányzat 2022.'!CI34</f>
        <v>0</v>
      </c>
      <c r="N34" s="13">
        <f t="shared" si="3"/>
        <v>-720079203</v>
      </c>
    </row>
    <row r="35" spans="1:15" ht="24.75" customHeight="1" x14ac:dyDescent="0.25">
      <c r="A35" s="748" t="s">
        <v>273</v>
      </c>
      <c r="B35" s="90" t="s">
        <v>243</v>
      </c>
      <c r="C35" s="93" t="s">
        <v>220</v>
      </c>
      <c r="D35" s="6">
        <f>+'1.b sz. Önkormányzat 2022.'!BZ35+'2.10. sz. Intézmények összesen'!D36</f>
        <v>0</v>
      </c>
      <c r="E35" s="6">
        <f>+'1.b sz. Önkormányzat 2022.'!CA35+'2.10. sz. Intézmények összesen'!E36</f>
        <v>295000</v>
      </c>
      <c r="F35" s="6">
        <f>+'1.b sz. Önkormányzat 2022.'!CB35+'2.10. sz. Intézmények összesen'!F36</f>
        <v>0</v>
      </c>
      <c r="G35" s="6">
        <f>+'1.b sz. Önkormányzat 2022.'!CC35+'2.10. sz. Intézmények összesen'!G36</f>
        <v>0</v>
      </c>
      <c r="H35" s="6">
        <f>+'1.b sz. Önkormányzat 2022.'!CD35+'2.10. sz. Intézmények összesen'!H36</f>
        <v>0</v>
      </c>
      <c r="I35" s="6">
        <f>+'1.b sz. Önkormányzat 2022.'!CE35+'2.10. sz. Intézmények összesen'!I36</f>
        <v>0</v>
      </c>
      <c r="J35" s="6">
        <f t="shared" si="1"/>
        <v>0</v>
      </c>
      <c r="K35" s="6">
        <f t="shared" si="2"/>
        <v>295000</v>
      </c>
      <c r="L35" s="6">
        <f>+'1.b sz. Önkormányzat 2022.'!CH35</f>
        <v>0</v>
      </c>
      <c r="M35" s="6">
        <f>+'1.b sz. Önkormányzat 2022.'!CI35</f>
        <v>0</v>
      </c>
      <c r="N35" s="13">
        <f t="shared" si="3"/>
        <v>0</v>
      </c>
    </row>
    <row r="36" spans="1:15" ht="24.75" customHeight="1" x14ac:dyDescent="0.25">
      <c r="A36" s="748" t="s">
        <v>274</v>
      </c>
      <c r="B36" s="90" t="s">
        <v>244</v>
      </c>
      <c r="C36" s="93" t="s">
        <v>221</v>
      </c>
      <c r="D36" s="6">
        <f>+'1.b sz. Önkormányzat 2022.'!BZ36+'2.10. sz. Intézmények összesen'!D37</f>
        <v>5088400</v>
      </c>
      <c r="E36" s="6">
        <f>+'1.b sz. Önkormányzat 2022.'!CA36+'2.10. sz. Intézmények összesen'!E37</f>
        <v>7052000</v>
      </c>
      <c r="F36" s="6">
        <f>+'1.b sz. Önkormányzat 2022.'!CB36+'2.10. sz. Intézmények összesen'!F37</f>
        <v>1498800</v>
      </c>
      <c r="G36" s="6">
        <f>+'1.b sz. Önkormányzat 2022.'!CC36+'2.10. sz. Intézmények összesen'!G37</f>
        <v>2489550</v>
      </c>
      <c r="H36" s="6">
        <f>+'1.b sz. Önkormányzat 2022.'!CD36+'2.10. sz. Intézmények összesen'!H37</f>
        <v>0</v>
      </c>
      <c r="I36" s="6">
        <f>+'1.b sz. Önkormányzat 2022.'!CE36+'2.10. sz. Intézmények összesen'!I37</f>
        <v>0</v>
      </c>
      <c r="J36" s="6">
        <f t="shared" si="1"/>
        <v>6587200</v>
      </c>
      <c r="K36" s="6">
        <f t="shared" si="2"/>
        <v>9541550</v>
      </c>
      <c r="L36" s="6">
        <f>+'1.b sz. Önkormányzat 2022.'!CH36</f>
        <v>0</v>
      </c>
      <c r="M36" s="6">
        <f>+'1.b sz. Önkormányzat 2022.'!CI36</f>
        <v>0</v>
      </c>
      <c r="N36" s="13">
        <f t="shared" si="3"/>
        <v>-6587200</v>
      </c>
    </row>
    <row r="37" spans="1:15" s="2" customFormat="1" ht="24.75" customHeight="1" x14ac:dyDescent="0.25">
      <c r="A37" s="748" t="s">
        <v>275</v>
      </c>
      <c r="B37" s="91" t="s">
        <v>245</v>
      </c>
      <c r="C37" s="93" t="s">
        <v>222</v>
      </c>
      <c r="D37" s="7">
        <f>+'1.b sz. Önkormányzat 2022.'!BZ37+'2.10. sz. Intézmények összesen'!D38</f>
        <v>6234970924</v>
      </c>
      <c r="E37" s="7">
        <f>+'1.b sz. Önkormányzat 2022.'!CA37+'2.10. sz. Intézmények összesen'!E38</f>
        <v>7988121770</v>
      </c>
      <c r="F37" s="7">
        <f>+'1.b sz. Önkormányzat 2022.'!CB37+'2.10. sz. Intézmények összesen'!F38</f>
        <v>920896374</v>
      </c>
      <c r="G37" s="7">
        <f>+'1.b sz. Önkormányzat 2022.'!CC37+'2.10. sz. Intézmények összesen'!G38</f>
        <v>1087125553</v>
      </c>
      <c r="H37" s="7">
        <f>+'1.b sz. Önkormányzat 2022.'!CD37+'2.10. sz. Intézmények összesen'!H38</f>
        <v>4000000</v>
      </c>
      <c r="I37" s="7">
        <f>+'1.b sz. Önkormányzat 2022.'!CE37+'2.10. sz. Intézmények összesen'!I38</f>
        <v>29647804</v>
      </c>
      <c r="J37" s="7">
        <f t="shared" si="1"/>
        <v>7159867298</v>
      </c>
      <c r="K37" s="7">
        <f t="shared" si="2"/>
        <v>9104895127</v>
      </c>
      <c r="L37" s="6">
        <f>+'1.b sz. Önkormányzat 2022.'!CH37</f>
        <v>0</v>
      </c>
      <c r="M37" s="6">
        <f>+'1.b sz. Önkormányzat 2022.'!CI37</f>
        <v>49565206</v>
      </c>
      <c r="N37" s="13">
        <f t="shared" si="3"/>
        <v>-7110302092</v>
      </c>
    </row>
    <row r="38" spans="1:15" s="2" customFormat="1" ht="24.75" customHeight="1" x14ac:dyDescent="0.25">
      <c r="A38" s="748" t="s">
        <v>276</v>
      </c>
      <c r="B38" s="93" t="s">
        <v>246</v>
      </c>
      <c r="C38" s="1" t="s">
        <v>224</v>
      </c>
      <c r="D38" s="6">
        <f>+'1.b sz. Önkormányzat 2022.'!BZ38+'2.10. sz. Intézmények összesen'!D39</f>
        <v>7096123177</v>
      </c>
      <c r="E38" s="6">
        <f>+'1.b sz. Önkormányzat 2022.'!CA38+'2.10. sz. Intézmények összesen'!E39</f>
        <v>7941777357</v>
      </c>
      <c r="F38" s="6">
        <f>+'1.b sz. Önkormányzat 2022.'!CB38+'2.10. sz. Intézmények összesen'!F39</f>
        <v>0</v>
      </c>
      <c r="G38" s="6">
        <f>+'1.b sz. Önkormányzat 2022.'!CC38+'2.10. sz. Intézmények összesen'!G39</f>
        <v>0</v>
      </c>
      <c r="H38" s="6">
        <f>+'1.b sz. Önkormányzat 2022.'!CD38+'2.10. sz. Intézmények összesen'!H39</f>
        <v>0</v>
      </c>
      <c r="I38" s="6">
        <f>+'1.b sz. Önkormányzat 2022.'!CE38+'2.10. sz. Intézmények összesen'!I39</f>
        <v>0</v>
      </c>
      <c r="J38" s="6">
        <f t="shared" si="1"/>
        <v>7096123177</v>
      </c>
      <c r="K38" s="6">
        <f t="shared" si="2"/>
        <v>7941777357</v>
      </c>
      <c r="L38" s="6">
        <f>+'1.b sz. Önkormányzat 2022.'!CH38</f>
        <v>0</v>
      </c>
      <c r="M38" s="6">
        <f>+'1.b sz. Önkormányzat 2022.'!CI38</f>
        <v>0</v>
      </c>
      <c r="N38" s="13">
        <f t="shared" si="3"/>
        <v>-7096123177</v>
      </c>
    </row>
    <row r="39" spans="1:15" s="2" customFormat="1" ht="24.75" customHeight="1" x14ac:dyDescent="0.25">
      <c r="A39" s="748" t="s">
        <v>277</v>
      </c>
      <c r="B39" s="94" t="s">
        <v>582</v>
      </c>
      <c r="C39" s="1"/>
      <c r="D39" s="6">
        <f>+'1.b sz. Önkormányzat 2022.'!BZ39+'2.10. sz. Intézmények összesen'!D40</f>
        <v>0</v>
      </c>
      <c r="E39" s="6">
        <f>+'1.b sz. Önkormányzat 2022.'!CA39+'2.10. sz. Intézmények összesen'!E40</f>
        <v>367105047</v>
      </c>
      <c r="F39" s="6">
        <f>+'1.b sz. Önkormányzat 2022.'!CB39+'2.10. sz. Intézmények összesen'!F40</f>
        <v>0</v>
      </c>
      <c r="G39" s="6">
        <f>+'1.b sz. Önkormányzat 2022.'!CC39+'2.10. sz. Intézmények összesen'!G40</f>
        <v>0</v>
      </c>
      <c r="H39" s="6">
        <f>+'1.b sz. Önkormányzat 2022.'!CD39+'2.10. sz. Intézmények összesen'!H40</f>
        <v>0</v>
      </c>
      <c r="I39" s="6">
        <f>+'1.b sz. Önkormányzat 2022.'!CE39+'2.10. sz. Intézmények összesen'!I40</f>
        <v>0</v>
      </c>
      <c r="J39" s="6">
        <f t="shared" si="1"/>
        <v>0</v>
      </c>
      <c r="K39" s="6">
        <f t="shared" si="2"/>
        <v>367105047</v>
      </c>
      <c r="L39" s="6">
        <f>+'1.b sz. Önkormányzat 2022.'!CH39</f>
        <v>0</v>
      </c>
      <c r="M39" s="6">
        <f>+'1.b sz. Önkormányzat 2022.'!CI39</f>
        <v>0</v>
      </c>
      <c r="N39" s="13">
        <f t="shared" si="3"/>
        <v>0</v>
      </c>
    </row>
    <row r="40" spans="1:15" s="16" customFormat="1" ht="24.75" customHeight="1" x14ac:dyDescent="0.25">
      <c r="A40" s="748" t="s">
        <v>278</v>
      </c>
      <c r="B40" s="94" t="s">
        <v>882</v>
      </c>
      <c r="C40" s="15"/>
      <c r="D40" s="6">
        <f>+'1.b sz. Önkormányzat 2022.'!BZ40+'2.10. sz. Intézmények összesen'!D41</f>
        <v>2257836308</v>
      </c>
      <c r="E40" s="6">
        <f>+'1.b sz. Önkormányzat 2022.'!CA40+'2.10. sz. Intézmények összesen'!E41</f>
        <v>2417169015</v>
      </c>
      <c r="F40" s="6">
        <f>+'1.b sz. Önkormányzat 2022.'!CB40+'2.10. sz. Intézmények összesen'!F41</f>
        <v>0</v>
      </c>
      <c r="G40" s="6">
        <f>+'1.b sz. Önkormányzat 2022.'!CC40+'2.10. sz. Intézmények összesen'!G41</f>
        <v>0</v>
      </c>
      <c r="H40" s="6">
        <f>+'1.b sz. Önkormányzat 2022.'!CD40+'2.10. sz. Intézmények összesen'!H41</f>
        <v>0</v>
      </c>
      <c r="I40" s="6">
        <f>+'1.b sz. Önkormányzat 2022.'!CE40+'2.10. sz. Intézmények összesen'!I41</f>
        <v>0</v>
      </c>
      <c r="J40" s="6">
        <f t="shared" si="1"/>
        <v>2257836308</v>
      </c>
      <c r="K40" s="6">
        <f t="shared" si="2"/>
        <v>2417169015</v>
      </c>
      <c r="L40" s="6">
        <f>+'1.b sz. Önkormányzat 2022.'!CH40</f>
        <v>0</v>
      </c>
      <c r="M40" s="6">
        <f>+'1.b sz. Önkormányzat 2022.'!CI40</f>
        <v>0</v>
      </c>
      <c r="N40" s="13">
        <f t="shared" si="3"/>
        <v>-2257836308</v>
      </c>
      <c r="O40" s="316"/>
    </row>
    <row r="41" spans="1:15" s="16" customFormat="1" ht="24.75" customHeight="1" x14ac:dyDescent="0.25">
      <c r="A41" s="748" t="s">
        <v>282</v>
      </c>
      <c r="B41" s="94" t="s">
        <v>883</v>
      </c>
      <c r="C41" s="15"/>
      <c r="D41" s="6">
        <f>+'1.b sz. Önkormányzat 2022.'!BZ41+'2.10. sz. Intézmények összesen'!D42</f>
        <v>1262494826</v>
      </c>
      <c r="E41" s="6">
        <f>+'1.b sz. Önkormányzat 2022.'!CA41+'2.10. sz. Intézmények összesen'!E42</f>
        <v>1372755016</v>
      </c>
      <c r="F41" s="6">
        <f>+'1.b sz. Önkormányzat 2022.'!CB41+'2.10. sz. Intézmények összesen'!F42</f>
        <v>0</v>
      </c>
      <c r="G41" s="6">
        <f>+'1.b sz. Önkormányzat 2022.'!CC41+'2.10. sz. Intézmények összesen'!G42</f>
        <v>0</v>
      </c>
      <c r="H41" s="6">
        <f>+'1.b sz. Önkormányzat 2022.'!CD41+'2.10. sz. Intézmények összesen'!H42</f>
        <v>0</v>
      </c>
      <c r="I41" s="6">
        <f>+'1.b sz. Önkormányzat 2022.'!CE41+'2.10. sz. Intézmények összesen'!I42</f>
        <v>0</v>
      </c>
      <c r="J41" s="6">
        <f t="shared" si="1"/>
        <v>1262494826</v>
      </c>
      <c r="K41" s="6">
        <f t="shared" si="2"/>
        <v>1372755016</v>
      </c>
      <c r="L41" s="6">
        <f>+'1.b sz. Önkormányzat 2022.'!CH41</f>
        <v>0</v>
      </c>
      <c r="M41" s="6">
        <f>+'1.b sz. Önkormányzat 2022.'!CI41</f>
        <v>0</v>
      </c>
      <c r="N41" s="13">
        <f t="shared" si="3"/>
        <v>-1262494826</v>
      </c>
      <c r="O41" s="316"/>
    </row>
    <row r="42" spans="1:15" s="16" customFormat="1" ht="24.75" customHeight="1" x14ac:dyDescent="0.25">
      <c r="A42" s="748" t="s">
        <v>283</v>
      </c>
      <c r="B42" s="94" t="s">
        <v>554</v>
      </c>
      <c r="C42" s="15"/>
      <c r="D42" s="6">
        <f>+'1.b sz. Önkormányzat 2022.'!BZ42+'2.10. sz. Intézmények összesen'!D43</f>
        <v>3513510223</v>
      </c>
      <c r="E42" s="6">
        <f>+'1.b sz. Önkormányzat 2022.'!CA42+'2.10. sz. Intézmények összesen'!E43</f>
        <v>3686246941</v>
      </c>
      <c r="F42" s="6">
        <f>+'1.b sz. Önkormányzat 2022.'!CB42+'2.10. sz. Intézmények összesen'!F43</f>
        <v>0</v>
      </c>
      <c r="G42" s="6">
        <f>+'1.b sz. Önkormányzat 2022.'!CC42+'2.10. sz. Intézmények összesen'!G43</f>
        <v>0</v>
      </c>
      <c r="H42" s="6">
        <f>+'1.b sz. Önkormányzat 2022.'!CD42+'2.10. sz. Intézmények összesen'!H43</f>
        <v>0</v>
      </c>
      <c r="I42" s="6">
        <f>+'1.b sz. Önkormányzat 2022.'!CE42+'2.10. sz. Intézmények összesen'!I43</f>
        <v>0</v>
      </c>
      <c r="J42" s="6">
        <f t="shared" si="1"/>
        <v>3513510223</v>
      </c>
      <c r="K42" s="6">
        <f t="shared" si="2"/>
        <v>3686246941</v>
      </c>
      <c r="L42" s="6">
        <f>+'1.b sz. Önkormányzat 2022.'!CH42</f>
        <v>0</v>
      </c>
      <c r="M42" s="6">
        <f>+'1.b sz. Önkormányzat 2022.'!CI42</f>
        <v>0</v>
      </c>
      <c r="N42" s="13">
        <f t="shared" si="3"/>
        <v>-3513510223</v>
      </c>
    </row>
    <row r="43" spans="1:15" s="16" customFormat="1" ht="24.75" customHeight="1" x14ac:dyDescent="0.25">
      <c r="A43" s="748" t="s">
        <v>284</v>
      </c>
      <c r="B43" s="94" t="s">
        <v>555</v>
      </c>
      <c r="C43" s="15"/>
      <c r="D43" s="6">
        <f>+'1.b sz. Önkormányzat 2022.'!BZ43+'2.10. sz. Intézmények összesen'!D44</f>
        <v>62281820</v>
      </c>
      <c r="E43" s="6">
        <f>+'1.b sz. Önkormányzat 2022.'!CA43+'2.10. sz. Intézmények összesen'!E44</f>
        <v>98501338</v>
      </c>
      <c r="F43" s="6">
        <f>+'1.b sz. Önkormányzat 2022.'!CB43+'2.10. sz. Intézmények összesen'!F44</f>
        <v>0</v>
      </c>
      <c r="G43" s="6">
        <f>+'1.b sz. Önkormányzat 2022.'!CC43+'2.10. sz. Intézmények összesen'!G44</f>
        <v>0</v>
      </c>
      <c r="H43" s="6">
        <f>+'1.b sz. Önkormányzat 2022.'!CD43+'2.10. sz. Intézmények összesen'!H44</f>
        <v>0</v>
      </c>
      <c r="I43" s="6">
        <f>+'1.b sz. Önkormányzat 2022.'!CE43+'2.10. sz. Intézmények összesen'!I44</f>
        <v>0</v>
      </c>
      <c r="J43" s="6">
        <f t="shared" si="1"/>
        <v>62281820</v>
      </c>
      <c r="K43" s="6">
        <f t="shared" si="2"/>
        <v>98501338</v>
      </c>
      <c r="L43" s="6">
        <f>+'1.b sz. Önkormányzat 2022.'!CH43</f>
        <v>0</v>
      </c>
      <c r="M43" s="6">
        <f>+'1.b sz. Önkormányzat 2022.'!CI43</f>
        <v>0</v>
      </c>
      <c r="N43" s="13">
        <f t="shared" si="3"/>
        <v>-62281820</v>
      </c>
    </row>
    <row r="44" spans="1:15" s="16" customFormat="1" ht="24.75" customHeight="1" x14ac:dyDescent="0.25">
      <c r="A44" s="748" t="s">
        <v>285</v>
      </c>
      <c r="B44" s="94" t="s">
        <v>592</v>
      </c>
      <c r="C44" s="15"/>
      <c r="D44" s="6">
        <f>+'1.b sz. Önkormányzat 2022.'!BZ44+'2.10. sz. Intézmények összesen'!D45</f>
        <v>0</v>
      </c>
      <c r="E44" s="6">
        <f>+'1.b sz. Önkormányzat 2022.'!CA44+'2.10. sz. Intézmények összesen'!E45</f>
        <v>0</v>
      </c>
      <c r="F44" s="6">
        <f>+'1.b sz. Önkormányzat 2022.'!CB44+'2.10. sz. Intézmények összesen'!F45</f>
        <v>0</v>
      </c>
      <c r="G44" s="6">
        <f>+'1.b sz. Önkormányzat 2022.'!CC44+'2.10. sz. Intézmények összesen'!G45</f>
        <v>0</v>
      </c>
      <c r="H44" s="6">
        <f>+'1.b sz. Önkormányzat 2022.'!CD44+'2.10. sz. Intézmények összesen'!H45</f>
        <v>0</v>
      </c>
      <c r="I44" s="6">
        <f>+'1.b sz. Önkormányzat 2022.'!CE44+'2.10. sz. Intézmények összesen'!I45</f>
        <v>0</v>
      </c>
      <c r="J44" s="6">
        <f t="shared" si="1"/>
        <v>0</v>
      </c>
      <c r="K44" s="6">
        <f t="shared" si="2"/>
        <v>0</v>
      </c>
      <c r="L44" s="6">
        <f>+'1.b sz. Önkormányzat 2022.'!CH44</f>
        <v>0</v>
      </c>
      <c r="M44" s="6">
        <f>+'1.b sz. Önkormányzat 2022.'!CI44</f>
        <v>0</v>
      </c>
      <c r="N44" s="13">
        <f t="shared" si="3"/>
        <v>0</v>
      </c>
    </row>
    <row r="45" spans="1:15" s="16" customFormat="1" ht="24.75" customHeight="1" x14ac:dyDescent="0.25">
      <c r="A45" s="748" t="s">
        <v>286</v>
      </c>
      <c r="B45" s="94" t="s">
        <v>846</v>
      </c>
      <c r="C45" s="15"/>
      <c r="D45" s="6">
        <f>+'1.b sz. Önkormányzat 2022.'!BZ45+'2.10. sz. Intézmények összesen'!D46</f>
        <v>0</v>
      </c>
      <c r="E45" s="6">
        <f>+'1.b sz. Önkormányzat 2022.'!CA45+'2.10. sz. Intézmények összesen'!E46</f>
        <v>0</v>
      </c>
      <c r="F45" s="6">
        <f>+'1.b sz. Önkormányzat 2022.'!CB45+'2.10. sz. Intézmények összesen'!F46</f>
        <v>0</v>
      </c>
      <c r="G45" s="6">
        <f>+'1.b sz. Önkormányzat 2022.'!CC45+'2.10. sz. Intézmények összesen'!G46</f>
        <v>0</v>
      </c>
      <c r="H45" s="6">
        <f>+'1.b sz. Önkormányzat 2022.'!CD45+'2.10. sz. Intézmények összesen'!H46</f>
        <v>0</v>
      </c>
      <c r="I45" s="6">
        <f>+'1.b sz. Önkormányzat 2022.'!CE45+'2.10. sz. Intézmények összesen'!I46</f>
        <v>0</v>
      </c>
      <c r="J45" s="6">
        <f t="shared" si="1"/>
        <v>0</v>
      </c>
      <c r="K45" s="6">
        <f t="shared" si="2"/>
        <v>0</v>
      </c>
      <c r="L45" s="6">
        <f>+'1.b sz. Önkormányzat 2022.'!CH45</f>
        <v>0</v>
      </c>
      <c r="M45" s="6">
        <f>+'1.b sz. Önkormányzat 2022.'!CI45</f>
        <v>0</v>
      </c>
      <c r="N45" s="13"/>
    </row>
    <row r="46" spans="1:15" s="2" customFormat="1" ht="24.75" customHeight="1" x14ac:dyDescent="0.25">
      <c r="A46" s="748" t="s">
        <v>287</v>
      </c>
      <c r="B46" s="48" t="s">
        <v>112</v>
      </c>
      <c r="C46" s="1"/>
      <c r="D46" s="7">
        <f>+'1.b sz. Önkormányzat 2022.'!BZ46+'2.10. sz. Intézmények összesen'!D47</f>
        <v>12001229055</v>
      </c>
      <c r="E46" s="7">
        <f>+'1.b sz. Önkormányzat 2022.'!CA46+'2.10. sz. Intézmények összesen'!E47</f>
        <v>14397220564</v>
      </c>
      <c r="F46" s="7">
        <f>+'1.b sz. Önkormányzat 2022.'!CB46+'2.10. sz. Intézmények összesen'!F47</f>
        <v>199318371</v>
      </c>
      <c r="G46" s="7">
        <f>+'1.b sz. Önkormányzat 2022.'!CC46+'2.10. sz. Intézmények összesen'!G47</f>
        <v>342772206</v>
      </c>
      <c r="H46" s="7">
        <f>+'1.b sz. Önkormányzat 2022.'!CD46+'2.10. sz. Intézmények összesen'!H47</f>
        <v>4000000</v>
      </c>
      <c r="I46" s="7">
        <f>+'1.b sz. Önkormányzat 2022.'!CE46+'2.10. sz. Intézmények összesen'!I47</f>
        <v>29647804</v>
      </c>
      <c r="J46" s="7">
        <f t="shared" si="1"/>
        <v>12204547426</v>
      </c>
      <c r="K46" s="7">
        <f t="shared" si="2"/>
        <v>14769640574</v>
      </c>
      <c r="L46" s="6">
        <f>+'1.b sz. Önkormányzat 2022.'!CH46</f>
        <v>0</v>
      </c>
      <c r="M46" s="6">
        <f>+'1.b sz. Önkormányzat 2022.'!CI46</f>
        <v>0</v>
      </c>
      <c r="N46" s="13">
        <f>+M46-J46</f>
        <v>-12204547426</v>
      </c>
    </row>
    <row r="47" spans="1:15" s="2" customFormat="1" ht="24.75" customHeight="1" x14ac:dyDescent="0.25">
      <c r="A47" s="748" t="s">
        <v>288</v>
      </c>
      <c r="B47" s="48" t="s">
        <v>113</v>
      </c>
      <c r="C47" s="1"/>
      <c r="D47" s="7">
        <f>+'1.b sz. Önkormányzat 2022.'!BZ47+'2.10. sz. Intézmények összesen'!D48</f>
        <v>1329865046</v>
      </c>
      <c r="E47" s="7">
        <f>+'1.b sz. Önkormányzat 2022.'!CA47+'2.10. sz. Intézmények összesen'!E48</f>
        <v>1532678563</v>
      </c>
      <c r="F47" s="7">
        <f>+'1.b sz. Önkormányzat 2022.'!CB47+'2.10. sz. Intézmények összesen'!F48</f>
        <v>721578003</v>
      </c>
      <c r="G47" s="7">
        <f>+'1.b sz. Önkormányzat 2022.'!CC47+'2.10. sz. Intézmények összesen'!G48</f>
        <v>744353347</v>
      </c>
      <c r="H47" s="7">
        <f>+'1.b sz. Önkormányzat 2022.'!CD47+'2.10. sz. Intézmények összesen'!H48</f>
        <v>0</v>
      </c>
      <c r="I47" s="7">
        <f>+'1.b sz. Önkormányzat 2022.'!CE47+'2.10. sz. Intézmények összesen'!I48</f>
        <v>0</v>
      </c>
      <c r="J47" s="7">
        <f t="shared" si="1"/>
        <v>2051443049</v>
      </c>
      <c r="K47" s="7">
        <f t="shared" si="2"/>
        <v>2277031910</v>
      </c>
      <c r="L47" s="6">
        <f>+'1.b sz. Önkormányzat 2022.'!CH47</f>
        <v>0</v>
      </c>
      <c r="M47" s="6">
        <f>+'1.b sz. Önkormányzat 2022.'!CI47</f>
        <v>49565206</v>
      </c>
      <c r="N47" s="13">
        <f>+M47-J47</f>
        <v>-2001877843</v>
      </c>
      <c r="O47" s="230"/>
    </row>
    <row r="48" spans="1:15" s="2" customFormat="1" ht="24.75" customHeight="1" x14ac:dyDescent="0.25">
      <c r="A48" s="748" t="s">
        <v>289</v>
      </c>
      <c r="B48" s="48" t="s">
        <v>334</v>
      </c>
      <c r="C48" s="1" t="s">
        <v>894</v>
      </c>
      <c r="D48" s="7">
        <f>+'1.b sz. Önkormányzat 2022.'!BZ48+'2.10. sz. Intézmények összesen'!D49</f>
        <v>13331094101</v>
      </c>
      <c r="E48" s="7">
        <f>+'1.b sz. Önkormányzat 2022.'!CA48+'2.10. sz. Intézmények összesen'!E49</f>
        <v>15929899127</v>
      </c>
      <c r="F48" s="7">
        <f>+'1.b sz. Önkormányzat 2022.'!CB48+'2.10. sz. Intézmények összesen'!F49</f>
        <v>920896374</v>
      </c>
      <c r="G48" s="7">
        <f>+'1.b sz. Önkormányzat 2022.'!CC48+'2.10. sz. Intézmények összesen'!G49</f>
        <v>1087125553</v>
      </c>
      <c r="H48" s="7">
        <f>+'1.b sz. Önkormányzat 2022.'!CD48+'2.10. sz. Intézmények összesen'!H49</f>
        <v>4000000</v>
      </c>
      <c r="I48" s="7">
        <f>+'1.b sz. Önkormányzat 2022.'!CE48+'2.10. sz. Intézmények összesen'!I49</f>
        <v>29647804</v>
      </c>
      <c r="J48" s="7">
        <f t="shared" si="1"/>
        <v>14255990475</v>
      </c>
      <c r="K48" s="7">
        <f>E48+G48+I48</f>
        <v>17046672484</v>
      </c>
      <c r="L48" s="6">
        <f>+'1.b sz. Önkormányzat 2022.'!CH48</f>
        <v>0</v>
      </c>
      <c r="M48" s="6">
        <f>+'1.b sz. Önkormányzat 2022.'!CI48</f>
        <v>49565206</v>
      </c>
      <c r="N48" s="13">
        <f>+M48-J48</f>
        <v>-14206425269</v>
      </c>
    </row>
    <row r="49" spans="1:16" s="2" customFormat="1" ht="24.75" customHeight="1" x14ac:dyDescent="0.25">
      <c r="A49" s="748" t="s">
        <v>290</v>
      </c>
      <c r="B49" s="380" t="s">
        <v>450</v>
      </c>
      <c r="C49" s="1"/>
      <c r="D49" s="6">
        <f>+'1.b sz. Önkormányzat 2022.'!BZ49+'2.10. sz. Intézmények összesen'!D50</f>
        <v>355</v>
      </c>
      <c r="E49" s="6">
        <f>+'1.b sz. Önkormányzat 2022.'!CA49+'2.10. sz. Intézmények összesen'!E50</f>
        <v>355</v>
      </c>
      <c r="F49" s="6">
        <f>+'1.b sz. Önkormányzat 2022.'!CB49+'2.10. sz. Intézmények összesen'!F50</f>
        <v>19</v>
      </c>
      <c r="G49" s="6">
        <f>+'1.b sz. Önkormányzat 2022.'!CC49+'2.10. sz. Intézmények összesen'!G50</f>
        <v>19</v>
      </c>
      <c r="H49" s="6">
        <f>+'1.b sz. Önkormányzat 2022.'!CD49+'2.10. sz. Intézmények összesen'!H50</f>
        <v>9</v>
      </c>
      <c r="I49" s="6">
        <f>+'1.b sz. Önkormányzat 2022.'!CE49+'2.10. sz. Intézmények összesen'!I50</f>
        <v>9</v>
      </c>
      <c r="J49" s="6">
        <f t="shared" si="1"/>
        <v>383</v>
      </c>
      <c r="K49" s="6">
        <f t="shared" si="2"/>
        <v>383</v>
      </c>
      <c r="L49" s="6">
        <f>+'1.b sz. Önkormányzat 2022.'!CH49</f>
        <v>0</v>
      </c>
      <c r="M49" s="6">
        <f>+'1.b sz. Önkormányzat 2022.'!CI49</f>
        <v>0</v>
      </c>
      <c r="N49" s="13">
        <f>+M49-J49</f>
        <v>-383</v>
      </c>
    </row>
    <row r="50" spans="1:16" s="2" customFormat="1" ht="24.75" customHeight="1" x14ac:dyDescent="0.25">
      <c r="A50" s="748" t="s">
        <v>291</v>
      </c>
      <c r="B50" s="48" t="s">
        <v>1357</v>
      </c>
      <c r="C50" s="1"/>
      <c r="D50" s="6">
        <f>+'1.b sz. Önkormányzat 2022.'!BZ50+'2.10. sz. Intézmények összesen'!D51</f>
        <v>940000000</v>
      </c>
      <c r="E50" s="6">
        <f>+'1.b sz. Önkormányzat 2022.'!CA50+'2.10. sz. Intézmények összesen'!E51</f>
        <v>905879500</v>
      </c>
      <c r="F50" s="6">
        <f>+'1.b sz. Önkormányzat 2022.'!CB50+'2.10. sz. Intézmények összesen'!F51</f>
        <v>0</v>
      </c>
      <c r="G50" s="6">
        <f>+'1.b sz. Önkormányzat 2022.'!CC50+'2.10. sz. Intézmények összesen'!G51</f>
        <v>0</v>
      </c>
      <c r="H50" s="6">
        <f>+'1.b sz. Önkormányzat 2022.'!CD50+'2.10. sz. Intézmények összesen'!H51</f>
        <v>0</v>
      </c>
      <c r="I50" s="6">
        <f>+'1.b sz. Önkormányzat 2022.'!CE50+'2.10. sz. Intézmények összesen'!I51</f>
        <v>0</v>
      </c>
      <c r="J50" s="6">
        <f t="shared" si="1"/>
        <v>940000000</v>
      </c>
      <c r="K50" s="6">
        <f t="shared" si="2"/>
        <v>905879500</v>
      </c>
      <c r="L50" s="6">
        <f>+'1.b sz. Önkormányzat 2022.'!CH50</f>
        <v>0</v>
      </c>
      <c r="M50" s="6">
        <f>+'1.b sz. Önkormányzat 2022.'!CI50</f>
        <v>0</v>
      </c>
      <c r="N50" s="13">
        <f>+M50-J50</f>
        <v>-940000000</v>
      </c>
    </row>
    <row r="51" spans="1:16" x14ac:dyDescent="0.25">
      <c r="D51" s="13"/>
      <c r="E51" s="13"/>
      <c r="F51" s="13"/>
      <c r="G51" s="13"/>
      <c r="H51" s="13"/>
      <c r="I51" s="13"/>
      <c r="J51" s="13"/>
      <c r="K51" s="13"/>
      <c r="L51" s="13"/>
    </row>
    <row r="52" spans="1:16" x14ac:dyDescent="0.25">
      <c r="D52" s="13"/>
      <c r="E52" s="13"/>
      <c r="F52" s="13"/>
      <c r="G52" s="13"/>
      <c r="H52" s="13"/>
      <c r="I52" s="13"/>
      <c r="J52" s="13"/>
      <c r="K52" s="13"/>
      <c r="L52" s="13"/>
    </row>
    <row r="53" spans="1:16" ht="18.75" x14ac:dyDescent="0.3">
      <c r="J53" s="13"/>
      <c r="K53" s="13"/>
      <c r="L53" s="378">
        <f>+J48-J29</f>
        <v>0</v>
      </c>
      <c r="M53" s="378">
        <f>+K48-K29</f>
        <v>0</v>
      </c>
      <c r="N53" s="13">
        <f>+J48-J29</f>
        <v>0</v>
      </c>
      <c r="O53" s="37" t="s">
        <v>649</v>
      </c>
      <c r="P53" s="375">
        <f>'5.sz.Műk.c.pe.átadás'!K132+'6.sz. Beruházások'!Y184+'8.sz.Tartalékok'!E74</f>
        <v>905879500</v>
      </c>
    </row>
    <row r="55" spans="1:16" x14ac:dyDescent="0.25">
      <c r="H55" s="13"/>
      <c r="I55" s="13"/>
      <c r="J55" s="13"/>
      <c r="K55" s="13"/>
      <c r="L55" s="13">
        <f>+L53+L54</f>
        <v>0</v>
      </c>
    </row>
    <row r="56" spans="1:16" x14ac:dyDescent="0.25">
      <c r="J56" s="13" t="s">
        <v>744</v>
      </c>
      <c r="K56" s="13"/>
      <c r="L56" s="13" t="s">
        <v>745</v>
      </c>
      <c r="M56" s="4" t="s">
        <v>748</v>
      </c>
    </row>
    <row r="57" spans="1:16" x14ac:dyDescent="0.25">
      <c r="H57" s="4" t="s">
        <v>746</v>
      </c>
      <c r="J57" s="13">
        <f>+J8+J9+J10+J11+J12</f>
        <v>8502997555</v>
      </c>
      <c r="K57" s="13"/>
      <c r="L57" s="13">
        <f>+J16+J17+J18</f>
        <v>2085504817</v>
      </c>
      <c r="M57" s="13">
        <f>+J21</f>
        <v>3667488103</v>
      </c>
      <c r="N57" s="13">
        <f>+J57+L57+M57</f>
        <v>14255990475</v>
      </c>
    </row>
    <row r="58" spans="1:16" x14ac:dyDescent="0.25">
      <c r="H58" s="4" t="s">
        <v>747</v>
      </c>
      <c r="J58" s="13">
        <f>+J30+J32+J33+J35</f>
        <v>6433200895</v>
      </c>
      <c r="K58" s="13"/>
      <c r="L58" s="13">
        <f>+J31+J34+J36</f>
        <v>726666403</v>
      </c>
      <c r="M58" s="13">
        <f>+J38</f>
        <v>7096123177</v>
      </c>
      <c r="N58" s="13">
        <f>+J58+L58+M58</f>
        <v>14255990475</v>
      </c>
    </row>
    <row r="59" spans="1:16" x14ac:dyDescent="0.25">
      <c r="J59" s="13"/>
      <c r="K59" s="13"/>
    </row>
    <row r="60" spans="1:16" x14ac:dyDescent="0.25">
      <c r="H60" s="4" t="s">
        <v>1465</v>
      </c>
      <c r="J60" s="13">
        <f>+J37-J20</f>
        <v>-3428635074</v>
      </c>
      <c r="K60" s="13"/>
      <c r="O60" s="13">
        <f>+J30+J32+J33+J35</f>
        <v>6433200895</v>
      </c>
    </row>
    <row r="61" spans="1:16" x14ac:dyDescent="0.25">
      <c r="O61" s="13">
        <f>+J31+J34+J36</f>
        <v>726666403</v>
      </c>
    </row>
    <row r="62" spans="1:16" x14ac:dyDescent="0.25">
      <c r="J62" s="13">
        <f>+J40+J41-J22-J25</f>
        <v>3428635074</v>
      </c>
      <c r="K62" s="13"/>
      <c r="L62" s="13">
        <f>+J62-J60</f>
        <v>6857270148</v>
      </c>
    </row>
    <row r="64" spans="1:16" x14ac:dyDescent="0.25">
      <c r="J64" s="13">
        <f>+J48-J29</f>
        <v>0</v>
      </c>
      <c r="K64" s="13"/>
    </row>
    <row r="66" spans="8:12" x14ac:dyDescent="0.25">
      <c r="H66" s="4" t="s">
        <v>1463</v>
      </c>
      <c r="J66" s="13">
        <f>+J42+J43</f>
        <v>3575792043</v>
      </c>
      <c r="K66" s="13"/>
    </row>
    <row r="67" spans="8:12" x14ac:dyDescent="0.25">
      <c r="H67" s="4" t="s">
        <v>1464</v>
      </c>
      <c r="J67" s="13">
        <f>+J40+J41</f>
        <v>3520331134</v>
      </c>
      <c r="K67" s="13"/>
      <c r="L67" s="13"/>
    </row>
  </sheetData>
  <mergeCells count="18">
    <mergeCell ref="A2:C2"/>
    <mergeCell ref="A3:A6"/>
    <mergeCell ref="B3:C3"/>
    <mergeCell ref="B4:C4"/>
    <mergeCell ref="F4:F6"/>
    <mergeCell ref="B5:C5"/>
    <mergeCell ref="D4:D6"/>
    <mergeCell ref="L4:L6"/>
    <mergeCell ref="L2:M2"/>
    <mergeCell ref="M4:M6"/>
    <mergeCell ref="G4:G6"/>
    <mergeCell ref="I4:I6"/>
    <mergeCell ref="K4:K6"/>
    <mergeCell ref="J4:J6"/>
    <mergeCell ref="H4:H6"/>
    <mergeCell ref="D2:G2"/>
    <mergeCell ref="H2:K2"/>
    <mergeCell ref="E4:E6"/>
  </mergeCells>
  <phoneticPr fontId="45" type="noConversion"/>
  <printOptions horizontalCentered="1" verticalCentered="1"/>
  <pageMargins left="0.19685039370078741" right="0.19685039370078741" top="0.39370078740157483" bottom="0.39370078740157483" header="0.51181102362204722" footer="0.51181102362204722"/>
  <pageSetup paperSize="9" scale="50" fitToHeight="0" orientation="portrait" r:id="rId1"/>
  <headerFooter alignWithMargins="0">
    <oddHeader>&amp;C2022. évi költségvetés&amp;R&amp;A</oddHeader>
    <oddFooter>&amp;C&amp;P/&amp;N</oddFooter>
  </headerFooter>
  <colBreaks count="2" manualBreakCount="2">
    <brk id="7" max="49" man="1"/>
    <brk id="11" max="4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32"/>
  <sheetViews>
    <sheetView view="pageBreakPreview" topLeftCell="I19" zoomScale="90" zoomScaleNormal="100" zoomScaleSheetLayoutView="90" workbookViewId="0">
      <selection activeCell="Y23" sqref="Y23"/>
    </sheetView>
  </sheetViews>
  <sheetFormatPr defaultColWidth="9.140625" defaultRowHeight="12.75" x14ac:dyDescent="0.2"/>
  <cols>
    <col min="1" max="1" width="3.7109375" style="20" customWidth="1"/>
    <col min="2" max="2" width="4" style="20" customWidth="1"/>
    <col min="3" max="3" width="5" style="20" customWidth="1"/>
    <col min="4" max="4" width="45.7109375" style="20" customWidth="1"/>
    <col min="5" max="10" width="15.7109375" style="20" customWidth="1"/>
    <col min="11" max="11" width="16.85546875" style="20" customWidth="1"/>
    <col min="12" max="12" width="15.5703125" style="20" customWidth="1"/>
    <col min="13" max="13" width="15.7109375" style="20" customWidth="1"/>
    <col min="14" max="18" width="16" style="20" customWidth="1"/>
    <col min="19" max="19" width="15.85546875" style="20" customWidth="1"/>
    <col min="20" max="22" width="16" style="20" customWidth="1"/>
    <col min="23" max="23" width="16.85546875" style="20" customWidth="1"/>
    <col min="24" max="24" width="17.5703125" style="20" customWidth="1"/>
    <col min="25" max="25" width="15.28515625" style="20" customWidth="1"/>
    <col min="26" max="26" width="15.140625" style="20" customWidth="1"/>
    <col min="27" max="16384" width="9.140625" style="20"/>
  </cols>
  <sheetData>
    <row r="1" spans="1:26" ht="37.5" customHeight="1" x14ac:dyDescent="0.2">
      <c r="A1" s="1714" t="s">
        <v>67</v>
      </c>
      <c r="B1" s="1714"/>
      <c r="C1" s="1714"/>
      <c r="D1" s="1714"/>
      <c r="E1" s="1714"/>
      <c r="F1" s="1714"/>
      <c r="G1" s="1714"/>
      <c r="H1" s="1714"/>
      <c r="I1" s="1714"/>
      <c r="J1" s="1714"/>
      <c r="K1" s="1714"/>
      <c r="L1" s="1714"/>
      <c r="M1" s="1714"/>
      <c r="N1" s="1714"/>
      <c r="O1" s="1714" t="s">
        <v>67</v>
      </c>
      <c r="P1" s="1714"/>
      <c r="Q1" s="1714"/>
      <c r="R1" s="1714"/>
      <c r="S1" s="1714"/>
      <c r="T1" s="1714"/>
      <c r="U1" s="1714"/>
      <c r="V1" s="1714"/>
      <c r="W1" s="1714"/>
      <c r="X1" s="1714"/>
      <c r="Y1" s="1714"/>
      <c r="Z1" s="1714"/>
    </row>
    <row r="2" spans="1:26" ht="18.75" customHeight="1" x14ac:dyDescent="0.25">
      <c r="A2" s="704"/>
      <c r="B2" s="704"/>
      <c r="C2" s="704"/>
      <c r="D2" s="704"/>
      <c r="E2" s="704"/>
      <c r="F2" s="704"/>
      <c r="G2" s="704"/>
      <c r="H2" s="704"/>
      <c r="I2" s="704"/>
      <c r="J2" s="704"/>
      <c r="K2" s="704"/>
      <c r="L2" s="704"/>
      <c r="M2" s="704"/>
      <c r="N2" s="37" t="s">
        <v>444</v>
      </c>
      <c r="O2" s="4"/>
      <c r="P2" s="4"/>
      <c r="Q2" s="4"/>
      <c r="R2" s="4"/>
      <c r="S2" s="4"/>
      <c r="T2" s="704"/>
      <c r="U2" s="704"/>
      <c r="V2" s="704"/>
      <c r="W2" s="704"/>
      <c r="X2" s="704"/>
      <c r="Y2" s="704"/>
      <c r="Z2" s="37" t="s">
        <v>444</v>
      </c>
    </row>
    <row r="3" spans="1:26" ht="42" customHeight="1" x14ac:dyDescent="0.2">
      <c r="A3" s="1726" t="s">
        <v>53</v>
      </c>
      <c r="B3" s="1726" t="s">
        <v>742</v>
      </c>
      <c r="C3" s="1726" t="s">
        <v>55</v>
      </c>
      <c r="D3" s="1724" t="s">
        <v>2</v>
      </c>
      <c r="E3" s="751" t="s">
        <v>279</v>
      </c>
      <c r="F3" s="1115" t="s">
        <v>1512</v>
      </c>
      <c r="G3" s="1115" t="s">
        <v>279</v>
      </c>
      <c r="H3" s="1115" t="s">
        <v>1512</v>
      </c>
      <c r="I3" s="1115" t="s">
        <v>279</v>
      </c>
      <c r="J3" s="1115" t="s">
        <v>1512</v>
      </c>
      <c r="K3" s="1115" t="s">
        <v>279</v>
      </c>
      <c r="L3" s="1115" t="s">
        <v>1512</v>
      </c>
      <c r="M3" s="1115" t="s">
        <v>279</v>
      </c>
      <c r="N3" s="1116" t="s">
        <v>1512</v>
      </c>
      <c r="O3" s="756" t="s">
        <v>279</v>
      </c>
      <c r="P3" s="1116" t="s">
        <v>1512</v>
      </c>
      <c r="Q3" s="756" t="s">
        <v>279</v>
      </c>
      <c r="R3" s="1116" t="s">
        <v>1512</v>
      </c>
      <c r="S3" s="756" t="s">
        <v>279</v>
      </c>
      <c r="T3" s="1115" t="s">
        <v>1512</v>
      </c>
      <c r="U3" s="756" t="s">
        <v>279</v>
      </c>
      <c r="V3" s="1115" t="s">
        <v>1512</v>
      </c>
      <c r="W3" s="1115" t="s">
        <v>279</v>
      </c>
      <c r="X3" s="902" t="s">
        <v>1512</v>
      </c>
      <c r="Y3" s="1546" t="s">
        <v>279</v>
      </c>
      <c r="Z3" s="1546" t="s">
        <v>1512</v>
      </c>
    </row>
    <row r="4" spans="1:26" ht="120" customHeight="1" x14ac:dyDescent="0.2">
      <c r="A4" s="1727"/>
      <c r="B4" s="1727"/>
      <c r="C4" s="1727"/>
      <c r="D4" s="1725"/>
      <c r="E4" s="903" t="s">
        <v>360</v>
      </c>
      <c r="F4" s="752" t="s">
        <v>360</v>
      </c>
      <c r="G4" s="752" t="s">
        <v>1393</v>
      </c>
      <c r="H4" s="752" t="s">
        <v>1393</v>
      </c>
      <c r="I4" s="752" t="s">
        <v>2593</v>
      </c>
      <c r="J4" s="752" t="s">
        <v>2593</v>
      </c>
      <c r="K4" s="752" t="s">
        <v>559</v>
      </c>
      <c r="L4" s="752" t="s">
        <v>559</v>
      </c>
      <c r="M4" s="752" t="s">
        <v>371</v>
      </c>
      <c r="N4" s="752" t="s">
        <v>371</v>
      </c>
      <c r="O4" s="1602" t="s">
        <v>256</v>
      </c>
      <c r="P4" s="1603" t="s">
        <v>256</v>
      </c>
      <c r="Q4" s="1604" t="s">
        <v>257</v>
      </c>
      <c r="R4" s="1602" t="s">
        <v>257</v>
      </c>
      <c r="S4" s="752" t="s">
        <v>924</v>
      </c>
      <c r="T4" s="752" t="s">
        <v>924</v>
      </c>
      <c r="U4" s="752" t="s">
        <v>2026</v>
      </c>
      <c r="V4" s="752" t="s">
        <v>2026</v>
      </c>
      <c r="W4" s="752" t="s">
        <v>59</v>
      </c>
      <c r="X4" s="768" t="s">
        <v>59</v>
      </c>
      <c r="Y4" s="1569" t="s">
        <v>118</v>
      </c>
      <c r="Z4" s="1569" t="s">
        <v>118</v>
      </c>
    </row>
    <row r="5" spans="1:26" s="39" customFormat="1" ht="22.5" customHeight="1" x14ac:dyDescent="0.2">
      <c r="A5" s="1719" t="s">
        <v>58</v>
      </c>
      <c r="B5" s="1720"/>
      <c r="C5" s="1720"/>
      <c r="D5" s="1720"/>
      <c r="E5" s="63">
        <f>SUM(E6:E16)</f>
        <v>6000000</v>
      </c>
      <c r="F5" s="63">
        <f t="shared" ref="F5:X5" si="0">SUM(F6:F16)</f>
        <v>4852690</v>
      </c>
      <c r="G5" s="63">
        <f>SUM(G6:G16)</f>
        <v>2500000</v>
      </c>
      <c r="H5" s="63">
        <f>SUM(H6:H17)</f>
        <v>2570000</v>
      </c>
      <c r="I5" s="63">
        <f t="shared" si="0"/>
        <v>0</v>
      </c>
      <c r="J5" s="63">
        <f t="shared" si="0"/>
        <v>1811551</v>
      </c>
      <c r="K5" s="63">
        <f t="shared" si="0"/>
        <v>4000000</v>
      </c>
      <c r="L5" s="63">
        <f t="shared" si="0"/>
        <v>4000000</v>
      </c>
      <c r="M5" s="63">
        <f t="shared" si="0"/>
        <v>1320000</v>
      </c>
      <c r="N5" s="63">
        <f t="shared" si="0"/>
        <v>1320000</v>
      </c>
      <c r="O5" s="63">
        <f t="shared" si="0"/>
        <v>0</v>
      </c>
      <c r="P5" s="63">
        <f>SUM(P6:P18)</f>
        <v>1554735</v>
      </c>
      <c r="Q5" s="63">
        <f>SUM(Q6:Q18)</f>
        <v>0</v>
      </c>
      <c r="R5" s="63">
        <f>SUM(R6:R20)</f>
        <v>1636291</v>
      </c>
      <c r="S5" s="63">
        <f t="shared" si="0"/>
        <v>0</v>
      </c>
      <c r="T5" s="63">
        <f>SUM(T6:T19)</f>
        <v>65994</v>
      </c>
      <c r="U5" s="63">
        <f t="shared" si="0"/>
        <v>0</v>
      </c>
      <c r="V5" s="63">
        <f>+V21+V16</f>
        <v>960000</v>
      </c>
      <c r="W5" s="63">
        <f t="shared" si="0"/>
        <v>0</v>
      </c>
      <c r="X5" s="706">
        <f t="shared" si="0"/>
        <v>0</v>
      </c>
      <c r="Y5" s="96">
        <f>+E5+G5+K5+M5+S5+W5+U5+I5+O5</f>
        <v>13820000</v>
      </c>
      <c r="Z5" s="96">
        <f>+F5+H5+L5+N5+T5+X5+V5+J5+P5+R5</f>
        <v>18771261</v>
      </c>
    </row>
    <row r="6" spans="1:26" s="244" customFormat="1" ht="22.5" customHeight="1" x14ac:dyDescent="0.2">
      <c r="A6" s="55" t="s">
        <v>194</v>
      </c>
      <c r="B6" s="158">
        <v>301</v>
      </c>
      <c r="C6" s="323" t="s">
        <v>2552</v>
      </c>
      <c r="D6" s="334" t="s">
        <v>56</v>
      </c>
      <c r="E6" s="335">
        <v>4000000</v>
      </c>
      <c r="F6" s="335">
        <f>4000000-778000-210060-350000-1500000</f>
        <v>1161940</v>
      </c>
      <c r="G6" s="335"/>
      <c r="H6" s="335"/>
      <c r="I6" s="335"/>
      <c r="J6" s="335"/>
      <c r="K6" s="335"/>
      <c r="L6" s="335"/>
      <c r="M6" s="335"/>
      <c r="N6" s="1460"/>
      <c r="O6" s="1460"/>
      <c r="P6" s="335"/>
      <c r="Q6" s="335"/>
      <c r="R6" s="335"/>
      <c r="S6" s="335"/>
      <c r="T6" s="335"/>
      <c r="U6" s="335"/>
      <c r="V6" s="335"/>
      <c r="W6" s="335"/>
      <c r="X6" s="755"/>
      <c r="Y6" s="96">
        <f t="shared" ref="Y6:Y14" si="1">+E6+G6+K6+M6+S6+W6</f>
        <v>4000000</v>
      </c>
      <c r="Z6" s="96">
        <f t="shared" ref="Z6:Z25" si="2">+F6+H6+L6+N6+T6+X6+V6+J6+P6</f>
        <v>1161940</v>
      </c>
    </row>
    <row r="7" spans="1:26" ht="31.5" customHeight="1" x14ac:dyDescent="0.2">
      <c r="A7" s="56" t="s">
        <v>195</v>
      </c>
      <c r="B7" s="140">
        <v>302</v>
      </c>
      <c r="C7" s="119" t="s">
        <v>2552</v>
      </c>
      <c r="D7" s="754" t="s">
        <v>57</v>
      </c>
      <c r="E7" s="131"/>
      <c r="F7" s="131"/>
      <c r="G7" s="131"/>
      <c r="H7" s="131"/>
      <c r="I7" s="131"/>
      <c r="J7" s="131"/>
      <c r="K7" s="131">
        <v>4000000</v>
      </c>
      <c r="L7" s="131">
        <v>4000000</v>
      </c>
      <c r="M7" s="131"/>
      <c r="N7" s="131"/>
      <c r="O7" s="131"/>
      <c r="P7" s="131"/>
      <c r="Q7" s="131"/>
      <c r="R7" s="131"/>
      <c r="S7" s="131"/>
      <c r="T7" s="131"/>
      <c r="U7" s="131"/>
      <c r="V7" s="131"/>
      <c r="W7" s="131"/>
      <c r="X7" s="386"/>
      <c r="Y7" s="96">
        <f t="shared" si="1"/>
        <v>4000000</v>
      </c>
      <c r="Z7" s="96">
        <f t="shared" si="2"/>
        <v>4000000</v>
      </c>
    </row>
    <row r="8" spans="1:26" ht="30" customHeight="1" x14ac:dyDescent="0.2">
      <c r="A8" s="56" t="s">
        <v>196</v>
      </c>
      <c r="B8" s="140">
        <v>301</v>
      </c>
      <c r="C8" s="119" t="s">
        <v>2553</v>
      </c>
      <c r="D8" s="753" t="s">
        <v>156</v>
      </c>
      <c r="E8" s="131"/>
      <c r="F8" s="131"/>
      <c r="G8" s="131">
        <v>1000000</v>
      </c>
      <c r="H8" s="131">
        <f>1000000-1000000</f>
        <v>0</v>
      </c>
      <c r="I8" s="131"/>
      <c r="J8" s="131"/>
      <c r="K8" s="131"/>
      <c r="L8" s="131"/>
      <c r="M8" s="131"/>
      <c r="N8" s="131"/>
      <c r="O8" s="131"/>
      <c r="P8" s="131"/>
      <c r="Q8" s="131"/>
      <c r="R8" s="131"/>
      <c r="S8" s="131"/>
      <c r="T8" s="131"/>
      <c r="U8" s="131"/>
      <c r="V8" s="131"/>
      <c r="W8" s="131"/>
      <c r="X8" s="386"/>
      <c r="Y8" s="96">
        <f t="shared" si="1"/>
        <v>1000000</v>
      </c>
      <c r="Z8" s="96">
        <f t="shared" si="2"/>
        <v>0</v>
      </c>
    </row>
    <row r="9" spans="1:26" ht="30" customHeight="1" x14ac:dyDescent="0.2">
      <c r="A9" s="56" t="s">
        <v>197</v>
      </c>
      <c r="B9" s="140">
        <v>303</v>
      </c>
      <c r="C9" s="119" t="s">
        <v>2552</v>
      </c>
      <c r="D9" s="754" t="s">
        <v>1901</v>
      </c>
      <c r="E9" s="131"/>
      <c r="F9" s="131"/>
      <c r="G9" s="131"/>
      <c r="H9" s="131"/>
      <c r="I9" s="131"/>
      <c r="J9" s="131"/>
      <c r="K9" s="131"/>
      <c r="L9" s="131"/>
      <c r="M9" s="131"/>
      <c r="N9" s="131"/>
      <c r="O9" s="131"/>
      <c r="P9" s="131"/>
      <c r="Q9" s="131"/>
      <c r="R9" s="131"/>
      <c r="S9" s="131"/>
      <c r="T9" s="131"/>
      <c r="U9" s="131"/>
      <c r="V9" s="131"/>
      <c r="W9" s="131"/>
      <c r="X9" s="386"/>
      <c r="Y9" s="96">
        <f t="shared" si="1"/>
        <v>0</v>
      </c>
      <c r="Z9" s="96">
        <f t="shared" si="2"/>
        <v>0</v>
      </c>
    </row>
    <row r="10" spans="1:26" ht="31.5" customHeight="1" x14ac:dyDescent="0.2">
      <c r="A10" s="56" t="s">
        <v>198</v>
      </c>
      <c r="B10" s="140" t="s">
        <v>65</v>
      </c>
      <c r="C10" s="119" t="s">
        <v>2554</v>
      </c>
      <c r="D10" s="754" t="s">
        <v>833</v>
      </c>
      <c r="E10" s="131">
        <v>2000000</v>
      </c>
      <c r="F10" s="131">
        <f>2000000+599400+235100+700000+156250</f>
        <v>3690750</v>
      </c>
      <c r="G10" s="131"/>
      <c r="H10" s="131"/>
      <c r="I10" s="131"/>
      <c r="J10" s="131"/>
      <c r="K10" s="131"/>
      <c r="L10" s="131"/>
      <c r="M10" s="131"/>
      <c r="N10" s="131"/>
      <c r="O10" s="131"/>
      <c r="P10" s="131"/>
      <c r="Q10" s="131"/>
      <c r="R10" s="131"/>
      <c r="S10" s="131"/>
      <c r="T10" s="131"/>
      <c r="U10" s="131"/>
      <c r="V10" s="131"/>
      <c r="W10" s="131"/>
      <c r="X10" s="386"/>
      <c r="Y10" s="96">
        <f t="shared" si="1"/>
        <v>2000000</v>
      </c>
      <c r="Z10" s="96">
        <f t="shared" si="2"/>
        <v>3690750</v>
      </c>
    </row>
    <row r="11" spans="1:26" ht="32.25" customHeight="1" x14ac:dyDescent="0.2">
      <c r="A11" s="56" t="s">
        <v>199</v>
      </c>
      <c r="B11" s="140">
        <v>307</v>
      </c>
      <c r="C11" s="119" t="s">
        <v>2552</v>
      </c>
      <c r="D11" s="754" t="s">
        <v>789</v>
      </c>
      <c r="E11" s="131"/>
      <c r="F11" s="131"/>
      <c r="G11" s="131"/>
      <c r="H11" s="131"/>
      <c r="I11" s="131"/>
      <c r="J11" s="131"/>
      <c r="K11" s="131"/>
      <c r="L11" s="131"/>
      <c r="M11" s="131">
        <v>1320000</v>
      </c>
      <c r="N11" s="131">
        <v>1320000</v>
      </c>
      <c r="O11" s="131"/>
      <c r="P11" s="131"/>
      <c r="Q11" s="131"/>
      <c r="R11" s="131"/>
      <c r="S11" s="131"/>
      <c r="T11" s="131"/>
      <c r="U11" s="131"/>
      <c r="V11" s="131"/>
      <c r="W11" s="131"/>
      <c r="X11" s="386"/>
      <c r="Y11" s="96">
        <f t="shared" si="1"/>
        <v>1320000</v>
      </c>
      <c r="Z11" s="96">
        <f t="shared" si="2"/>
        <v>1320000</v>
      </c>
    </row>
    <row r="12" spans="1:26" ht="32.25" customHeight="1" x14ac:dyDescent="0.2">
      <c r="A12" s="56" t="s">
        <v>200</v>
      </c>
      <c r="B12" s="140">
        <v>301</v>
      </c>
      <c r="C12" s="119" t="s">
        <v>2553</v>
      </c>
      <c r="D12" s="754" t="s">
        <v>1438</v>
      </c>
      <c r="E12" s="131"/>
      <c r="F12" s="131"/>
      <c r="G12" s="1147">
        <v>1500000</v>
      </c>
      <c r="H12" s="1147">
        <f>1500000-1500000</f>
        <v>0</v>
      </c>
      <c r="I12" s="1147"/>
      <c r="J12" s="1147"/>
      <c r="K12" s="131"/>
      <c r="L12" s="131"/>
      <c r="M12" s="131"/>
      <c r="N12" s="131"/>
      <c r="O12" s="131"/>
      <c r="P12" s="131"/>
      <c r="Q12" s="131"/>
      <c r="R12" s="131"/>
      <c r="S12" s="131"/>
      <c r="T12" s="131"/>
      <c r="U12" s="131"/>
      <c r="V12" s="131"/>
      <c r="W12" s="131"/>
      <c r="X12" s="386"/>
      <c r="Y12" s="96">
        <f t="shared" si="1"/>
        <v>1500000</v>
      </c>
      <c r="Z12" s="96">
        <f t="shared" si="2"/>
        <v>0</v>
      </c>
    </row>
    <row r="13" spans="1:26" ht="32.25" customHeight="1" x14ac:dyDescent="0.2">
      <c r="A13" s="56" t="s">
        <v>201</v>
      </c>
      <c r="B13" s="140">
        <v>317</v>
      </c>
      <c r="C13" s="119" t="s">
        <v>2553</v>
      </c>
      <c r="D13" s="753" t="s">
        <v>156</v>
      </c>
      <c r="E13" s="131"/>
      <c r="F13" s="131"/>
      <c r="G13" s="1147"/>
      <c r="H13" s="1147">
        <v>1000000</v>
      </c>
      <c r="I13" s="1147"/>
      <c r="J13" s="1147"/>
      <c r="K13" s="131"/>
      <c r="L13" s="131"/>
      <c r="M13" s="131"/>
      <c r="N13" s="131"/>
      <c r="O13" s="131"/>
      <c r="P13" s="131"/>
      <c r="Q13" s="131"/>
      <c r="R13" s="131"/>
      <c r="S13" s="131"/>
      <c r="T13" s="131"/>
      <c r="U13" s="131"/>
      <c r="V13" s="131"/>
      <c r="W13" s="131"/>
      <c r="X13" s="386"/>
      <c r="Y13" s="96">
        <f t="shared" si="1"/>
        <v>0</v>
      </c>
      <c r="Z13" s="96">
        <f t="shared" si="2"/>
        <v>1000000</v>
      </c>
    </row>
    <row r="14" spans="1:26" ht="32.25" customHeight="1" x14ac:dyDescent="0.2">
      <c r="A14" s="56" t="s">
        <v>202</v>
      </c>
      <c r="B14" s="140">
        <v>317</v>
      </c>
      <c r="C14" s="119" t="s">
        <v>2553</v>
      </c>
      <c r="D14" s="754" t="s">
        <v>1438</v>
      </c>
      <c r="E14" s="131"/>
      <c r="F14" s="131"/>
      <c r="G14" s="1147"/>
      <c r="H14" s="1147">
        <v>1500000</v>
      </c>
      <c r="I14" s="1147"/>
      <c r="J14" s="1147"/>
      <c r="K14" s="131"/>
      <c r="L14" s="131"/>
      <c r="M14" s="131"/>
      <c r="N14" s="131"/>
      <c r="O14" s="131"/>
      <c r="P14" s="131"/>
      <c r="Q14" s="131"/>
      <c r="R14" s="131"/>
      <c r="S14" s="131"/>
      <c r="T14" s="131"/>
      <c r="U14" s="131"/>
      <c r="V14" s="131"/>
      <c r="W14" s="131"/>
      <c r="X14" s="386"/>
      <c r="Y14" s="96">
        <f t="shared" si="1"/>
        <v>0</v>
      </c>
      <c r="Z14" s="96">
        <f t="shared" si="2"/>
        <v>1500000</v>
      </c>
    </row>
    <row r="15" spans="1:26" ht="32.25" customHeight="1" x14ac:dyDescent="0.2">
      <c r="A15" s="56" t="s">
        <v>203</v>
      </c>
      <c r="B15" s="140">
        <v>126</v>
      </c>
      <c r="C15" s="119" t="s">
        <v>2553</v>
      </c>
      <c r="D15" s="1467" t="s">
        <v>1442</v>
      </c>
      <c r="E15" s="131"/>
      <c r="F15" s="131"/>
      <c r="G15" s="1147"/>
      <c r="H15" s="1147"/>
      <c r="I15" s="1147"/>
      <c r="J15" s="1147">
        <v>1811551</v>
      </c>
      <c r="K15" s="131"/>
      <c r="L15" s="131"/>
      <c r="M15" s="131"/>
      <c r="N15" s="131"/>
      <c r="O15" s="131"/>
      <c r="P15" s="131"/>
      <c r="Q15" s="131"/>
      <c r="R15" s="131"/>
      <c r="S15" s="131"/>
      <c r="T15" s="131"/>
      <c r="U15" s="131"/>
      <c r="V15" s="131"/>
      <c r="W15" s="131"/>
      <c r="X15" s="386"/>
      <c r="Y15" s="96">
        <f t="shared" ref="Y15:Y20" si="3">+E15+G15+K15+M15+S15+W15</f>
        <v>0</v>
      </c>
      <c r="Z15" s="96">
        <f t="shared" si="2"/>
        <v>1811551</v>
      </c>
    </row>
    <row r="16" spans="1:26" ht="32.25" customHeight="1" x14ac:dyDescent="0.2">
      <c r="A16" s="56" t="s">
        <v>204</v>
      </c>
      <c r="B16" s="1291" t="s">
        <v>2922</v>
      </c>
      <c r="C16" s="156" t="s">
        <v>2923</v>
      </c>
      <c r="D16" s="1467" t="s">
        <v>2825</v>
      </c>
      <c r="E16" s="131"/>
      <c r="F16" s="131"/>
      <c r="G16" s="1147"/>
      <c r="H16" s="1147">
        <f>860000-860000</f>
        <v>0</v>
      </c>
      <c r="I16" s="1147"/>
      <c r="J16" s="1147"/>
      <c r="K16" s="131"/>
      <c r="L16" s="131"/>
      <c r="M16" s="131"/>
      <c r="N16" s="131"/>
      <c r="O16" s="131"/>
      <c r="P16" s="131"/>
      <c r="Q16" s="131"/>
      <c r="R16" s="131"/>
      <c r="S16" s="131"/>
      <c r="T16" s="131"/>
      <c r="U16" s="131"/>
      <c r="V16" s="131">
        <v>860000</v>
      </c>
      <c r="W16" s="131"/>
      <c r="X16" s="386"/>
      <c r="Y16" s="96">
        <f t="shared" si="3"/>
        <v>0</v>
      </c>
      <c r="Z16" s="96">
        <f t="shared" si="2"/>
        <v>860000</v>
      </c>
    </row>
    <row r="17" spans="1:26" ht="41.25" customHeight="1" x14ac:dyDescent="0.2">
      <c r="A17" s="56" t="s">
        <v>231</v>
      </c>
      <c r="B17" s="1291">
        <v>317</v>
      </c>
      <c r="C17" s="156" t="s">
        <v>2553</v>
      </c>
      <c r="D17" s="1467" t="s">
        <v>3063</v>
      </c>
      <c r="E17" s="131"/>
      <c r="F17" s="131"/>
      <c r="G17" s="1147"/>
      <c r="H17" s="1147">
        <v>70000</v>
      </c>
      <c r="I17" s="1147"/>
      <c r="J17" s="1147"/>
      <c r="K17" s="131"/>
      <c r="L17" s="131"/>
      <c r="M17" s="131"/>
      <c r="N17" s="131"/>
      <c r="O17" s="131"/>
      <c r="P17" s="131"/>
      <c r="Q17" s="131"/>
      <c r="R17" s="131"/>
      <c r="S17" s="131"/>
      <c r="T17" s="131"/>
      <c r="U17" s="131"/>
      <c r="V17" s="131"/>
      <c r="W17" s="131"/>
      <c r="X17" s="386"/>
      <c r="Y17" s="96">
        <f t="shared" si="3"/>
        <v>0</v>
      </c>
      <c r="Z17" s="96">
        <f t="shared" si="2"/>
        <v>70000</v>
      </c>
    </row>
    <row r="18" spans="1:26" ht="33" customHeight="1" x14ac:dyDescent="0.2">
      <c r="A18" s="56" t="s">
        <v>232</v>
      </c>
      <c r="B18" s="1291">
        <v>318</v>
      </c>
      <c r="C18" s="156" t="s">
        <v>2552</v>
      </c>
      <c r="D18" s="1467" t="s">
        <v>3134</v>
      </c>
      <c r="E18" s="131"/>
      <c r="F18" s="131"/>
      <c r="G18" s="1147"/>
      <c r="H18" s="1147"/>
      <c r="I18" s="1147"/>
      <c r="J18" s="1147"/>
      <c r="K18" s="131"/>
      <c r="L18" s="131"/>
      <c r="M18" s="131"/>
      <c r="N18" s="131"/>
      <c r="O18" s="131"/>
      <c r="P18" s="131">
        <v>1554735</v>
      </c>
      <c r="Q18" s="131"/>
      <c r="R18" s="131"/>
      <c r="S18" s="131"/>
      <c r="T18" s="131"/>
      <c r="U18" s="131"/>
      <c r="V18" s="131"/>
      <c r="W18" s="131"/>
      <c r="X18" s="386"/>
      <c r="Y18" s="96">
        <f t="shared" si="3"/>
        <v>0</v>
      </c>
      <c r="Z18" s="96">
        <f>+F18+H18+L18+N18+T18+X18+V18+J18+P18</f>
        <v>1554735</v>
      </c>
    </row>
    <row r="19" spans="1:26" ht="40.5" customHeight="1" x14ac:dyDescent="0.2">
      <c r="A19" s="56" t="s">
        <v>233</v>
      </c>
      <c r="B19" s="1291">
        <v>303</v>
      </c>
      <c r="C19" s="156" t="s">
        <v>2552</v>
      </c>
      <c r="D19" s="1467" t="s">
        <v>3333</v>
      </c>
      <c r="E19" s="131"/>
      <c r="F19" s="131"/>
      <c r="G19" s="1147"/>
      <c r="H19" s="1147"/>
      <c r="I19" s="1147"/>
      <c r="J19" s="1147"/>
      <c r="K19" s="131"/>
      <c r="L19" s="131"/>
      <c r="M19" s="131"/>
      <c r="N19" s="131"/>
      <c r="O19" s="131"/>
      <c r="P19" s="131"/>
      <c r="Q19" s="131"/>
      <c r="R19" s="131"/>
      <c r="S19" s="131"/>
      <c r="T19" s="131">
        <f>78000-12006</f>
        <v>65994</v>
      </c>
      <c r="U19" s="131"/>
      <c r="V19" s="131"/>
      <c r="W19" s="131"/>
      <c r="X19" s="386"/>
      <c r="Y19" s="96">
        <f t="shared" si="3"/>
        <v>0</v>
      </c>
      <c r="Z19" s="96">
        <f>+F19+H19+L19+N19+T19+X19+V19+J19+P19</f>
        <v>65994</v>
      </c>
    </row>
    <row r="20" spans="1:26" ht="35.25" customHeight="1" x14ac:dyDescent="0.2">
      <c r="A20" s="148" t="s">
        <v>234</v>
      </c>
      <c r="B20" s="1468">
        <v>305</v>
      </c>
      <c r="C20" s="797" t="s">
        <v>2552</v>
      </c>
      <c r="D20" s="1412" t="s">
        <v>1396</v>
      </c>
      <c r="E20" s="151"/>
      <c r="F20" s="151"/>
      <c r="G20" s="696"/>
      <c r="H20" s="696"/>
      <c r="I20" s="696"/>
      <c r="J20" s="696"/>
      <c r="K20" s="151"/>
      <c r="L20" s="151"/>
      <c r="M20" s="151"/>
      <c r="N20" s="151"/>
      <c r="O20" s="151"/>
      <c r="P20" s="151"/>
      <c r="Q20" s="151"/>
      <c r="R20" s="151">
        <v>1636291</v>
      </c>
      <c r="S20" s="151"/>
      <c r="T20" s="151"/>
      <c r="U20" s="151"/>
      <c r="V20" s="151"/>
      <c r="W20" s="151"/>
      <c r="X20" s="671"/>
      <c r="Y20" s="96">
        <f t="shared" si="3"/>
        <v>0</v>
      </c>
      <c r="Z20" s="96">
        <f>+F20+H20+L20+N20+T20+X20+V20+J20+P20+R20</f>
        <v>1636291</v>
      </c>
    </row>
    <row r="21" spans="1:26" ht="33.75" customHeight="1" x14ac:dyDescent="0.2">
      <c r="A21" s="1715" t="s">
        <v>1976</v>
      </c>
      <c r="B21" s="1716"/>
      <c r="C21" s="1716"/>
      <c r="D21" s="1716"/>
      <c r="E21" s="1197"/>
      <c r="F21" s="1197"/>
      <c r="G21" s="1197"/>
      <c r="H21" s="1197"/>
      <c r="I21" s="1197"/>
      <c r="J21" s="1197"/>
      <c r="K21" s="1197"/>
      <c r="L21" s="1197"/>
      <c r="M21" s="1197"/>
      <c r="N21" s="1197"/>
      <c r="O21" s="1197"/>
      <c r="P21" s="1197"/>
      <c r="Q21" s="1197"/>
      <c r="R21" s="1197"/>
      <c r="S21" s="1197"/>
      <c r="T21" s="1197"/>
      <c r="U21" s="1197"/>
      <c r="V21" s="63">
        <f>SUM(V22)</f>
        <v>100000</v>
      </c>
      <c r="W21" s="1197"/>
      <c r="X21" s="1198"/>
      <c r="Y21" s="96">
        <f>+E21+G21+K21+M21+S21+W21+U21</f>
        <v>0</v>
      </c>
      <c r="Z21" s="96">
        <f t="shared" si="2"/>
        <v>100000</v>
      </c>
    </row>
    <row r="22" spans="1:26" ht="29.25" customHeight="1" x14ac:dyDescent="0.2">
      <c r="A22" s="1559" t="s">
        <v>194</v>
      </c>
      <c r="B22" s="1186">
        <v>306</v>
      </c>
      <c r="C22" s="1199" t="s">
        <v>2552</v>
      </c>
      <c r="D22" s="1200" t="s">
        <v>2025</v>
      </c>
      <c r="E22" s="1196"/>
      <c r="F22" s="1196"/>
      <c r="G22" s="1200"/>
      <c r="H22" s="1200"/>
      <c r="I22" s="1200"/>
      <c r="J22" s="1200"/>
      <c r="K22" s="1200"/>
      <c r="L22" s="1200"/>
      <c r="M22" s="1200"/>
      <c r="N22" s="1200"/>
      <c r="O22" s="1200"/>
      <c r="P22" s="1200"/>
      <c r="Q22" s="1200"/>
      <c r="R22" s="1200"/>
      <c r="S22" s="1200"/>
      <c r="T22" s="1200"/>
      <c r="U22" s="1200"/>
      <c r="V22" s="723">
        <v>100000</v>
      </c>
      <c r="W22" s="1200"/>
      <c r="X22" s="1201"/>
      <c r="Y22" s="96">
        <f>+E22+G22+K22+M22+S22+W22+U22</f>
        <v>0</v>
      </c>
      <c r="Z22" s="96">
        <f t="shared" si="2"/>
        <v>100000</v>
      </c>
    </row>
    <row r="23" spans="1:26" s="39" customFormat="1" ht="20.25" customHeight="1" x14ac:dyDescent="0.2">
      <c r="A23" s="1719" t="s">
        <v>60</v>
      </c>
      <c r="B23" s="1720"/>
      <c r="C23" s="1720"/>
      <c r="D23" s="1720"/>
      <c r="E23" s="63">
        <f>SUM(E25)</f>
        <v>0</v>
      </c>
      <c r="F23" s="63">
        <f t="shared" ref="F23:T23" si="4">SUM(F25)</f>
        <v>0</v>
      </c>
      <c r="G23" s="63">
        <f t="shared" si="4"/>
        <v>0</v>
      </c>
      <c r="H23" s="63">
        <f>SUM(H25)</f>
        <v>0</v>
      </c>
      <c r="I23" s="63"/>
      <c r="J23" s="63"/>
      <c r="K23" s="63">
        <f t="shared" si="4"/>
        <v>0</v>
      </c>
      <c r="L23" s="63">
        <f t="shared" si="4"/>
        <v>0</v>
      </c>
      <c r="M23" s="63">
        <f t="shared" si="4"/>
        <v>0</v>
      </c>
      <c r="N23" s="63">
        <f t="shared" si="4"/>
        <v>0</v>
      </c>
      <c r="O23" s="63"/>
      <c r="P23" s="63"/>
      <c r="Q23" s="63"/>
      <c r="R23" s="63"/>
      <c r="S23" s="63">
        <f t="shared" si="4"/>
        <v>0</v>
      </c>
      <c r="T23" s="63">
        <f t="shared" si="4"/>
        <v>0</v>
      </c>
      <c r="U23" s="63"/>
      <c r="V23" s="63"/>
      <c r="W23" s="63">
        <f>SUM(W25)</f>
        <v>10000000</v>
      </c>
      <c r="X23" s="706">
        <f>SUM(X25)</f>
        <v>15500000</v>
      </c>
      <c r="Y23" s="96">
        <f>+E23+G23+K23+M23+S23+W23+U23</f>
        <v>10000000</v>
      </c>
      <c r="Z23" s="96">
        <f t="shared" si="2"/>
        <v>15500000</v>
      </c>
    </row>
    <row r="24" spans="1:26" s="39" customFormat="1" ht="20.25" customHeight="1" x14ac:dyDescent="0.2">
      <c r="A24" s="1721" t="s">
        <v>506</v>
      </c>
      <c r="B24" s="1722"/>
      <c r="C24" s="1722"/>
      <c r="D24" s="1723"/>
      <c r="E24" s="760"/>
      <c r="F24" s="750"/>
      <c r="G24" s="750"/>
      <c r="H24" s="750"/>
      <c r="I24" s="750"/>
      <c r="J24" s="750"/>
      <c r="K24" s="750"/>
      <c r="L24" s="750"/>
      <c r="M24" s="750"/>
      <c r="N24" s="750"/>
      <c r="O24" s="750"/>
      <c r="P24" s="750"/>
      <c r="Q24" s="750"/>
      <c r="R24" s="750"/>
      <c r="S24" s="750"/>
      <c r="T24" s="750"/>
      <c r="U24" s="750"/>
      <c r="V24" s="750"/>
      <c r="W24" s="750"/>
      <c r="X24" s="1568"/>
      <c r="Y24" s="96">
        <f>+E24+G24+K24+M24+S24+W24</f>
        <v>0</v>
      </c>
      <c r="Z24" s="96">
        <f t="shared" si="2"/>
        <v>0</v>
      </c>
    </row>
    <row r="25" spans="1:26" ht="25.5" customHeight="1" x14ac:dyDescent="0.2">
      <c r="A25" s="214" t="s">
        <v>194</v>
      </c>
      <c r="B25" s="215" t="s">
        <v>90</v>
      </c>
      <c r="C25" s="318" t="s">
        <v>2554</v>
      </c>
      <c r="D25" s="319" t="s">
        <v>2079</v>
      </c>
      <c r="E25" s="157"/>
      <c r="F25" s="157"/>
      <c r="G25" s="157"/>
      <c r="H25" s="157"/>
      <c r="I25" s="157"/>
      <c r="J25" s="157"/>
      <c r="K25" s="157"/>
      <c r="L25" s="157"/>
      <c r="M25" s="157"/>
      <c r="N25" s="157"/>
      <c r="O25" s="157"/>
      <c r="P25" s="157"/>
      <c r="Q25" s="157"/>
      <c r="R25" s="157"/>
      <c r="S25" s="157"/>
      <c r="T25" s="157"/>
      <c r="U25" s="157"/>
      <c r="V25" s="157"/>
      <c r="W25" s="157">
        <v>10000000</v>
      </c>
      <c r="X25" s="759">
        <f>10000000+1154400+470200+135200+3740200</f>
        <v>15500000</v>
      </c>
      <c r="Y25" s="96">
        <f>+E25+G25+K25+M25+S25+W25</f>
        <v>10000000</v>
      </c>
      <c r="Z25" s="96">
        <f t="shared" si="2"/>
        <v>15500000</v>
      </c>
    </row>
    <row r="26" spans="1:26" ht="31.5" customHeight="1" x14ac:dyDescent="0.2">
      <c r="A26" s="1717" t="s">
        <v>29</v>
      </c>
      <c r="B26" s="1718"/>
      <c r="C26" s="1718"/>
      <c r="D26" s="1718"/>
      <c r="E26" s="63">
        <f t="shared" ref="E26:O26" si="5">+E23+E5</f>
        <v>6000000</v>
      </c>
      <c r="F26" s="63">
        <f t="shared" si="5"/>
        <v>4852690</v>
      </c>
      <c r="G26" s="63">
        <f t="shared" si="5"/>
        <v>2500000</v>
      </c>
      <c r="H26" s="63">
        <f>+H23+H5</f>
        <v>2570000</v>
      </c>
      <c r="I26" s="63">
        <f>+I23+I5</f>
        <v>0</v>
      </c>
      <c r="J26" s="63">
        <f>+J23+J5</f>
        <v>1811551</v>
      </c>
      <c r="K26" s="63">
        <f t="shared" si="5"/>
        <v>4000000</v>
      </c>
      <c r="L26" s="63">
        <f t="shared" si="5"/>
        <v>4000000</v>
      </c>
      <c r="M26" s="63">
        <f t="shared" si="5"/>
        <v>1320000</v>
      </c>
      <c r="N26" s="63">
        <f t="shared" si="5"/>
        <v>1320000</v>
      </c>
      <c r="O26" s="63">
        <f t="shared" si="5"/>
        <v>0</v>
      </c>
      <c r="P26" s="63">
        <f t="shared" ref="P26:X26" si="6">+P23+P5</f>
        <v>1554735</v>
      </c>
      <c r="Q26" s="63">
        <f t="shared" si="6"/>
        <v>0</v>
      </c>
      <c r="R26" s="63">
        <f t="shared" si="6"/>
        <v>1636291</v>
      </c>
      <c r="S26" s="63">
        <f t="shared" si="6"/>
        <v>0</v>
      </c>
      <c r="T26" s="63">
        <f t="shared" si="6"/>
        <v>65994</v>
      </c>
      <c r="U26" s="63">
        <f t="shared" si="6"/>
        <v>0</v>
      </c>
      <c r="V26" s="63">
        <f t="shared" si="6"/>
        <v>960000</v>
      </c>
      <c r="W26" s="63">
        <f t="shared" si="6"/>
        <v>10000000</v>
      </c>
      <c r="X26" s="706">
        <f t="shared" si="6"/>
        <v>15500000</v>
      </c>
      <c r="Y26" s="96">
        <f>+E26+G26+K26+M26+S26+W26+U26</f>
        <v>23820000</v>
      </c>
      <c r="Z26" s="96">
        <f>+F26+H26+L26+N26+T26+X26+V26+J26+P26+R26</f>
        <v>34271261</v>
      </c>
    </row>
    <row r="27" spans="1:26" x14ac:dyDescent="0.2">
      <c r="E27" s="40"/>
      <c r="F27" s="40"/>
      <c r="G27" s="40"/>
      <c r="H27" s="40"/>
      <c r="I27" s="40"/>
      <c r="J27" s="40"/>
      <c r="K27" s="40"/>
      <c r="L27" s="40"/>
      <c r="M27" s="40"/>
      <c r="N27" s="40"/>
      <c r="O27" s="40"/>
      <c r="P27" s="40"/>
      <c r="Q27" s="40"/>
      <c r="R27" s="40"/>
      <c r="S27" s="40"/>
      <c r="T27" s="40"/>
      <c r="U27" s="40"/>
      <c r="V27" s="40"/>
      <c r="W27" s="40"/>
      <c r="X27" s="40"/>
    </row>
    <row r="28" spans="1:26" x14ac:dyDescent="0.2">
      <c r="E28" s="40"/>
      <c r="F28" s="40"/>
      <c r="G28" s="40"/>
      <c r="H28" s="40"/>
      <c r="I28" s="40"/>
      <c r="J28" s="40"/>
      <c r="K28" s="40"/>
      <c r="L28" s="40"/>
      <c r="M28" s="40"/>
      <c r="N28" s="40"/>
      <c r="O28" s="40"/>
      <c r="P28" s="40"/>
      <c r="Q28" s="40"/>
      <c r="R28" s="40"/>
      <c r="S28" s="40"/>
      <c r="T28" s="40"/>
      <c r="U28" s="40"/>
      <c r="V28" s="40"/>
      <c r="W28" s="40"/>
      <c r="X28" s="40"/>
    </row>
    <row r="29" spans="1:26" x14ac:dyDescent="0.2">
      <c r="E29" s="40"/>
      <c r="F29" s="40"/>
      <c r="G29" s="40"/>
      <c r="H29" s="40"/>
      <c r="I29" s="40"/>
      <c r="J29" s="40"/>
      <c r="K29" s="40"/>
      <c r="L29" s="40"/>
      <c r="M29" s="40"/>
      <c r="N29" s="40"/>
      <c r="O29" s="40"/>
      <c r="P29" s="40"/>
      <c r="Q29" s="40"/>
      <c r="R29" s="40"/>
      <c r="S29" s="40"/>
      <c r="T29" s="40"/>
      <c r="U29" s="40"/>
      <c r="V29" s="40"/>
      <c r="W29" s="40"/>
      <c r="X29" s="40"/>
    </row>
    <row r="30" spans="1:26" x14ac:dyDescent="0.2">
      <c r="E30" s="40"/>
      <c r="F30" s="40"/>
      <c r="G30" s="40"/>
      <c r="H30" s="40"/>
      <c r="I30" s="40"/>
      <c r="J30" s="40"/>
      <c r="K30" s="40"/>
      <c r="L30" s="40"/>
      <c r="M30" s="40"/>
      <c r="N30" s="40"/>
      <c r="O30" s="40"/>
      <c r="P30" s="40"/>
      <c r="Q30" s="40"/>
      <c r="R30" s="40"/>
      <c r="S30" s="40"/>
      <c r="T30" s="40"/>
      <c r="U30" s="40"/>
      <c r="V30" s="40"/>
      <c r="W30" s="40"/>
      <c r="X30" s="40"/>
    </row>
    <row r="31" spans="1:26" x14ac:dyDescent="0.2">
      <c r="E31" s="40"/>
      <c r="F31" s="40"/>
      <c r="G31" s="40"/>
      <c r="H31" s="40"/>
      <c r="I31" s="40"/>
      <c r="J31" s="40"/>
      <c r="K31" s="40"/>
      <c r="L31" s="40"/>
      <c r="M31" s="40"/>
      <c r="N31" s="40"/>
      <c r="O31" s="40"/>
      <c r="P31" s="40"/>
      <c r="Q31" s="40"/>
      <c r="R31" s="40"/>
      <c r="S31" s="40"/>
      <c r="T31" s="40"/>
      <c r="U31" s="40"/>
      <c r="V31" s="40"/>
      <c r="W31" s="40"/>
      <c r="X31" s="40"/>
    </row>
    <row r="32" spans="1:26" x14ac:dyDescent="0.2">
      <c r="E32" s="40"/>
      <c r="F32" s="40"/>
      <c r="G32" s="40"/>
      <c r="H32" s="40"/>
      <c r="I32" s="40"/>
      <c r="J32" s="40"/>
      <c r="K32" s="40"/>
      <c r="L32" s="40"/>
      <c r="M32" s="40"/>
      <c r="N32" s="40"/>
      <c r="O32" s="40"/>
      <c r="P32" s="40"/>
      <c r="Q32" s="40"/>
      <c r="R32" s="40"/>
      <c r="S32" s="40"/>
      <c r="T32" s="40"/>
      <c r="U32" s="40"/>
      <c r="V32" s="40"/>
      <c r="W32" s="40"/>
      <c r="X32" s="40"/>
    </row>
  </sheetData>
  <mergeCells count="11">
    <mergeCell ref="O1:Z1"/>
    <mergeCell ref="A21:D21"/>
    <mergeCell ref="A26:D26"/>
    <mergeCell ref="A23:D23"/>
    <mergeCell ref="A5:D5"/>
    <mergeCell ref="A24:D24"/>
    <mergeCell ref="A1:N1"/>
    <mergeCell ref="D3:D4"/>
    <mergeCell ref="C3:C4"/>
    <mergeCell ref="B3:B4"/>
    <mergeCell ref="A3:A4"/>
  </mergeCells>
  <phoneticPr fontId="45" type="noConversion"/>
  <printOptions horizontalCentered="1" verticalCentered="1"/>
  <pageMargins left="0.31496062992125984" right="0.31496062992125984" top="0.74803149606299213" bottom="0.74803149606299213" header="0.31496062992125984" footer="0.31496062992125984"/>
  <pageSetup paperSize="9" scale="46" orientation="landscape" r:id="rId1"/>
  <headerFooter>
    <oddHeader>&amp;C2022. évi költségvetés
&amp;R&amp;A</oddHeader>
    <oddFooter>&amp;C&amp;P/&amp;N</oddFooter>
  </headerFooter>
  <colBreaks count="1" manualBreakCount="1">
    <brk id="16" max="2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9"/>
  <sheetViews>
    <sheetView view="pageBreakPreview" topLeftCell="A121" zoomScale="90" zoomScaleNormal="90" zoomScaleSheetLayoutView="90" workbookViewId="0">
      <selection activeCell="I134" sqref="I134"/>
    </sheetView>
  </sheetViews>
  <sheetFormatPr defaultColWidth="9.140625" defaultRowHeight="12.75" x14ac:dyDescent="0.2"/>
  <cols>
    <col min="1" max="1" width="4.28515625" style="20" customWidth="1"/>
    <col min="2" max="2" width="3.5703125" style="20" bestFit="1" customWidth="1"/>
    <col min="3" max="3" width="5" style="20" customWidth="1"/>
    <col min="4" max="4" width="58.5703125" style="20" customWidth="1"/>
    <col min="5" max="5" width="17.28515625" style="20" customWidth="1"/>
    <col min="6" max="6" width="18.5703125" style="20" customWidth="1"/>
    <col min="7" max="7" width="16.85546875" style="20" customWidth="1"/>
    <col min="8" max="8" width="18.7109375" style="20" customWidth="1"/>
    <col min="9" max="9" width="18.85546875" style="20" customWidth="1"/>
    <col min="10" max="10" width="19.28515625" style="20" customWidth="1"/>
    <col min="11" max="11" width="16.85546875" style="20" customWidth="1"/>
    <col min="12" max="12" width="17.5703125" style="20" customWidth="1"/>
    <col min="13" max="13" width="16" style="20" customWidth="1"/>
    <col min="14" max="14" width="16.28515625" style="20" customWidth="1"/>
    <col min="15" max="15" width="14.140625" style="20" bestFit="1" customWidth="1"/>
    <col min="16" max="16384" width="9.140625" style="20"/>
  </cols>
  <sheetData>
    <row r="1" spans="1:14" ht="23.25" customHeight="1" x14ac:dyDescent="0.2">
      <c r="A1" s="1714" t="s">
        <v>61</v>
      </c>
      <c r="B1" s="1714"/>
      <c r="C1" s="1714"/>
      <c r="D1" s="1714"/>
      <c r="E1" s="1714"/>
      <c r="F1" s="1714"/>
      <c r="G1" s="1714"/>
      <c r="H1" s="1714"/>
      <c r="I1" s="1714"/>
      <c r="J1" s="1714"/>
      <c r="K1" s="1714"/>
      <c r="L1" s="1714"/>
      <c r="M1" s="1714"/>
      <c r="N1" s="1714"/>
    </row>
    <row r="2" spans="1:14" ht="30" customHeight="1" x14ac:dyDescent="0.25">
      <c r="A2" s="1752"/>
      <c r="B2" s="1752"/>
      <c r="C2" s="1752"/>
      <c r="D2" s="1752"/>
      <c r="E2" s="1752"/>
      <c r="F2" s="1752"/>
      <c r="G2" s="1752"/>
      <c r="H2" s="1752"/>
      <c r="I2" s="1752"/>
      <c r="J2" s="1752"/>
      <c r="K2" s="1752"/>
      <c r="L2" s="1752"/>
      <c r="M2" s="1752"/>
    </row>
    <row r="3" spans="1:14" ht="36" customHeight="1" x14ac:dyDescent="0.2">
      <c r="A3" s="1764" t="s">
        <v>53</v>
      </c>
      <c r="B3" s="1764" t="s">
        <v>742</v>
      </c>
      <c r="C3" s="1763" t="s">
        <v>1</v>
      </c>
      <c r="D3" s="1761" t="s">
        <v>2</v>
      </c>
      <c r="E3" s="751" t="s">
        <v>279</v>
      </c>
      <c r="F3" s="1115" t="s">
        <v>1512</v>
      </c>
      <c r="G3" s="1115" t="s">
        <v>279</v>
      </c>
      <c r="H3" s="1115" t="s">
        <v>1512</v>
      </c>
      <c r="I3" s="1115" t="s">
        <v>279</v>
      </c>
      <c r="J3" s="1115" t="s">
        <v>1512</v>
      </c>
      <c r="K3" s="1115" t="s">
        <v>279</v>
      </c>
      <c r="L3" s="1115" t="s">
        <v>1512</v>
      </c>
      <c r="M3" s="1115" t="s">
        <v>279</v>
      </c>
      <c r="N3" s="1116" t="s">
        <v>1512</v>
      </c>
    </row>
    <row r="4" spans="1:14" ht="81.75" customHeight="1" x14ac:dyDescent="0.2">
      <c r="A4" s="1764"/>
      <c r="B4" s="1764"/>
      <c r="C4" s="1763"/>
      <c r="D4" s="1762"/>
      <c r="E4" s="764" t="s">
        <v>68</v>
      </c>
      <c r="F4" s="764" t="s">
        <v>68</v>
      </c>
      <c r="G4" s="765" t="s">
        <v>792</v>
      </c>
      <c r="H4" s="765" t="s">
        <v>792</v>
      </c>
      <c r="I4" s="765" t="s">
        <v>64</v>
      </c>
      <c r="J4" s="765" t="s">
        <v>64</v>
      </c>
      <c r="K4" s="763" t="s">
        <v>874</v>
      </c>
      <c r="L4" s="763" t="s">
        <v>874</v>
      </c>
      <c r="M4" s="752" t="s">
        <v>11</v>
      </c>
      <c r="N4" s="768" t="s">
        <v>11</v>
      </c>
    </row>
    <row r="5" spans="1:14" ht="17.25" customHeight="1" x14ac:dyDescent="0.2">
      <c r="A5" s="1766" t="s">
        <v>55</v>
      </c>
      <c r="B5" s="1767"/>
      <c r="C5" s="1767"/>
      <c r="D5" s="1767"/>
      <c r="E5" s="766" t="s">
        <v>77</v>
      </c>
      <c r="F5" s="766" t="s">
        <v>77</v>
      </c>
      <c r="G5" s="766" t="s">
        <v>793</v>
      </c>
      <c r="H5" s="766" t="s">
        <v>793</v>
      </c>
      <c r="I5" s="702" t="s">
        <v>399</v>
      </c>
      <c r="J5" s="702" t="s">
        <v>399</v>
      </c>
      <c r="K5" s="702"/>
      <c r="L5" s="702"/>
      <c r="M5" s="766"/>
      <c r="N5" s="767"/>
    </row>
    <row r="6" spans="1:14" s="39" customFormat="1" ht="23.25" customHeight="1" x14ac:dyDescent="0.2">
      <c r="A6" s="1765" t="s">
        <v>1295</v>
      </c>
      <c r="B6" s="1729"/>
      <c r="C6" s="1729"/>
      <c r="D6" s="1562" t="s">
        <v>1296</v>
      </c>
      <c r="E6" s="43">
        <f>+E7</f>
        <v>0</v>
      </c>
      <c r="F6" s="43">
        <f t="shared" ref="F6:L6" si="0">+F7</f>
        <v>0</v>
      </c>
      <c r="G6" s="43">
        <f t="shared" si="0"/>
        <v>0</v>
      </c>
      <c r="H6" s="43">
        <f t="shared" si="0"/>
        <v>0</v>
      </c>
      <c r="I6" s="43">
        <f>+I7</f>
        <v>14856000</v>
      </c>
      <c r="J6" s="43">
        <f>+J7</f>
        <v>14856000</v>
      </c>
      <c r="K6" s="43">
        <f t="shared" si="0"/>
        <v>0</v>
      </c>
      <c r="L6" s="43">
        <f t="shared" si="0"/>
        <v>0</v>
      </c>
      <c r="M6" s="43"/>
      <c r="N6" s="44"/>
    </row>
    <row r="7" spans="1:14" ht="23.25" customHeight="1" x14ac:dyDescent="0.2">
      <c r="A7" s="1559" t="s">
        <v>194</v>
      </c>
      <c r="B7" s="1186">
        <v>313</v>
      </c>
      <c r="C7" s="1560"/>
      <c r="D7" s="1560" t="s">
        <v>419</v>
      </c>
      <c r="E7" s="702"/>
      <c r="F7" s="702"/>
      <c r="G7" s="702"/>
      <c r="H7" s="702"/>
      <c r="I7" s="702">
        <v>14856000</v>
      </c>
      <c r="J7" s="702">
        <v>14856000</v>
      </c>
      <c r="K7" s="702"/>
      <c r="L7" s="702"/>
      <c r="M7" s="702" t="s">
        <v>229</v>
      </c>
      <c r="N7" s="123" t="s">
        <v>229</v>
      </c>
    </row>
    <row r="8" spans="1:14" s="39" customFormat="1" ht="23.25" customHeight="1" x14ac:dyDescent="0.2">
      <c r="A8" s="1765" t="s">
        <v>1502</v>
      </c>
      <c r="B8" s="1729"/>
      <c r="C8" s="1729"/>
      <c r="D8" s="1562" t="s">
        <v>1503</v>
      </c>
      <c r="E8" s="43">
        <f>SUM(E9)</f>
        <v>0</v>
      </c>
      <c r="F8" s="43">
        <f t="shared" ref="F8:L8" si="1">SUM(F9)</f>
        <v>0</v>
      </c>
      <c r="G8" s="43">
        <f t="shared" si="1"/>
        <v>0</v>
      </c>
      <c r="H8" s="43">
        <f t="shared" si="1"/>
        <v>0</v>
      </c>
      <c r="I8" s="43">
        <f>SUM(I9)</f>
        <v>25216800</v>
      </c>
      <c r="J8" s="43">
        <f>SUM(J9)</f>
        <v>29216800</v>
      </c>
      <c r="K8" s="43">
        <f t="shared" si="1"/>
        <v>0</v>
      </c>
      <c r="L8" s="43">
        <f t="shared" si="1"/>
        <v>0</v>
      </c>
      <c r="M8" s="43"/>
      <c r="N8" s="44"/>
    </row>
    <row r="9" spans="1:14" s="39" customFormat="1" ht="23.25" customHeight="1" x14ac:dyDescent="0.2">
      <c r="A9" s="1559" t="s">
        <v>194</v>
      </c>
      <c r="B9" s="1186">
        <v>312</v>
      </c>
      <c r="C9" s="1560"/>
      <c r="D9" s="1560" t="s">
        <v>2127</v>
      </c>
      <c r="E9" s="702"/>
      <c r="F9" s="702"/>
      <c r="G9" s="702"/>
      <c r="H9" s="702"/>
      <c r="I9" s="702">
        <v>25216800</v>
      </c>
      <c r="J9" s="702">
        <f>25216800+4000000</f>
        <v>29216800</v>
      </c>
      <c r="K9" s="702"/>
      <c r="L9" s="702"/>
      <c r="M9" s="702" t="s">
        <v>229</v>
      </c>
      <c r="N9" s="123" t="s">
        <v>229</v>
      </c>
    </row>
    <row r="10" spans="1:14" s="39" customFormat="1" ht="23.25" customHeight="1" x14ac:dyDescent="0.2">
      <c r="A10" s="1765" t="s">
        <v>69</v>
      </c>
      <c r="B10" s="1729"/>
      <c r="C10" s="1729"/>
      <c r="D10" s="1562" t="s">
        <v>1504</v>
      </c>
      <c r="E10" s="43">
        <f>SUM(E11:E15)</f>
        <v>0</v>
      </c>
      <c r="F10" s="43">
        <f t="shared" ref="F10:L10" si="2">SUM(F11:F15)</f>
        <v>0</v>
      </c>
      <c r="G10" s="43">
        <f t="shared" si="2"/>
        <v>0</v>
      </c>
      <c r="H10" s="43">
        <f t="shared" si="2"/>
        <v>0</v>
      </c>
      <c r="I10" s="43">
        <f>SUM(I11:I15)</f>
        <v>3220000</v>
      </c>
      <c r="J10" s="43">
        <f>SUM(J11:J16)</f>
        <v>3307452</v>
      </c>
      <c r="K10" s="43">
        <f t="shared" si="2"/>
        <v>0</v>
      </c>
      <c r="L10" s="43">
        <f t="shared" si="2"/>
        <v>0</v>
      </c>
      <c r="M10" s="43"/>
      <c r="N10" s="44"/>
    </row>
    <row r="11" spans="1:14" ht="23.25" customHeight="1" x14ac:dyDescent="0.2">
      <c r="A11" s="55" t="s">
        <v>195</v>
      </c>
      <c r="B11" s="158">
        <v>306</v>
      </c>
      <c r="C11" s="323"/>
      <c r="D11" s="323" t="s">
        <v>70</v>
      </c>
      <c r="E11" s="1138"/>
      <c r="F11" s="1138"/>
      <c r="G11" s="1138"/>
      <c r="H11" s="1138"/>
      <c r="I11" s="1138">
        <v>500000</v>
      </c>
      <c r="J11" s="1138">
        <v>500000</v>
      </c>
      <c r="K11" s="1138"/>
      <c r="L11" s="1138"/>
      <c r="M11" s="1138" t="s">
        <v>229</v>
      </c>
      <c r="N11" s="1164" t="s">
        <v>229</v>
      </c>
    </row>
    <row r="12" spans="1:14" ht="23.25" customHeight="1" x14ac:dyDescent="0.2">
      <c r="A12" s="56" t="s">
        <v>196</v>
      </c>
      <c r="B12" s="140">
        <v>306</v>
      </c>
      <c r="C12" s="119"/>
      <c r="D12" s="156" t="s">
        <v>650</v>
      </c>
      <c r="E12" s="1139"/>
      <c r="F12" s="1139"/>
      <c r="G12" s="1139"/>
      <c r="H12" s="1139"/>
      <c r="I12" s="1139">
        <v>500000</v>
      </c>
      <c r="J12" s="1139">
        <v>500000</v>
      </c>
      <c r="K12" s="1139"/>
      <c r="L12" s="1139"/>
      <c r="M12" s="1139" t="s">
        <v>229</v>
      </c>
      <c r="N12" s="69" t="s">
        <v>229</v>
      </c>
    </row>
    <row r="13" spans="1:14" ht="23.25" customHeight="1" x14ac:dyDescent="0.2">
      <c r="A13" s="56" t="s">
        <v>197</v>
      </c>
      <c r="B13" s="140">
        <v>306</v>
      </c>
      <c r="C13" s="119"/>
      <c r="D13" s="156" t="s">
        <v>651</v>
      </c>
      <c r="E13" s="1139"/>
      <c r="F13" s="1139"/>
      <c r="G13" s="1139"/>
      <c r="H13" s="1139"/>
      <c r="I13" s="1139">
        <v>300000</v>
      </c>
      <c r="J13" s="1139">
        <v>300000</v>
      </c>
      <c r="K13" s="1139"/>
      <c r="L13" s="1139"/>
      <c r="M13" s="1139" t="s">
        <v>229</v>
      </c>
      <c r="N13" s="69" t="s">
        <v>229</v>
      </c>
    </row>
    <row r="14" spans="1:14" ht="23.25" customHeight="1" x14ac:dyDescent="0.2">
      <c r="A14" s="56" t="s">
        <v>199</v>
      </c>
      <c r="B14" s="140">
        <v>306</v>
      </c>
      <c r="C14" s="119"/>
      <c r="D14" s="156" t="s">
        <v>638</v>
      </c>
      <c r="E14" s="1139"/>
      <c r="F14" s="1139"/>
      <c r="G14" s="1139"/>
      <c r="H14" s="1139"/>
      <c r="I14" s="1139">
        <v>1000000</v>
      </c>
      <c r="J14" s="1139">
        <v>1000000</v>
      </c>
      <c r="K14" s="1139"/>
      <c r="L14" s="1139"/>
      <c r="M14" s="1139" t="s">
        <v>229</v>
      </c>
      <c r="N14" s="69" t="s">
        <v>229</v>
      </c>
    </row>
    <row r="15" spans="1:14" ht="23.25" customHeight="1" x14ac:dyDescent="0.2">
      <c r="A15" s="56" t="s">
        <v>201</v>
      </c>
      <c r="B15" s="140">
        <v>306</v>
      </c>
      <c r="C15" s="119"/>
      <c r="D15" s="156" t="s">
        <v>1304</v>
      </c>
      <c r="E15" s="1139"/>
      <c r="F15" s="1139"/>
      <c r="G15" s="1139"/>
      <c r="H15" s="1139"/>
      <c r="I15" s="1139">
        <v>920000</v>
      </c>
      <c r="J15" s="1139">
        <v>920000</v>
      </c>
      <c r="K15" s="1139"/>
      <c r="L15" s="1139"/>
      <c r="M15" s="1139" t="s">
        <v>229</v>
      </c>
      <c r="N15" s="69" t="s">
        <v>229</v>
      </c>
    </row>
    <row r="16" spans="1:14" ht="23.25" customHeight="1" x14ac:dyDescent="0.2">
      <c r="A16" s="148" t="s">
        <v>202</v>
      </c>
      <c r="B16" s="660">
        <v>306</v>
      </c>
      <c r="C16" s="155"/>
      <c r="D16" s="797" t="s">
        <v>3278</v>
      </c>
      <c r="E16" s="333"/>
      <c r="F16" s="333"/>
      <c r="G16" s="333"/>
      <c r="H16" s="333"/>
      <c r="I16" s="333"/>
      <c r="J16" s="333">
        <v>87452</v>
      </c>
      <c r="K16" s="333"/>
      <c r="L16" s="333"/>
      <c r="M16" s="333" t="s">
        <v>229</v>
      </c>
      <c r="N16" s="1212" t="s">
        <v>229</v>
      </c>
    </row>
    <row r="17" spans="1:14" s="39" customFormat="1" ht="23.25" customHeight="1" x14ac:dyDescent="0.2">
      <c r="A17" s="1753" t="s">
        <v>71</v>
      </c>
      <c r="B17" s="1754"/>
      <c r="C17" s="1754"/>
      <c r="D17" s="1561" t="s">
        <v>1505</v>
      </c>
      <c r="E17" s="122">
        <f>+E18</f>
        <v>0</v>
      </c>
      <c r="F17" s="122">
        <f t="shared" ref="F17:L17" si="3">+F18</f>
        <v>0</v>
      </c>
      <c r="G17" s="122">
        <f t="shared" si="3"/>
        <v>0</v>
      </c>
      <c r="H17" s="122">
        <f t="shared" si="3"/>
        <v>0</v>
      </c>
      <c r="I17" s="122">
        <f>+I18</f>
        <v>3080000</v>
      </c>
      <c r="J17" s="122">
        <f>+J18</f>
        <v>3080000</v>
      </c>
      <c r="K17" s="122">
        <f t="shared" si="3"/>
        <v>0</v>
      </c>
      <c r="L17" s="122">
        <f t="shared" si="3"/>
        <v>0</v>
      </c>
      <c r="M17" s="702"/>
      <c r="N17" s="123"/>
    </row>
    <row r="18" spans="1:14" ht="23.25" customHeight="1" x14ac:dyDescent="0.2">
      <c r="A18" s="1559" t="s">
        <v>194</v>
      </c>
      <c r="B18" s="1186">
        <v>307</v>
      </c>
      <c r="C18" s="1560"/>
      <c r="D18" s="1560" t="s">
        <v>72</v>
      </c>
      <c r="E18" s="702"/>
      <c r="F18" s="702"/>
      <c r="G18" s="702"/>
      <c r="H18" s="702"/>
      <c r="I18" s="702">
        <v>3080000</v>
      </c>
      <c r="J18" s="702">
        <v>3080000</v>
      </c>
      <c r="K18" s="702"/>
      <c r="L18" s="702"/>
      <c r="M18" s="702" t="s">
        <v>229</v>
      </c>
      <c r="N18" s="123" t="s">
        <v>229</v>
      </c>
    </row>
    <row r="19" spans="1:14" s="39" customFormat="1" ht="23.25" customHeight="1" x14ac:dyDescent="0.2">
      <c r="A19" s="1753" t="s">
        <v>74</v>
      </c>
      <c r="B19" s="1754"/>
      <c r="C19" s="1754"/>
      <c r="D19" s="1558" t="s">
        <v>1506</v>
      </c>
      <c r="E19" s="122">
        <f>+E20</f>
        <v>0</v>
      </c>
      <c r="F19" s="122">
        <f t="shared" ref="F19:L19" si="4">+F20</f>
        <v>0</v>
      </c>
      <c r="G19" s="122">
        <f t="shared" si="4"/>
        <v>0</v>
      </c>
      <c r="H19" s="122">
        <f t="shared" si="4"/>
        <v>0</v>
      </c>
      <c r="I19" s="122">
        <f>+I20</f>
        <v>79620000</v>
      </c>
      <c r="J19" s="122">
        <f>+J20</f>
        <v>107352000</v>
      </c>
      <c r="K19" s="122">
        <f t="shared" si="4"/>
        <v>0</v>
      </c>
      <c r="L19" s="122">
        <f t="shared" si="4"/>
        <v>0</v>
      </c>
      <c r="M19" s="122"/>
      <c r="N19" s="325"/>
    </row>
    <row r="20" spans="1:14" ht="26.25" customHeight="1" x14ac:dyDescent="0.2">
      <c r="A20" s="142" t="s">
        <v>194</v>
      </c>
      <c r="B20" s="143">
        <v>309</v>
      </c>
      <c r="C20" s="144"/>
      <c r="D20" s="906" t="s">
        <v>2186</v>
      </c>
      <c r="E20" s="322"/>
      <c r="F20" s="322"/>
      <c r="G20" s="322"/>
      <c r="H20" s="322"/>
      <c r="I20" s="322">
        <f>72000000+7620000</f>
        <v>79620000</v>
      </c>
      <c r="J20" s="322">
        <f>72000000+7620000+300000+3429000+24003000</f>
        <v>107352000</v>
      </c>
      <c r="K20" s="702"/>
      <c r="L20" s="702"/>
      <c r="M20" s="702" t="s">
        <v>229</v>
      </c>
      <c r="N20" s="123" t="s">
        <v>229</v>
      </c>
    </row>
    <row r="21" spans="1:14" s="39" customFormat="1" ht="26.25" customHeight="1" x14ac:dyDescent="0.2">
      <c r="A21" s="1753" t="s">
        <v>1297</v>
      </c>
      <c r="B21" s="1754"/>
      <c r="C21" s="1754"/>
      <c r="D21" s="324" t="s">
        <v>3039</v>
      </c>
      <c r="E21" s="122">
        <f>SUM(E22:E22)</f>
        <v>4000000</v>
      </c>
      <c r="F21" s="122">
        <f>SUM(F22:F22)</f>
        <v>4000000</v>
      </c>
      <c r="G21" s="122">
        <f t="shared" ref="G21:L21" si="5">SUM(G22:G22)</f>
        <v>0</v>
      </c>
      <c r="H21" s="122">
        <f t="shared" si="5"/>
        <v>0</v>
      </c>
      <c r="I21" s="122">
        <f t="shared" si="5"/>
        <v>0</v>
      </c>
      <c r="J21" s="122">
        <f t="shared" si="5"/>
        <v>0</v>
      </c>
      <c r="K21" s="122">
        <f t="shared" si="5"/>
        <v>0</v>
      </c>
      <c r="L21" s="122">
        <f t="shared" si="5"/>
        <v>0</v>
      </c>
      <c r="M21" s="702"/>
      <c r="N21" s="123"/>
    </row>
    <row r="22" spans="1:14" ht="23.25" customHeight="1" x14ac:dyDescent="0.2">
      <c r="A22" s="55" t="s">
        <v>194</v>
      </c>
      <c r="B22" s="158">
        <v>310</v>
      </c>
      <c r="C22" s="323"/>
      <c r="D22" s="323" t="s">
        <v>75</v>
      </c>
      <c r="E22" s="1138">
        <v>4000000</v>
      </c>
      <c r="F22" s="1138">
        <v>4000000</v>
      </c>
      <c r="G22" s="1138"/>
      <c r="H22" s="1138"/>
      <c r="I22" s="1138"/>
      <c r="J22" s="1138"/>
      <c r="K22" s="702"/>
      <c r="L22" s="702"/>
      <c r="M22" s="702" t="s">
        <v>229</v>
      </c>
      <c r="N22" s="123" t="s">
        <v>229</v>
      </c>
    </row>
    <row r="23" spans="1:14" ht="23.25" customHeight="1" x14ac:dyDescent="0.2">
      <c r="A23" s="1755" t="s">
        <v>620</v>
      </c>
      <c r="B23" s="1756"/>
      <c r="C23" s="1756"/>
      <c r="D23" s="324" t="s">
        <v>1507</v>
      </c>
      <c r="E23" s="122">
        <f>SUM(E24:E25)</f>
        <v>0</v>
      </c>
      <c r="F23" s="122">
        <f t="shared" ref="F23:L23" si="6">SUM(F24:F25)</f>
        <v>0</v>
      </c>
      <c r="G23" s="122">
        <f t="shared" si="6"/>
        <v>0</v>
      </c>
      <c r="H23" s="122">
        <f t="shared" si="6"/>
        <v>0</v>
      </c>
      <c r="I23" s="122">
        <f>SUM(I24:I25)</f>
        <v>2590000</v>
      </c>
      <c r="J23" s="122">
        <f>SUM(J24:J32)</f>
        <v>4295000</v>
      </c>
      <c r="K23" s="122">
        <f t="shared" si="6"/>
        <v>0</v>
      </c>
      <c r="L23" s="122">
        <f t="shared" si="6"/>
        <v>0</v>
      </c>
      <c r="M23" s="122"/>
      <c r="N23" s="325"/>
    </row>
    <row r="24" spans="1:14" ht="24" customHeight="1" x14ac:dyDescent="0.2">
      <c r="A24" s="55" t="s">
        <v>194</v>
      </c>
      <c r="B24" s="158">
        <v>306</v>
      </c>
      <c r="C24" s="323"/>
      <c r="D24" s="1284" t="s">
        <v>637</v>
      </c>
      <c r="E24" s="1138"/>
      <c r="F24" s="1138"/>
      <c r="G24" s="1138"/>
      <c r="H24" s="1138"/>
      <c r="I24" s="1138">
        <v>1750000</v>
      </c>
      <c r="J24" s="1138">
        <f>1750000+180000</f>
        <v>1930000</v>
      </c>
      <c r="K24" s="1138"/>
      <c r="L24" s="1138"/>
      <c r="M24" s="1138" t="s">
        <v>229</v>
      </c>
      <c r="N24" s="1164" t="s">
        <v>229</v>
      </c>
    </row>
    <row r="25" spans="1:14" s="9" customFormat="1" ht="24" customHeight="1" x14ac:dyDescent="0.2">
      <c r="A25" s="56" t="s">
        <v>195</v>
      </c>
      <c r="B25" s="140">
        <v>306</v>
      </c>
      <c r="C25" s="119"/>
      <c r="D25" s="1285" t="s">
        <v>1335</v>
      </c>
      <c r="E25" s="1139"/>
      <c r="F25" s="1139"/>
      <c r="G25" s="1139"/>
      <c r="H25" s="1139"/>
      <c r="I25" s="1139">
        <v>840000</v>
      </c>
      <c r="J25" s="1139">
        <v>840000</v>
      </c>
      <c r="K25" s="1139"/>
      <c r="L25" s="1139"/>
      <c r="M25" s="1139" t="s">
        <v>229</v>
      </c>
      <c r="N25" s="69" t="s">
        <v>229</v>
      </c>
    </row>
    <row r="26" spans="1:14" s="9" customFormat="1" ht="24" customHeight="1" x14ac:dyDescent="0.2">
      <c r="A26" s="56" t="s">
        <v>196</v>
      </c>
      <c r="B26" s="140">
        <v>306</v>
      </c>
      <c r="C26" s="119"/>
      <c r="D26" s="1285" t="s">
        <v>1897</v>
      </c>
      <c r="E26" s="1139"/>
      <c r="F26" s="1139"/>
      <c r="G26" s="1139"/>
      <c r="H26" s="1139"/>
      <c r="I26" s="1139"/>
      <c r="J26" s="1139">
        <v>275000</v>
      </c>
      <c r="K26" s="1139"/>
      <c r="L26" s="1139"/>
      <c r="M26" s="1139" t="s">
        <v>229</v>
      </c>
      <c r="N26" s="69" t="s">
        <v>229</v>
      </c>
    </row>
    <row r="27" spans="1:14" s="9" customFormat="1" ht="24" customHeight="1" x14ac:dyDescent="0.2">
      <c r="A27" s="56" t="s">
        <v>197</v>
      </c>
      <c r="B27" s="140">
        <v>306</v>
      </c>
      <c r="C27" s="119"/>
      <c r="D27" s="1285" t="s">
        <v>2395</v>
      </c>
      <c r="E27" s="1139"/>
      <c r="F27" s="1139"/>
      <c r="G27" s="1139"/>
      <c r="H27" s="1139"/>
      <c r="I27" s="1139"/>
      <c r="J27" s="1139">
        <v>240000</v>
      </c>
      <c r="K27" s="1139"/>
      <c r="L27" s="1139"/>
      <c r="M27" s="1139" t="s">
        <v>229</v>
      </c>
      <c r="N27" s="69" t="s">
        <v>229</v>
      </c>
    </row>
    <row r="28" spans="1:14" s="9" customFormat="1" ht="24.75" customHeight="1" x14ac:dyDescent="0.2">
      <c r="A28" s="56" t="s">
        <v>198</v>
      </c>
      <c r="B28" s="140">
        <v>306</v>
      </c>
      <c r="C28" s="119"/>
      <c r="D28" s="1285" t="s">
        <v>2551</v>
      </c>
      <c r="E28" s="1139"/>
      <c r="F28" s="1139"/>
      <c r="G28" s="1139"/>
      <c r="H28" s="1139"/>
      <c r="I28" s="1139"/>
      <c r="J28" s="1139">
        <v>100000</v>
      </c>
      <c r="K28" s="1139"/>
      <c r="L28" s="1139"/>
      <c r="M28" s="1139" t="s">
        <v>229</v>
      </c>
      <c r="N28" s="69" t="s">
        <v>229</v>
      </c>
    </row>
    <row r="29" spans="1:14" s="9" customFormat="1" ht="24.75" customHeight="1" x14ac:dyDescent="0.2">
      <c r="A29" s="56" t="s">
        <v>199</v>
      </c>
      <c r="B29" s="140">
        <v>306</v>
      </c>
      <c r="C29" s="119"/>
      <c r="D29" s="1285" t="s">
        <v>2561</v>
      </c>
      <c r="E29" s="1139"/>
      <c r="F29" s="1139"/>
      <c r="G29" s="1139"/>
      <c r="H29" s="1139"/>
      <c r="I29" s="1139"/>
      <c r="J29" s="1139">
        <v>500000</v>
      </c>
      <c r="K29" s="1139"/>
      <c r="L29" s="1139"/>
      <c r="M29" s="1139" t="s">
        <v>229</v>
      </c>
      <c r="N29" s="69" t="s">
        <v>229</v>
      </c>
    </row>
    <row r="30" spans="1:14" s="9" customFormat="1" ht="30" customHeight="1" x14ac:dyDescent="0.2">
      <c r="A30" s="56" t="s">
        <v>200</v>
      </c>
      <c r="B30" s="140">
        <v>306</v>
      </c>
      <c r="C30" s="119"/>
      <c r="D30" s="1285" t="s">
        <v>2897</v>
      </c>
      <c r="E30" s="1139"/>
      <c r="F30" s="1139"/>
      <c r="G30" s="1139"/>
      <c r="H30" s="1139"/>
      <c r="I30" s="1139"/>
      <c r="J30" s="1139">
        <v>110000</v>
      </c>
      <c r="K30" s="1139"/>
      <c r="L30" s="1139"/>
      <c r="M30" s="1139" t="s">
        <v>229</v>
      </c>
      <c r="N30" s="69" t="s">
        <v>229</v>
      </c>
    </row>
    <row r="31" spans="1:14" s="9" customFormat="1" ht="25.5" customHeight="1" x14ac:dyDescent="0.2">
      <c r="A31" s="56" t="s">
        <v>201</v>
      </c>
      <c r="B31" s="140">
        <v>306</v>
      </c>
      <c r="C31" s="119"/>
      <c r="D31" s="1285" t="s">
        <v>3234</v>
      </c>
      <c r="E31" s="1139"/>
      <c r="F31" s="1139"/>
      <c r="G31" s="1139"/>
      <c r="H31" s="1139"/>
      <c r="I31" s="1139"/>
      <c r="J31" s="1139">
        <v>200000</v>
      </c>
      <c r="K31" s="1139"/>
      <c r="L31" s="1139"/>
      <c r="M31" s="1139" t="s">
        <v>229</v>
      </c>
      <c r="N31" s="69" t="s">
        <v>229</v>
      </c>
    </row>
    <row r="32" spans="1:14" s="9" customFormat="1" ht="25.5" customHeight="1" x14ac:dyDescent="0.2">
      <c r="A32" s="148" t="s">
        <v>202</v>
      </c>
      <c r="B32" s="660">
        <v>306</v>
      </c>
      <c r="C32" s="155"/>
      <c r="D32" s="1286" t="s">
        <v>3517</v>
      </c>
      <c r="E32" s="333"/>
      <c r="F32" s="333"/>
      <c r="G32" s="333"/>
      <c r="H32" s="333"/>
      <c r="I32" s="333"/>
      <c r="J32" s="333">
        <v>100000</v>
      </c>
      <c r="K32" s="333"/>
      <c r="L32" s="333"/>
      <c r="M32" s="333" t="s">
        <v>229</v>
      </c>
      <c r="N32" s="1212" t="s">
        <v>229</v>
      </c>
    </row>
    <row r="33" spans="1:14" s="9" customFormat="1" ht="24" customHeight="1" x14ac:dyDescent="0.2">
      <c r="A33" s="1758" t="s">
        <v>129</v>
      </c>
      <c r="B33" s="1754"/>
      <c r="C33" s="1754"/>
      <c r="D33" s="324" t="s">
        <v>1508</v>
      </c>
      <c r="E33" s="122">
        <f>SUM(E34)</f>
        <v>1811551</v>
      </c>
      <c r="F33" s="122">
        <f>SUM(F34)</f>
        <v>0</v>
      </c>
      <c r="G33" s="122">
        <f t="shared" ref="G33:L33" si="7">SUM(G34)</f>
        <v>0</v>
      </c>
      <c r="H33" s="122">
        <f t="shared" si="7"/>
        <v>0</v>
      </c>
      <c r="I33" s="122">
        <f t="shared" si="7"/>
        <v>0</v>
      </c>
      <c r="J33" s="122">
        <f t="shared" si="7"/>
        <v>0</v>
      </c>
      <c r="K33" s="122">
        <f t="shared" si="7"/>
        <v>0</v>
      </c>
      <c r="L33" s="122">
        <f t="shared" si="7"/>
        <v>0</v>
      </c>
      <c r="M33" s="122"/>
      <c r="N33" s="325"/>
    </row>
    <row r="34" spans="1:14" s="9" customFormat="1" ht="29.25" customHeight="1" x14ac:dyDescent="0.2">
      <c r="A34" s="1559" t="s">
        <v>194</v>
      </c>
      <c r="B34" s="1186">
        <v>126</v>
      </c>
      <c r="C34" s="1560"/>
      <c r="D34" s="1258" t="s">
        <v>1442</v>
      </c>
      <c r="E34" s="702">
        <v>1811551</v>
      </c>
      <c r="F34" s="702">
        <f>1811551-1811551</f>
        <v>0</v>
      </c>
      <c r="G34" s="702"/>
      <c r="H34" s="702"/>
      <c r="I34" s="702"/>
      <c r="J34" s="702"/>
      <c r="K34" s="702"/>
      <c r="L34" s="702"/>
      <c r="M34" s="702" t="s">
        <v>228</v>
      </c>
      <c r="N34" s="123" t="s">
        <v>228</v>
      </c>
    </row>
    <row r="35" spans="1:14" s="9" customFormat="1" ht="27" customHeight="1" x14ac:dyDescent="0.2">
      <c r="A35" s="1758" t="s">
        <v>1297</v>
      </c>
      <c r="B35" s="1754"/>
      <c r="C35" s="1754"/>
      <c r="D35" s="324" t="s">
        <v>1509</v>
      </c>
      <c r="E35" s="122">
        <f>SUM(E36:E37)</f>
        <v>210500</v>
      </c>
      <c r="F35" s="122">
        <f>SUM(F36:F40)</f>
        <v>1390500</v>
      </c>
      <c r="G35" s="122">
        <f t="shared" ref="G35:L35" si="8">SUM(G36:G37)</f>
        <v>0</v>
      </c>
      <c r="H35" s="122">
        <f t="shared" si="8"/>
        <v>0</v>
      </c>
      <c r="I35" s="122">
        <f t="shared" si="8"/>
        <v>0</v>
      </c>
      <c r="J35" s="122">
        <f t="shared" si="8"/>
        <v>0</v>
      </c>
      <c r="K35" s="122">
        <f t="shared" si="8"/>
        <v>0</v>
      </c>
      <c r="L35" s="122">
        <f t="shared" si="8"/>
        <v>0</v>
      </c>
      <c r="M35" s="122"/>
      <c r="N35" s="325"/>
    </row>
    <row r="36" spans="1:14" s="9" customFormat="1" ht="27" customHeight="1" x14ac:dyDescent="0.2">
      <c r="A36" s="55" t="s">
        <v>194</v>
      </c>
      <c r="B36" s="158">
        <v>317</v>
      </c>
      <c r="C36" s="323"/>
      <c r="D36" s="326" t="s">
        <v>1800</v>
      </c>
      <c r="E36" s="1138">
        <v>210500</v>
      </c>
      <c r="F36" s="1138">
        <f>210500+240000</f>
        <v>450500</v>
      </c>
      <c r="G36" s="1138"/>
      <c r="H36" s="1138"/>
      <c r="I36" s="1138"/>
      <c r="J36" s="1138"/>
      <c r="K36" s="1138"/>
      <c r="L36" s="1138"/>
      <c r="M36" s="1138" t="s">
        <v>229</v>
      </c>
      <c r="N36" s="1164" t="s">
        <v>229</v>
      </c>
    </row>
    <row r="37" spans="1:14" s="9" customFormat="1" ht="27" customHeight="1" x14ac:dyDescent="0.2">
      <c r="A37" s="56" t="s">
        <v>195</v>
      </c>
      <c r="B37" s="140">
        <v>317</v>
      </c>
      <c r="C37" s="119"/>
      <c r="D37" s="156" t="s">
        <v>1799</v>
      </c>
      <c r="E37" s="1139">
        <v>0</v>
      </c>
      <c r="F37" s="1139">
        <f>275000-275000+275000</f>
        <v>275000</v>
      </c>
      <c r="G37" s="1139"/>
      <c r="H37" s="1139"/>
      <c r="I37" s="1139"/>
      <c r="J37" s="1139"/>
      <c r="K37" s="1139"/>
      <c r="L37" s="1139"/>
      <c r="M37" s="1139" t="s">
        <v>229</v>
      </c>
      <c r="N37" s="69" t="s">
        <v>229</v>
      </c>
    </row>
    <row r="38" spans="1:14" s="9" customFormat="1" ht="27" customHeight="1" x14ac:dyDescent="0.2">
      <c r="A38" s="56" t="s">
        <v>196</v>
      </c>
      <c r="B38" s="140">
        <v>317</v>
      </c>
      <c r="C38" s="119"/>
      <c r="D38" s="156" t="s">
        <v>1972</v>
      </c>
      <c r="E38" s="1139">
        <v>0</v>
      </c>
      <c r="F38" s="1139">
        <v>200000</v>
      </c>
      <c r="G38" s="1139"/>
      <c r="H38" s="1139"/>
      <c r="I38" s="1139"/>
      <c r="J38" s="1139"/>
      <c r="K38" s="1139"/>
      <c r="L38" s="1139"/>
      <c r="M38" s="1139" t="s">
        <v>229</v>
      </c>
      <c r="N38" s="69" t="s">
        <v>229</v>
      </c>
    </row>
    <row r="39" spans="1:14" s="9" customFormat="1" ht="27" customHeight="1" x14ac:dyDescent="0.2">
      <c r="A39" s="56" t="s">
        <v>197</v>
      </c>
      <c r="B39" s="140">
        <v>317</v>
      </c>
      <c r="C39" s="119"/>
      <c r="D39" s="156" t="s">
        <v>1971</v>
      </c>
      <c r="E39" s="1139">
        <v>0</v>
      </c>
      <c r="F39" s="1139">
        <v>290000</v>
      </c>
      <c r="G39" s="1139"/>
      <c r="H39" s="1139"/>
      <c r="I39" s="1139"/>
      <c r="J39" s="1139"/>
      <c r="K39" s="1139"/>
      <c r="L39" s="1139"/>
      <c r="M39" s="1139" t="s">
        <v>229</v>
      </c>
      <c r="N39" s="69" t="s">
        <v>229</v>
      </c>
    </row>
    <row r="40" spans="1:14" s="9" customFormat="1" ht="27" customHeight="1" x14ac:dyDescent="0.2">
      <c r="A40" s="148" t="s">
        <v>198</v>
      </c>
      <c r="B40" s="660">
        <v>317</v>
      </c>
      <c r="C40" s="155"/>
      <c r="D40" s="797" t="s">
        <v>1973</v>
      </c>
      <c r="E40" s="333">
        <v>0</v>
      </c>
      <c r="F40" s="333">
        <f>245000-70000</f>
        <v>175000</v>
      </c>
      <c r="G40" s="333"/>
      <c r="H40" s="333"/>
      <c r="I40" s="333"/>
      <c r="J40" s="333"/>
      <c r="K40" s="333"/>
      <c r="L40" s="333"/>
      <c r="M40" s="333" t="s">
        <v>229</v>
      </c>
      <c r="N40" s="1212" t="s">
        <v>229</v>
      </c>
    </row>
    <row r="41" spans="1:14" s="9" customFormat="1" ht="27" customHeight="1" x14ac:dyDescent="0.2">
      <c r="A41" s="1758" t="s">
        <v>76</v>
      </c>
      <c r="B41" s="1754"/>
      <c r="C41" s="1754"/>
      <c r="D41" s="324" t="s">
        <v>1832</v>
      </c>
      <c r="E41" s="122">
        <f>SUM(E42)</f>
        <v>0</v>
      </c>
      <c r="F41" s="122">
        <f>SUM(F42)</f>
        <v>0</v>
      </c>
      <c r="G41" s="122">
        <f>SUM(G42)</f>
        <v>0</v>
      </c>
      <c r="H41" s="122">
        <f>SUM(H42)</f>
        <v>0</v>
      </c>
      <c r="I41" s="122">
        <f>SUM(I42)</f>
        <v>0</v>
      </c>
      <c r="J41" s="122">
        <f>SUM(J42:J48)</f>
        <v>2500000</v>
      </c>
      <c r="K41" s="122">
        <f>SUM(K42)</f>
        <v>0</v>
      </c>
      <c r="L41" s="122">
        <f>SUM(L42)</f>
        <v>0</v>
      </c>
      <c r="M41" s="122"/>
      <c r="N41" s="325"/>
    </row>
    <row r="42" spans="1:14" s="9" customFormat="1" ht="27" customHeight="1" x14ac:dyDescent="0.2">
      <c r="A42" s="55" t="s">
        <v>194</v>
      </c>
      <c r="B42" s="158">
        <v>306</v>
      </c>
      <c r="C42" s="323"/>
      <c r="D42" s="326" t="s">
        <v>2264</v>
      </c>
      <c r="E42" s="1138"/>
      <c r="F42" s="1138"/>
      <c r="G42" s="1138"/>
      <c r="H42" s="1138"/>
      <c r="I42" s="1138"/>
      <c r="J42" s="1138">
        <v>700000</v>
      </c>
      <c r="K42" s="1138"/>
      <c r="L42" s="1138"/>
      <c r="M42" s="1138" t="s">
        <v>229</v>
      </c>
      <c r="N42" s="1164" t="s">
        <v>229</v>
      </c>
    </row>
    <row r="43" spans="1:14" s="9" customFormat="1" ht="27" customHeight="1" x14ac:dyDescent="0.2">
      <c r="A43" s="56" t="s">
        <v>195</v>
      </c>
      <c r="B43" s="140">
        <v>306</v>
      </c>
      <c r="C43" s="119"/>
      <c r="D43" s="156" t="s">
        <v>2281</v>
      </c>
      <c r="E43" s="1139"/>
      <c r="F43" s="1139"/>
      <c r="G43" s="1139"/>
      <c r="H43" s="1139"/>
      <c r="I43" s="1139"/>
      <c r="J43" s="1139">
        <v>500000</v>
      </c>
      <c r="K43" s="1139"/>
      <c r="L43" s="1139"/>
      <c r="M43" s="1139" t="s">
        <v>229</v>
      </c>
      <c r="N43" s="69" t="s">
        <v>229</v>
      </c>
    </row>
    <row r="44" spans="1:14" s="9" customFormat="1" ht="24" customHeight="1" x14ac:dyDescent="0.2">
      <c r="A44" s="56" t="s">
        <v>196</v>
      </c>
      <c r="B44" s="140">
        <v>306</v>
      </c>
      <c r="C44" s="119"/>
      <c r="D44" s="156" t="s">
        <v>2865</v>
      </c>
      <c r="E44" s="1139"/>
      <c r="F44" s="1139"/>
      <c r="G44" s="1139"/>
      <c r="H44" s="1139"/>
      <c r="I44" s="1139"/>
      <c r="J44" s="1139">
        <f>600000+150000</f>
        <v>750000</v>
      </c>
      <c r="K44" s="1139"/>
      <c r="L44" s="1139"/>
      <c r="M44" s="1139" t="s">
        <v>229</v>
      </c>
      <c r="N44" s="69" t="s">
        <v>229</v>
      </c>
    </row>
    <row r="45" spans="1:14" s="9" customFormat="1" ht="27.75" customHeight="1" x14ac:dyDescent="0.2">
      <c r="A45" s="56" t="s">
        <v>197</v>
      </c>
      <c r="B45" s="140">
        <v>306</v>
      </c>
      <c r="C45" s="119"/>
      <c r="D45" s="156" t="s">
        <v>2885</v>
      </c>
      <c r="E45" s="1139"/>
      <c r="F45" s="1139"/>
      <c r="G45" s="1139"/>
      <c r="H45" s="1139"/>
      <c r="I45" s="1139"/>
      <c r="J45" s="1139">
        <f>200000+50000</f>
        <v>250000</v>
      </c>
      <c r="K45" s="1139"/>
      <c r="L45" s="1139"/>
      <c r="M45" s="1139" t="s">
        <v>229</v>
      </c>
      <c r="N45" s="69" t="s">
        <v>229</v>
      </c>
    </row>
    <row r="46" spans="1:14" s="9" customFormat="1" ht="28.5" customHeight="1" x14ac:dyDescent="0.2">
      <c r="A46" s="56" t="s">
        <v>198</v>
      </c>
      <c r="B46" s="140">
        <v>306</v>
      </c>
      <c r="C46" s="119"/>
      <c r="D46" s="156" t="s">
        <v>2888</v>
      </c>
      <c r="E46" s="1139"/>
      <c r="F46" s="1139"/>
      <c r="G46" s="1139"/>
      <c r="H46" s="1139"/>
      <c r="I46" s="1139"/>
      <c r="J46" s="1139">
        <f>100000-100000</f>
        <v>0</v>
      </c>
      <c r="K46" s="1139"/>
      <c r="L46" s="1139"/>
      <c r="M46" s="1139" t="s">
        <v>229</v>
      </c>
      <c r="N46" s="69" t="s">
        <v>229</v>
      </c>
    </row>
    <row r="47" spans="1:14" s="9" customFormat="1" ht="28.5" customHeight="1" x14ac:dyDescent="0.2">
      <c r="A47" s="56" t="s">
        <v>199</v>
      </c>
      <c r="B47" s="140">
        <v>306</v>
      </c>
      <c r="C47" s="119"/>
      <c r="D47" s="156" t="s">
        <v>2891</v>
      </c>
      <c r="E47" s="1139"/>
      <c r="F47" s="1139"/>
      <c r="G47" s="1139"/>
      <c r="H47" s="1139"/>
      <c r="I47" s="1139"/>
      <c r="J47" s="1139">
        <v>200000</v>
      </c>
      <c r="K47" s="1139"/>
      <c r="L47" s="1139"/>
      <c r="M47" s="1139" t="s">
        <v>229</v>
      </c>
      <c r="N47" s="69" t="s">
        <v>229</v>
      </c>
    </row>
    <row r="48" spans="1:14" s="9" customFormat="1" ht="28.5" customHeight="1" x14ac:dyDescent="0.2">
      <c r="A48" s="148" t="s">
        <v>200</v>
      </c>
      <c r="B48" s="660">
        <v>306</v>
      </c>
      <c r="C48" s="155"/>
      <c r="D48" s="797" t="s">
        <v>3060</v>
      </c>
      <c r="E48" s="333"/>
      <c r="F48" s="333"/>
      <c r="G48" s="333"/>
      <c r="H48" s="333"/>
      <c r="I48" s="333"/>
      <c r="J48" s="333">
        <v>100000</v>
      </c>
      <c r="K48" s="333"/>
      <c r="L48" s="333"/>
      <c r="M48" s="333" t="s">
        <v>229</v>
      </c>
      <c r="N48" s="1212" t="s">
        <v>229</v>
      </c>
    </row>
    <row r="49" spans="1:14" s="9" customFormat="1" ht="22.5" customHeight="1" x14ac:dyDescent="0.2">
      <c r="A49" s="1758" t="s">
        <v>130</v>
      </c>
      <c r="B49" s="1754"/>
      <c r="C49" s="1754"/>
      <c r="D49" s="1510" t="s">
        <v>3038</v>
      </c>
      <c r="E49" s="122">
        <f>SUM(E50)</f>
        <v>0</v>
      </c>
      <c r="F49" s="122">
        <f>SUM(F50)</f>
        <v>0</v>
      </c>
      <c r="G49" s="122">
        <f>SUM(G50)</f>
        <v>0</v>
      </c>
      <c r="H49" s="122">
        <f>SUM(H50)</f>
        <v>0</v>
      </c>
      <c r="I49" s="122">
        <f>SUM(I50)</f>
        <v>0</v>
      </c>
      <c r="J49" s="122">
        <f>SUM(J50:J52)</f>
        <v>3975000</v>
      </c>
      <c r="K49" s="122">
        <f>SUM(K50)</f>
        <v>0</v>
      </c>
      <c r="L49" s="122">
        <f>SUM(L50)</f>
        <v>0</v>
      </c>
      <c r="M49" s="122"/>
      <c r="N49" s="325"/>
    </row>
    <row r="50" spans="1:14" s="9" customFormat="1" ht="33.75" customHeight="1" x14ac:dyDescent="0.2">
      <c r="A50" s="55" t="s">
        <v>194</v>
      </c>
      <c r="B50" s="158">
        <v>308</v>
      </c>
      <c r="C50" s="323"/>
      <c r="D50" s="326" t="s">
        <v>2282</v>
      </c>
      <c r="E50" s="1138"/>
      <c r="F50" s="1138"/>
      <c r="G50" s="1138"/>
      <c r="H50" s="1138"/>
      <c r="I50" s="1138"/>
      <c r="J50" s="1138">
        <v>3175000</v>
      </c>
      <c r="K50" s="1138"/>
      <c r="L50" s="1138"/>
      <c r="M50" s="1138" t="s">
        <v>229</v>
      </c>
      <c r="N50" s="1164" t="s">
        <v>229</v>
      </c>
    </row>
    <row r="51" spans="1:14" s="9" customFormat="1" ht="33.75" customHeight="1" x14ac:dyDescent="0.2">
      <c r="A51" s="56" t="s">
        <v>195</v>
      </c>
      <c r="B51" s="367" t="s">
        <v>1865</v>
      </c>
      <c r="C51" s="119"/>
      <c r="D51" s="156" t="s">
        <v>2550</v>
      </c>
      <c r="E51" s="1139"/>
      <c r="F51" s="1139"/>
      <c r="G51" s="1139"/>
      <c r="H51" s="1139"/>
      <c r="I51" s="1139"/>
      <c r="J51" s="1139">
        <v>600000</v>
      </c>
      <c r="K51" s="1139"/>
      <c r="L51" s="1139"/>
      <c r="M51" s="1139" t="s">
        <v>229</v>
      </c>
      <c r="N51" s="69" t="s">
        <v>229</v>
      </c>
    </row>
    <row r="52" spans="1:14" s="9" customFormat="1" ht="33.75" customHeight="1" x14ac:dyDescent="0.2">
      <c r="A52" s="148" t="s">
        <v>196</v>
      </c>
      <c r="B52" s="659" t="s">
        <v>1936</v>
      </c>
      <c r="C52" s="155"/>
      <c r="D52" s="797" t="s">
        <v>2806</v>
      </c>
      <c r="E52" s="333"/>
      <c r="F52" s="333"/>
      <c r="G52" s="333"/>
      <c r="H52" s="333"/>
      <c r="I52" s="333"/>
      <c r="J52" s="333">
        <v>200000</v>
      </c>
      <c r="K52" s="333"/>
      <c r="L52" s="333"/>
      <c r="M52" s="333" t="s">
        <v>229</v>
      </c>
      <c r="N52" s="1212" t="s">
        <v>229</v>
      </c>
    </row>
    <row r="53" spans="1:14" s="9" customFormat="1" ht="22.5" customHeight="1" x14ac:dyDescent="0.2">
      <c r="A53" s="1758" t="s">
        <v>1974</v>
      </c>
      <c r="B53" s="1754"/>
      <c r="C53" s="1754"/>
      <c r="D53" s="1510" t="s">
        <v>3334</v>
      </c>
      <c r="E53" s="122">
        <f>SUM(E54)</f>
        <v>0</v>
      </c>
      <c r="F53" s="122">
        <f t="shared" ref="F53:L53" si="9">SUM(F54)</f>
        <v>0</v>
      </c>
      <c r="G53" s="122">
        <f t="shared" si="9"/>
        <v>0</v>
      </c>
      <c r="H53" s="122">
        <f t="shared" si="9"/>
        <v>0</v>
      </c>
      <c r="I53" s="122">
        <f t="shared" si="9"/>
        <v>0</v>
      </c>
      <c r="J53" s="122">
        <f>SUM(J54)</f>
        <v>34006</v>
      </c>
      <c r="K53" s="122">
        <f t="shared" si="9"/>
        <v>0</v>
      </c>
      <c r="L53" s="122">
        <f t="shared" si="9"/>
        <v>0</v>
      </c>
      <c r="M53" s="122"/>
      <c r="N53" s="325"/>
    </row>
    <row r="54" spans="1:14" s="9" customFormat="1" ht="28.5" customHeight="1" x14ac:dyDescent="0.2">
      <c r="A54" s="1559" t="s">
        <v>194</v>
      </c>
      <c r="B54" s="1268" t="s">
        <v>3331</v>
      </c>
      <c r="C54" s="1560"/>
      <c r="D54" s="701" t="s">
        <v>3335</v>
      </c>
      <c r="E54" s="702"/>
      <c r="F54" s="702"/>
      <c r="G54" s="702"/>
      <c r="H54" s="702"/>
      <c r="I54" s="702"/>
      <c r="J54" s="702">
        <f>22000+12006</f>
        <v>34006</v>
      </c>
      <c r="K54" s="702"/>
      <c r="L54" s="702"/>
      <c r="M54" s="702" t="s">
        <v>229</v>
      </c>
      <c r="N54" s="123" t="s">
        <v>229</v>
      </c>
    </row>
    <row r="55" spans="1:14" s="9" customFormat="1" ht="19.5" customHeight="1" x14ac:dyDescent="0.2">
      <c r="A55" s="1759" t="s">
        <v>1976</v>
      </c>
      <c r="B55" s="1759"/>
      <c r="C55" s="1759"/>
      <c r="D55" s="1759"/>
      <c r="E55" s="1759"/>
      <c r="F55" s="1759"/>
      <c r="G55" s="1759"/>
      <c r="H55" s="1759"/>
      <c r="I55" s="1759"/>
      <c r="J55" s="1759"/>
      <c r="K55" s="1759"/>
      <c r="L55" s="1759"/>
      <c r="M55" s="1759"/>
      <c r="N55" s="1759"/>
    </row>
    <row r="56" spans="1:14" s="9" customFormat="1" ht="19.5" customHeight="1" x14ac:dyDescent="0.2">
      <c r="A56" s="1760"/>
      <c r="B56" s="1760"/>
      <c r="C56" s="1760"/>
      <c r="D56" s="1760"/>
      <c r="E56" s="1760"/>
      <c r="F56" s="1760"/>
      <c r="G56" s="1760"/>
      <c r="H56" s="1760"/>
      <c r="I56" s="1760"/>
      <c r="J56" s="1760"/>
      <c r="K56" s="1760"/>
      <c r="L56" s="1760"/>
      <c r="M56" s="1760"/>
      <c r="N56" s="1760"/>
    </row>
    <row r="57" spans="1:14" s="9" customFormat="1" ht="28.5" customHeight="1" x14ac:dyDescent="0.2">
      <c r="A57" s="1738" t="s">
        <v>53</v>
      </c>
      <c r="B57" s="1740" t="s">
        <v>742</v>
      </c>
      <c r="C57" s="1742" t="s">
        <v>1</v>
      </c>
      <c r="D57" s="1744" t="s">
        <v>2</v>
      </c>
      <c r="E57" s="752" t="s">
        <v>279</v>
      </c>
      <c r="F57" s="752" t="s">
        <v>1512</v>
      </c>
      <c r="G57" s="752" t="s">
        <v>279</v>
      </c>
      <c r="H57" s="752" t="s">
        <v>1512</v>
      </c>
      <c r="I57" s="752" t="s">
        <v>279</v>
      </c>
      <c r="J57" s="752" t="s">
        <v>1512</v>
      </c>
      <c r="K57" s="752" t="s">
        <v>279</v>
      </c>
      <c r="L57" s="752" t="s">
        <v>1512</v>
      </c>
      <c r="M57" s="752" t="s">
        <v>279</v>
      </c>
      <c r="N57" s="1257" t="s">
        <v>1512</v>
      </c>
    </row>
    <row r="58" spans="1:14" s="9" customFormat="1" ht="75" customHeight="1" x14ac:dyDescent="0.2">
      <c r="A58" s="1739"/>
      <c r="B58" s="1741"/>
      <c r="C58" s="1743"/>
      <c r="D58" s="1745"/>
      <c r="E58" s="1187" t="s">
        <v>68</v>
      </c>
      <c r="F58" s="1187" t="s">
        <v>68</v>
      </c>
      <c r="G58" s="1563" t="s">
        <v>792</v>
      </c>
      <c r="H58" s="1563" t="s">
        <v>792</v>
      </c>
      <c r="I58" s="1563" t="s">
        <v>64</v>
      </c>
      <c r="J58" s="339" t="s">
        <v>64</v>
      </c>
      <c r="K58" s="1732" t="s">
        <v>874</v>
      </c>
      <c r="L58" s="1732" t="s">
        <v>874</v>
      </c>
      <c r="M58" s="1732" t="s">
        <v>11</v>
      </c>
      <c r="N58" s="1734" t="s">
        <v>11</v>
      </c>
    </row>
    <row r="59" spans="1:14" s="9" customFormat="1" ht="20.25" customHeight="1" x14ac:dyDescent="0.2">
      <c r="A59" s="1736" t="s">
        <v>55</v>
      </c>
      <c r="B59" s="1737"/>
      <c r="C59" s="1737"/>
      <c r="D59" s="1737"/>
      <c r="E59" s="766" t="s">
        <v>77</v>
      </c>
      <c r="F59" s="766" t="s">
        <v>77</v>
      </c>
      <c r="G59" s="766" t="s">
        <v>793</v>
      </c>
      <c r="H59" s="766" t="s">
        <v>793</v>
      </c>
      <c r="I59" s="702" t="s">
        <v>399</v>
      </c>
      <c r="J59" s="762" t="s">
        <v>399</v>
      </c>
      <c r="K59" s="1733"/>
      <c r="L59" s="1733"/>
      <c r="M59" s="1733"/>
      <c r="N59" s="1735"/>
    </row>
    <row r="60" spans="1:14" s="9" customFormat="1" ht="28.5" customHeight="1" x14ac:dyDescent="0.2">
      <c r="A60" s="1728" t="s">
        <v>76</v>
      </c>
      <c r="B60" s="1729"/>
      <c r="C60" s="1729"/>
      <c r="D60" s="1188" t="s">
        <v>1977</v>
      </c>
      <c r="E60" s="43">
        <f t="shared" ref="E60:L60" si="10">SUM(E61:E68)</f>
        <v>0</v>
      </c>
      <c r="F60" s="43">
        <f t="shared" si="10"/>
        <v>0</v>
      </c>
      <c r="G60" s="43">
        <f t="shared" si="10"/>
        <v>0</v>
      </c>
      <c r="H60" s="43">
        <f t="shared" si="10"/>
        <v>0</v>
      </c>
      <c r="I60" s="43">
        <f t="shared" si="10"/>
        <v>0</v>
      </c>
      <c r="J60" s="43">
        <f t="shared" si="10"/>
        <v>2505000</v>
      </c>
      <c r="K60" s="43">
        <f t="shared" si="10"/>
        <v>0</v>
      </c>
      <c r="L60" s="43">
        <f t="shared" si="10"/>
        <v>0</v>
      </c>
      <c r="M60" s="43"/>
      <c r="N60" s="123"/>
    </row>
    <row r="61" spans="1:14" s="9" customFormat="1" ht="28.5" customHeight="1" x14ac:dyDescent="0.2">
      <c r="A61" s="1189" t="s">
        <v>194</v>
      </c>
      <c r="B61" s="158">
        <v>306</v>
      </c>
      <c r="C61" s="323"/>
      <c r="D61" s="323" t="s">
        <v>1978</v>
      </c>
      <c r="E61" s="1138"/>
      <c r="F61" s="1138"/>
      <c r="G61" s="1138"/>
      <c r="H61" s="1138"/>
      <c r="I61" s="1138"/>
      <c r="J61" s="1138">
        <v>400000</v>
      </c>
      <c r="K61" s="1138"/>
      <c r="L61" s="1138"/>
      <c r="M61" s="1138" t="s">
        <v>229</v>
      </c>
      <c r="N61" s="1164" t="s">
        <v>229</v>
      </c>
    </row>
    <row r="62" spans="1:14" s="9" customFormat="1" ht="28.5" customHeight="1" x14ac:dyDescent="0.2">
      <c r="A62" s="56" t="s">
        <v>195</v>
      </c>
      <c r="B62" s="140">
        <v>306</v>
      </c>
      <c r="C62" s="119"/>
      <c r="D62" s="119" t="s">
        <v>1979</v>
      </c>
      <c r="E62" s="1139"/>
      <c r="F62" s="1139"/>
      <c r="G62" s="1139"/>
      <c r="H62" s="1139"/>
      <c r="I62" s="1139"/>
      <c r="J62" s="1139">
        <v>180000</v>
      </c>
      <c r="K62" s="1139"/>
      <c r="L62" s="1139"/>
      <c r="M62" s="1139" t="s">
        <v>229</v>
      </c>
      <c r="N62" s="69" t="s">
        <v>229</v>
      </c>
    </row>
    <row r="63" spans="1:14" s="9" customFormat="1" ht="28.5" customHeight="1" x14ac:dyDescent="0.2">
      <c r="A63" s="56" t="s">
        <v>196</v>
      </c>
      <c r="B63" s="140">
        <v>306</v>
      </c>
      <c r="C63" s="119"/>
      <c r="D63" s="119" t="s">
        <v>1980</v>
      </c>
      <c r="E63" s="1139"/>
      <c r="F63" s="1139"/>
      <c r="G63" s="1139"/>
      <c r="H63" s="1139"/>
      <c r="I63" s="1139"/>
      <c r="J63" s="1139">
        <v>300000</v>
      </c>
      <c r="K63" s="1139"/>
      <c r="L63" s="1139"/>
      <c r="M63" s="1139" t="s">
        <v>229</v>
      </c>
      <c r="N63" s="69" t="s">
        <v>229</v>
      </c>
    </row>
    <row r="64" spans="1:14" s="9" customFormat="1" ht="28.5" customHeight="1" x14ac:dyDescent="0.2">
      <c r="A64" s="56" t="s">
        <v>197</v>
      </c>
      <c r="B64" s="140">
        <v>306</v>
      </c>
      <c r="C64" s="119"/>
      <c r="D64" s="156" t="s">
        <v>1981</v>
      </c>
      <c r="E64" s="1139"/>
      <c r="F64" s="1139"/>
      <c r="G64" s="1139"/>
      <c r="H64" s="1139"/>
      <c r="I64" s="1139"/>
      <c r="J64" s="1139">
        <v>450000</v>
      </c>
      <c r="K64" s="1139"/>
      <c r="L64" s="1139"/>
      <c r="M64" s="1139" t="s">
        <v>229</v>
      </c>
      <c r="N64" s="69" t="s">
        <v>229</v>
      </c>
    </row>
    <row r="65" spans="1:14" s="9" customFormat="1" ht="28.5" customHeight="1" x14ac:dyDescent="0.2">
      <c r="A65" s="56" t="s">
        <v>198</v>
      </c>
      <c r="B65" s="140">
        <v>306</v>
      </c>
      <c r="C65" s="119"/>
      <c r="D65" s="119" t="s">
        <v>1982</v>
      </c>
      <c r="E65" s="1139"/>
      <c r="F65" s="1139"/>
      <c r="G65" s="1139"/>
      <c r="H65" s="1139"/>
      <c r="I65" s="1139"/>
      <c r="J65" s="1139">
        <v>150000</v>
      </c>
      <c r="K65" s="1139"/>
      <c r="L65" s="1139"/>
      <c r="M65" s="1139" t="s">
        <v>229</v>
      </c>
      <c r="N65" s="69" t="s">
        <v>229</v>
      </c>
    </row>
    <row r="66" spans="1:14" s="9" customFormat="1" ht="28.5" customHeight="1" x14ac:dyDescent="0.2">
      <c r="A66" s="56" t="s">
        <v>199</v>
      </c>
      <c r="B66" s="140">
        <v>306</v>
      </c>
      <c r="C66" s="119"/>
      <c r="D66" s="156" t="s">
        <v>1983</v>
      </c>
      <c r="E66" s="1139"/>
      <c r="F66" s="1139"/>
      <c r="G66" s="1139"/>
      <c r="H66" s="1139"/>
      <c r="I66" s="1139"/>
      <c r="J66" s="1139">
        <v>75000</v>
      </c>
      <c r="K66" s="1139"/>
      <c r="L66" s="1139"/>
      <c r="M66" s="1139" t="s">
        <v>229</v>
      </c>
      <c r="N66" s="69" t="s">
        <v>229</v>
      </c>
    </row>
    <row r="67" spans="1:14" s="9" customFormat="1" ht="28.5" customHeight="1" x14ac:dyDescent="0.2">
      <c r="A67" s="56" t="s">
        <v>200</v>
      </c>
      <c r="B67" s="140">
        <v>306</v>
      </c>
      <c r="C67" s="119"/>
      <c r="D67" s="156" t="s">
        <v>1984</v>
      </c>
      <c r="E67" s="1139"/>
      <c r="F67" s="1139"/>
      <c r="G67" s="1139"/>
      <c r="H67" s="1139"/>
      <c r="I67" s="1139"/>
      <c r="J67" s="1139">
        <v>600000</v>
      </c>
      <c r="K67" s="1139"/>
      <c r="L67" s="1139"/>
      <c r="M67" s="1139" t="s">
        <v>229</v>
      </c>
      <c r="N67" s="69" t="s">
        <v>229</v>
      </c>
    </row>
    <row r="68" spans="1:14" s="9" customFormat="1" ht="28.5" customHeight="1" x14ac:dyDescent="0.2">
      <c r="A68" s="148" t="s">
        <v>201</v>
      </c>
      <c r="B68" s="660">
        <v>306</v>
      </c>
      <c r="C68" s="155"/>
      <c r="D68" s="797" t="s">
        <v>1985</v>
      </c>
      <c r="E68" s="333"/>
      <c r="F68" s="333"/>
      <c r="G68" s="333"/>
      <c r="H68" s="333"/>
      <c r="I68" s="333"/>
      <c r="J68" s="333">
        <v>350000</v>
      </c>
      <c r="K68" s="333"/>
      <c r="L68" s="333"/>
      <c r="M68" s="333" t="s">
        <v>229</v>
      </c>
      <c r="N68" s="1212" t="s">
        <v>229</v>
      </c>
    </row>
    <row r="69" spans="1:14" s="9" customFormat="1" ht="28.5" customHeight="1" x14ac:dyDescent="0.2">
      <c r="A69" s="1728" t="s">
        <v>1877</v>
      </c>
      <c r="B69" s="1729"/>
      <c r="C69" s="1729"/>
      <c r="D69" s="1188" t="s">
        <v>1986</v>
      </c>
      <c r="E69" s="43">
        <f t="shared" ref="E69:L69" si="11">SUM(E70)</f>
        <v>0</v>
      </c>
      <c r="F69" s="43">
        <f t="shared" si="11"/>
        <v>0</v>
      </c>
      <c r="G69" s="43">
        <f t="shared" si="11"/>
        <v>0</v>
      </c>
      <c r="H69" s="43">
        <f t="shared" si="11"/>
        <v>0</v>
      </c>
      <c r="I69" s="43">
        <f t="shared" si="11"/>
        <v>0</v>
      </c>
      <c r="J69" s="43">
        <f t="shared" si="11"/>
        <v>0</v>
      </c>
      <c r="K69" s="43">
        <f t="shared" si="11"/>
        <v>0</v>
      </c>
      <c r="L69" s="43">
        <f t="shared" si="11"/>
        <v>0</v>
      </c>
      <c r="M69" s="43"/>
      <c r="N69" s="123"/>
    </row>
    <row r="70" spans="1:14" s="9" customFormat="1" ht="28.5" customHeight="1" x14ac:dyDescent="0.2">
      <c r="A70" s="1190" t="s">
        <v>194</v>
      </c>
      <c r="B70" s="1191">
        <v>306</v>
      </c>
      <c r="C70" s="774"/>
      <c r="D70" s="769" t="s">
        <v>1987</v>
      </c>
      <c r="E70" s="702"/>
      <c r="F70" s="702"/>
      <c r="G70" s="702"/>
      <c r="H70" s="702"/>
      <c r="I70" s="702"/>
      <c r="J70" s="702">
        <f>250000-250000</f>
        <v>0</v>
      </c>
      <c r="K70" s="702"/>
      <c r="L70" s="702"/>
      <c r="M70" s="702" t="s">
        <v>229</v>
      </c>
      <c r="N70" s="123" t="s">
        <v>229</v>
      </c>
    </row>
    <row r="71" spans="1:14" s="9" customFormat="1" ht="28.5" customHeight="1" x14ac:dyDescent="0.2">
      <c r="A71" s="1728" t="s">
        <v>69</v>
      </c>
      <c r="B71" s="1729"/>
      <c r="C71" s="1729"/>
      <c r="D71" s="1188" t="s">
        <v>1504</v>
      </c>
      <c r="E71" s="43">
        <f>SUM(E72:E74)</f>
        <v>0</v>
      </c>
      <c r="F71" s="43">
        <f t="shared" ref="F71:L71" si="12">SUM(F72:F74)</f>
        <v>0</v>
      </c>
      <c r="G71" s="43">
        <f t="shared" si="12"/>
        <v>0</v>
      </c>
      <c r="H71" s="43">
        <f t="shared" si="12"/>
        <v>0</v>
      </c>
      <c r="I71" s="43">
        <f t="shared" si="12"/>
        <v>0</v>
      </c>
      <c r="J71" s="43">
        <f>SUM(J72:J74)</f>
        <v>650000</v>
      </c>
      <c r="K71" s="43">
        <f t="shared" si="12"/>
        <v>0</v>
      </c>
      <c r="L71" s="43">
        <f t="shared" si="12"/>
        <v>0</v>
      </c>
      <c r="M71" s="43"/>
      <c r="N71" s="123"/>
    </row>
    <row r="72" spans="1:14" s="9" customFormat="1" ht="28.5" customHeight="1" x14ac:dyDescent="0.2">
      <c r="A72" s="55" t="s">
        <v>194</v>
      </c>
      <c r="B72" s="158">
        <v>306</v>
      </c>
      <c r="C72" s="323"/>
      <c r="D72" s="323" t="s">
        <v>1988</v>
      </c>
      <c r="E72" s="1138"/>
      <c r="F72" s="1138"/>
      <c r="G72" s="1138"/>
      <c r="H72" s="1138"/>
      <c r="I72" s="1138"/>
      <c r="J72" s="1138">
        <v>350000</v>
      </c>
      <c r="K72" s="1138"/>
      <c r="L72" s="1138"/>
      <c r="M72" s="1138" t="s">
        <v>229</v>
      </c>
      <c r="N72" s="1164" t="s">
        <v>229</v>
      </c>
    </row>
    <row r="73" spans="1:14" s="9" customFormat="1" ht="28.5" customHeight="1" x14ac:dyDescent="0.2">
      <c r="A73" s="56" t="s">
        <v>195</v>
      </c>
      <c r="B73" s="140">
        <v>306</v>
      </c>
      <c r="C73" s="119"/>
      <c r="D73" s="156" t="s">
        <v>2080</v>
      </c>
      <c r="E73" s="1139"/>
      <c r="F73" s="1139"/>
      <c r="G73" s="1139"/>
      <c r="H73" s="1139"/>
      <c r="I73" s="1139"/>
      <c r="J73" s="1139">
        <v>150000</v>
      </c>
      <c r="K73" s="1139"/>
      <c r="L73" s="1139"/>
      <c r="M73" s="1139" t="s">
        <v>229</v>
      </c>
      <c r="N73" s="69" t="s">
        <v>229</v>
      </c>
    </row>
    <row r="74" spans="1:14" s="9" customFormat="1" ht="28.5" customHeight="1" x14ac:dyDescent="0.2">
      <c r="A74" s="148" t="s">
        <v>196</v>
      </c>
      <c r="B74" s="660">
        <v>306</v>
      </c>
      <c r="C74" s="155"/>
      <c r="D74" s="797" t="s">
        <v>1989</v>
      </c>
      <c r="E74" s="333"/>
      <c r="F74" s="333"/>
      <c r="G74" s="333"/>
      <c r="H74" s="333"/>
      <c r="I74" s="333"/>
      <c r="J74" s="333">
        <v>150000</v>
      </c>
      <c r="K74" s="333"/>
      <c r="L74" s="333"/>
      <c r="M74" s="333" t="s">
        <v>229</v>
      </c>
      <c r="N74" s="1212" t="s">
        <v>229</v>
      </c>
    </row>
    <row r="75" spans="1:14" s="9" customFormat="1" ht="28.5" customHeight="1" x14ac:dyDescent="0.2">
      <c r="A75" s="1728" t="s">
        <v>620</v>
      </c>
      <c r="B75" s="1729"/>
      <c r="C75" s="1729"/>
      <c r="D75" s="1188" t="s">
        <v>1990</v>
      </c>
      <c r="E75" s="43">
        <f>SUM(E76:E103)</f>
        <v>0</v>
      </c>
      <c r="F75" s="43">
        <f t="shared" ref="F75:L75" si="13">SUM(F76:F103)</f>
        <v>0</v>
      </c>
      <c r="G75" s="43">
        <f t="shared" si="13"/>
        <v>0</v>
      </c>
      <c r="H75" s="43">
        <f t="shared" si="13"/>
        <v>0</v>
      </c>
      <c r="I75" s="43">
        <f t="shared" si="13"/>
        <v>0</v>
      </c>
      <c r="J75" s="43">
        <f>SUM(J76:J103)</f>
        <v>9725000</v>
      </c>
      <c r="K75" s="43">
        <f t="shared" si="13"/>
        <v>0</v>
      </c>
      <c r="L75" s="43">
        <f t="shared" si="13"/>
        <v>0</v>
      </c>
      <c r="M75" s="722"/>
      <c r="N75" s="44"/>
    </row>
    <row r="76" spans="1:14" s="9" customFormat="1" ht="28.5" customHeight="1" x14ac:dyDescent="0.2">
      <c r="A76" s="55" t="s">
        <v>194</v>
      </c>
      <c r="B76" s="158">
        <v>306</v>
      </c>
      <c r="C76" s="323"/>
      <c r="D76" s="323" t="s">
        <v>1991</v>
      </c>
      <c r="E76" s="1138"/>
      <c r="F76" s="1138"/>
      <c r="G76" s="1138"/>
      <c r="H76" s="1138"/>
      <c r="I76" s="1138"/>
      <c r="J76" s="1138">
        <v>250000</v>
      </c>
      <c r="K76" s="1138"/>
      <c r="L76" s="1138"/>
      <c r="M76" s="1138" t="s">
        <v>229</v>
      </c>
      <c r="N76" s="1164" t="s">
        <v>229</v>
      </c>
    </row>
    <row r="77" spans="1:14" s="9" customFormat="1" ht="28.5" customHeight="1" x14ac:dyDescent="0.2">
      <c r="A77" s="56" t="s">
        <v>195</v>
      </c>
      <c r="B77" s="140">
        <v>306</v>
      </c>
      <c r="C77" s="119"/>
      <c r="D77" s="119" t="s">
        <v>1992</v>
      </c>
      <c r="E77" s="1139"/>
      <c r="F77" s="1139"/>
      <c r="G77" s="1139"/>
      <c r="H77" s="1139"/>
      <c r="I77" s="1139"/>
      <c r="J77" s="1139">
        <v>350000</v>
      </c>
      <c r="K77" s="1139"/>
      <c r="L77" s="1139"/>
      <c r="M77" s="1139" t="s">
        <v>229</v>
      </c>
      <c r="N77" s="69" t="s">
        <v>229</v>
      </c>
    </row>
    <row r="78" spans="1:14" s="9" customFormat="1" ht="28.5" customHeight="1" x14ac:dyDescent="0.2">
      <c r="A78" s="56" t="s">
        <v>196</v>
      </c>
      <c r="B78" s="140">
        <v>306</v>
      </c>
      <c r="C78" s="119"/>
      <c r="D78" s="119" t="s">
        <v>1993</v>
      </c>
      <c r="E78" s="1139"/>
      <c r="F78" s="1139"/>
      <c r="G78" s="1139"/>
      <c r="H78" s="1139"/>
      <c r="I78" s="1139"/>
      <c r="J78" s="1139">
        <v>350000</v>
      </c>
      <c r="K78" s="1139"/>
      <c r="L78" s="1139"/>
      <c r="M78" s="1139" t="s">
        <v>229</v>
      </c>
      <c r="N78" s="69" t="s">
        <v>229</v>
      </c>
    </row>
    <row r="79" spans="1:14" s="9" customFormat="1" ht="28.5" customHeight="1" x14ac:dyDescent="0.2">
      <c r="A79" s="56">
        <v>4</v>
      </c>
      <c r="B79" s="140">
        <v>306</v>
      </c>
      <c r="C79" s="119"/>
      <c r="D79" s="156" t="s">
        <v>1994</v>
      </c>
      <c r="E79" s="1139"/>
      <c r="F79" s="1139"/>
      <c r="G79" s="1139"/>
      <c r="H79" s="1139"/>
      <c r="I79" s="1139"/>
      <c r="J79" s="1139">
        <v>400000</v>
      </c>
      <c r="K79" s="1139"/>
      <c r="L79" s="1139"/>
      <c r="M79" s="1139" t="s">
        <v>229</v>
      </c>
      <c r="N79" s="69" t="s">
        <v>229</v>
      </c>
    </row>
    <row r="80" spans="1:14" s="9" customFormat="1" ht="28.5" customHeight="1" x14ac:dyDescent="0.2">
      <c r="A80" s="56" t="s">
        <v>198</v>
      </c>
      <c r="B80" s="140">
        <v>306</v>
      </c>
      <c r="C80" s="119"/>
      <c r="D80" s="119" t="s">
        <v>1995</v>
      </c>
      <c r="E80" s="1139"/>
      <c r="F80" s="1139"/>
      <c r="G80" s="1139"/>
      <c r="H80" s="1139"/>
      <c r="I80" s="1139"/>
      <c r="J80" s="1139">
        <v>350000</v>
      </c>
      <c r="K80" s="1139"/>
      <c r="L80" s="1139"/>
      <c r="M80" s="1139" t="s">
        <v>229</v>
      </c>
      <c r="N80" s="69" t="s">
        <v>229</v>
      </c>
    </row>
    <row r="81" spans="1:14" s="9" customFormat="1" ht="28.5" customHeight="1" x14ac:dyDescent="0.2">
      <c r="A81" s="56" t="s">
        <v>199</v>
      </c>
      <c r="B81" s="140">
        <v>306</v>
      </c>
      <c r="C81" s="119"/>
      <c r="D81" s="119" t="s">
        <v>1996</v>
      </c>
      <c r="E81" s="1139"/>
      <c r="F81" s="1139"/>
      <c r="G81" s="1139"/>
      <c r="H81" s="1139"/>
      <c r="I81" s="1139"/>
      <c r="J81" s="1139">
        <v>300000</v>
      </c>
      <c r="K81" s="1139"/>
      <c r="L81" s="1139"/>
      <c r="M81" s="1139" t="s">
        <v>229</v>
      </c>
      <c r="N81" s="69" t="s">
        <v>229</v>
      </c>
    </row>
    <row r="82" spans="1:14" s="9" customFormat="1" ht="28.5" customHeight="1" x14ac:dyDescent="0.2">
      <c r="A82" s="56" t="s">
        <v>200</v>
      </c>
      <c r="B82" s="140">
        <v>306</v>
      </c>
      <c r="C82" s="119"/>
      <c r="D82" s="119" t="s">
        <v>1997</v>
      </c>
      <c r="E82" s="1139"/>
      <c r="F82" s="1139"/>
      <c r="G82" s="1139"/>
      <c r="H82" s="1139"/>
      <c r="I82" s="1139"/>
      <c r="J82" s="1139">
        <v>530000</v>
      </c>
      <c r="K82" s="1139"/>
      <c r="L82" s="1139"/>
      <c r="M82" s="1139" t="s">
        <v>229</v>
      </c>
      <c r="N82" s="69" t="s">
        <v>229</v>
      </c>
    </row>
    <row r="83" spans="1:14" s="9" customFormat="1" ht="28.5" customHeight="1" x14ac:dyDescent="0.2">
      <c r="A83" s="56" t="s">
        <v>201</v>
      </c>
      <c r="B83" s="140">
        <v>306</v>
      </c>
      <c r="C83" s="119"/>
      <c r="D83" s="119" t="s">
        <v>1998</v>
      </c>
      <c r="E83" s="1139"/>
      <c r="F83" s="1139"/>
      <c r="G83" s="1139"/>
      <c r="H83" s="1139"/>
      <c r="I83" s="1139"/>
      <c r="J83" s="1139">
        <v>250000</v>
      </c>
      <c r="K83" s="1139"/>
      <c r="L83" s="1139"/>
      <c r="M83" s="1139" t="s">
        <v>229</v>
      </c>
      <c r="N83" s="69" t="s">
        <v>229</v>
      </c>
    </row>
    <row r="84" spans="1:14" s="9" customFormat="1" ht="28.5" customHeight="1" x14ac:dyDescent="0.2">
      <c r="A84" s="56" t="s">
        <v>202</v>
      </c>
      <c r="B84" s="140">
        <v>306</v>
      </c>
      <c r="C84" s="119"/>
      <c r="D84" s="119" t="s">
        <v>1999</v>
      </c>
      <c r="E84" s="1139"/>
      <c r="F84" s="1139"/>
      <c r="G84" s="1139"/>
      <c r="H84" s="1139"/>
      <c r="I84" s="1139"/>
      <c r="J84" s="1139">
        <v>200000</v>
      </c>
      <c r="K84" s="1139"/>
      <c r="L84" s="1139"/>
      <c r="M84" s="1139" t="s">
        <v>229</v>
      </c>
      <c r="N84" s="69" t="s">
        <v>229</v>
      </c>
    </row>
    <row r="85" spans="1:14" s="9" customFormat="1" ht="28.5" customHeight="1" x14ac:dyDescent="0.2">
      <c r="A85" s="56" t="s">
        <v>203</v>
      </c>
      <c r="B85" s="140">
        <v>306</v>
      </c>
      <c r="C85" s="119"/>
      <c r="D85" s="156" t="s">
        <v>2000</v>
      </c>
      <c r="E85" s="1139"/>
      <c r="F85" s="1139"/>
      <c r="G85" s="1139"/>
      <c r="H85" s="1139"/>
      <c r="I85" s="1139"/>
      <c r="J85" s="1139">
        <v>150000</v>
      </c>
      <c r="K85" s="1139"/>
      <c r="L85" s="1139"/>
      <c r="M85" s="1139" t="s">
        <v>229</v>
      </c>
      <c r="N85" s="69" t="s">
        <v>229</v>
      </c>
    </row>
    <row r="86" spans="1:14" s="9" customFormat="1" ht="28.5" customHeight="1" x14ac:dyDescent="0.2">
      <c r="A86" s="56" t="s">
        <v>204</v>
      </c>
      <c r="B86" s="140">
        <v>306</v>
      </c>
      <c r="C86" s="119"/>
      <c r="D86" s="119" t="s">
        <v>2001</v>
      </c>
      <c r="E86" s="1139"/>
      <c r="F86" s="1139"/>
      <c r="G86" s="1139"/>
      <c r="H86" s="1139"/>
      <c r="I86" s="1139"/>
      <c r="J86" s="1139">
        <v>195000</v>
      </c>
      <c r="K86" s="1139"/>
      <c r="L86" s="1139"/>
      <c r="M86" s="1139" t="s">
        <v>229</v>
      </c>
      <c r="N86" s="69" t="s">
        <v>229</v>
      </c>
    </row>
    <row r="87" spans="1:14" s="9" customFormat="1" ht="28.5" customHeight="1" x14ac:dyDescent="0.2">
      <c r="A87" s="56" t="s">
        <v>231</v>
      </c>
      <c r="B87" s="140">
        <v>306</v>
      </c>
      <c r="C87" s="119"/>
      <c r="D87" s="119" t="s">
        <v>2002</v>
      </c>
      <c r="E87" s="1139"/>
      <c r="F87" s="1139"/>
      <c r="G87" s="1139"/>
      <c r="H87" s="1139"/>
      <c r="I87" s="1139"/>
      <c r="J87" s="1139">
        <v>250000</v>
      </c>
      <c r="K87" s="1139"/>
      <c r="L87" s="1139"/>
      <c r="M87" s="1139" t="s">
        <v>229</v>
      </c>
      <c r="N87" s="69" t="s">
        <v>229</v>
      </c>
    </row>
    <row r="88" spans="1:14" s="9" customFormat="1" ht="28.5" customHeight="1" x14ac:dyDescent="0.2">
      <c r="A88" s="56" t="s">
        <v>232</v>
      </c>
      <c r="B88" s="140">
        <v>306</v>
      </c>
      <c r="C88" s="119"/>
      <c r="D88" s="156" t="s">
        <v>2003</v>
      </c>
      <c r="E88" s="1139"/>
      <c r="F88" s="1139"/>
      <c r="G88" s="1139"/>
      <c r="H88" s="1139"/>
      <c r="I88" s="1139"/>
      <c r="J88" s="1139">
        <v>350000</v>
      </c>
      <c r="K88" s="1139"/>
      <c r="L88" s="1139"/>
      <c r="M88" s="1139" t="s">
        <v>229</v>
      </c>
      <c r="N88" s="69" t="s">
        <v>229</v>
      </c>
    </row>
    <row r="89" spans="1:14" s="9" customFormat="1" ht="28.5" customHeight="1" x14ac:dyDescent="0.2">
      <c r="A89" s="56" t="s">
        <v>233</v>
      </c>
      <c r="B89" s="140">
        <v>306</v>
      </c>
      <c r="C89" s="119"/>
      <c r="D89" s="119" t="s">
        <v>2004</v>
      </c>
      <c r="E89" s="1139"/>
      <c r="F89" s="1139"/>
      <c r="G89" s="1139"/>
      <c r="H89" s="1139"/>
      <c r="I89" s="1139"/>
      <c r="J89" s="1139">
        <v>700000</v>
      </c>
      <c r="K89" s="1139"/>
      <c r="L89" s="1139"/>
      <c r="M89" s="1139" t="s">
        <v>229</v>
      </c>
      <c r="N89" s="69" t="s">
        <v>229</v>
      </c>
    </row>
    <row r="90" spans="1:14" s="9" customFormat="1" ht="28.5" customHeight="1" x14ac:dyDescent="0.2">
      <c r="A90" s="56" t="s">
        <v>234</v>
      </c>
      <c r="B90" s="140">
        <v>306</v>
      </c>
      <c r="C90" s="119"/>
      <c r="D90" s="119" t="s">
        <v>2005</v>
      </c>
      <c r="E90" s="1139"/>
      <c r="F90" s="1139"/>
      <c r="G90" s="1139"/>
      <c r="H90" s="1139"/>
      <c r="I90" s="1139"/>
      <c r="J90" s="1139">
        <v>450000</v>
      </c>
      <c r="K90" s="1139"/>
      <c r="L90" s="1139"/>
      <c r="M90" s="1139" t="s">
        <v>229</v>
      </c>
      <c r="N90" s="69" t="s">
        <v>229</v>
      </c>
    </row>
    <row r="91" spans="1:14" s="9" customFormat="1" ht="28.5" customHeight="1" x14ac:dyDescent="0.2">
      <c r="A91" s="56" t="s">
        <v>235</v>
      </c>
      <c r="B91" s="140">
        <v>306</v>
      </c>
      <c r="C91" s="119"/>
      <c r="D91" s="119" t="s">
        <v>2006</v>
      </c>
      <c r="E91" s="1139"/>
      <c r="F91" s="1139"/>
      <c r="G91" s="1139"/>
      <c r="H91" s="1139"/>
      <c r="I91" s="1139"/>
      <c r="J91" s="1139">
        <v>150000</v>
      </c>
      <c r="K91" s="1139"/>
      <c r="L91" s="1139"/>
      <c r="M91" s="1139" t="s">
        <v>229</v>
      </c>
      <c r="N91" s="69" t="s">
        <v>229</v>
      </c>
    </row>
    <row r="92" spans="1:14" s="9" customFormat="1" ht="28.5" customHeight="1" x14ac:dyDescent="0.2">
      <c r="A92" s="56" t="s">
        <v>236</v>
      </c>
      <c r="B92" s="140">
        <v>306</v>
      </c>
      <c r="C92" s="119"/>
      <c r="D92" s="156" t="s">
        <v>2007</v>
      </c>
      <c r="E92" s="1139"/>
      <c r="F92" s="1139"/>
      <c r="G92" s="1139"/>
      <c r="H92" s="1139"/>
      <c r="I92" s="1139"/>
      <c r="J92" s="1139">
        <v>150000</v>
      </c>
      <c r="K92" s="1139"/>
      <c r="L92" s="1139"/>
      <c r="M92" s="1139" t="s">
        <v>229</v>
      </c>
      <c r="N92" s="69" t="s">
        <v>229</v>
      </c>
    </row>
    <row r="93" spans="1:14" s="9" customFormat="1" ht="28.5" customHeight="1" x14ac:dyDescent="0.2">
      <c r="A93" s="56" t="s">
        <v>237</v>
      </c>
      <c r="B93" s="140">
        <v>306</v>
      </c>
      <c r="C93" s="119"/>
      <c r="D93" s="119" t="s">
        <v>2008</v>
      </c>
      <c r="E93" s="1139"/>
      <c r="F93" s="1139"/>
      <c r="G93" s="1139"/>
      <c r="H93" s="1139"/>
      <c r="I93" s="1139"/>
      <c r="J93" s="1139">
        <v>450000</v>
      </c>
      <c r="K93" s="1139"/>
      <c r="L93" s="1139"/>
      <c r="M93" s="1139" t="s">
        <v>229</v>
      </c>
      <c r="N93" s="69" t="s">
        <v>229</v>
      </c>
    </row>
    <row r="94" spans="1:14" s="9" customFormat="1" ht="28.5" customHeight="1" x14ac:dyDescent="0.2">
      <c r="A94" s="56" t="s">
        <v>238</v>
      </c>
      <c r="B94" s="140">
        <v>306</v>
      </c>
      <c r="C94" s="119"/>
      <c r="D94" s="156" t="s">
        <v>2081</v>
      </c>
      <c r="E94" s="1139"/>
      <c r="F94" s="1139"/>
      <c r="G94" s="1139"/>
      <c r="H94" s="1139"/>
      <c r="I94" s="1139"/>
      <c r="J94" s="1139">
        <v>400000</v>
      </c>
      <c r="K94" s="1139"/>
      <c r="L94" s="1139"/>
      <c r="M94" s="1139" t="s">
        <v>229</v>
      </c>
      <c r="N94" s="69" t="s">
        <v>229</v>
      </c>
    </row>
    <row r="95" spans="1:14" s="9" customFormat="1" ht="28.5" customHeight="1" x14ac:dyDescent="0.2">
      <c r="A95" s="56" t="s">
        <v>239</v>
      </c>
      <c r="B95" s="140">
        <v>306</v>
      </c>
      <c r="C95" s="119"/>
      <c r="D95" s="119" t="s">
        <v>2009</v>
      </c>
      <c r="E95" s="1139"/>
      <c r="F95" s="1139"/>
      <c r="G95" s="1139"/>
      <c r="H95" s="1139"/>
      <c r="I95" s="1139"/>
      <c r="J95" s="1139">
        <v>400000</v>
      </c>
      <c r="K95" s="1139"/>
      <c r="L95" s="1139"/>
      <c r="M95" s="1139" t="s">
        <v>229</v>
      </c>
      <c r="N95" s="69" t="s">
        <v>229</v>
      </c>
    </row>
    <row r="96" spans="1:14" s="9" customFormat="1" ht="28.5" customHeight="1" x14ac:dyDescent="0.2">
      <c r="A96" s="56" t="s">
        <v>266</v>
      </c>
      <c r="B96" s="140">
        <v>306</v>
      </c>
      <c r="C96" s="119"/>
      <c r="D96" s="156" t="s">
        <v>2082</v>
      </c>
      <c r="E96" s="1139"/>
      <c r="F96" s="1139"/>
      <c r="G96" s="1139"/>
      <c r="H96" s="1139"/>
      <c r="I96" s="1139"/>
      <c r="J96" s="1139">
        <v>300000</v>
      </c>
      <c r="K96" s="1139"/>
      <c r="L96" s="1139"/>
      <c r="M96" s="1139" t="s">
        <v>229</v>
      </c>
      <c r="N96" s="69" t="s">
        <v>229</v>
      </c>
    </row>
    <row r="97" spans="1:14" s="9" customFormat="1" ht="28.5" customHeight="1" x14ac:dyDescent="0.2">
      <c r="A97" s="56" t="s">
        <v>267</v>
      </c>
      <c r="B97" s="140">
        <v>306</v>
      </c>
      <c r="C97" s="119"/>
      <c r="D97" s="119" t="s">
        <v>2010</v>
      </c>
      <c r="E97" s="1139"/>
      <c r="F97" s="1139"/>
      <c r="G97" s="1139"/>
      <c r="H97" s="1139"/>
      <c r="I97" s="1139"/>
      <c r="J97" s="1139">
        <v>450000</v>
      </c>
      <c r="K97" s="1139"/>
      <c r="L97" s="1139"/>
      <c r="M97" s="1139" t="s">
        <v>229</v>
      </c>
      <c r="N97" s="69" t="s">
        <v>229</v>
      </c>
    </row>
    <row r="98" spans="1:14" s="9" customFormat="1" ht="28.5" customHeight="1" x14ac:dyDescent="0.2">
      <c r="A98" s="56" t="s">
        <v>268</v>
      </c>
      <c r="B98" s="140">
        <v>306</v>
      </c>
      <c r="C98" s="119"/>
      <c r="D98" s="119" t="s">
        <v>2011</v>
      </c>
      <c r="E98" s="1139"/>
      <c r="F98" s="1139"/>
      <c r="G98" s="1139"/>
      <c r="H98" s="1139"/>
      <c r="I98" s="1139"/>
      <c r="J98" s="1139">
        <v>350000</v>
      </c>
      <c r="K98" s="1139"/>
      <c r="L98" s="1139"/>
      <c r="M98" s="1139" t="s">
        <v>229</v>
      </c>
      <c r="N98" s="69" t="s">
        <v>229</v>
      </c>
    </row>
    <row r="99" spans="1:14" s="9" customFormat="1" ht="28.5" customHeight="1" x14ac:dyDescent="0.2">
      <c r="A99" s="56" t="s">
        <v>269</v>
      </c>
      <c r="B99" s="140">
        <v>306</v>
      </c>
      <c r="C99" s="119"/>
      <c r="D99" s="119" t="s">
        <v>2012</v>
      </c>
      <c r="E99" s="1139"/>
      <c r="F99" s="1139"/>
      <c r="G99" s="1139"/>
      <c r="H99" s="1139"/>
      <c r="I99" s="1139"/>
      <c r="J99" s="1139">
        <v>450000</v>
      </c>
      <c r="K99" s="1139"/>
      <c r="L99" s="1139"/>
      <c r="M99" s="1139" t="s">
        <v>229</v>
      </c>
      <c r="N99" s="69" t="s">
        <v>229</v>
      </c>
    </row>
    <row r="100" spans="1:14" s="9" customFormat="1" ht="28.5" customHeight="1" x14ac:dyDescent="0.2">
      <c r="A100" s="56" t="s">
        <v>270</v>
      </c>
      <c r="B100" s="140">
        <v>306</v>
      </c>
      <c r="C100" s="119"/>
      <c r="D100" s="119" t="s">
        <v>2013</v>
      </c>
      <c r="E100" s="1139"/>
      <c r="F100" s="1139"/>
      <c r="G100" s="1139"/>
      <c r="H100" s="1139"/>
      <c r="I100" s="1139"/>
      <c r="J100" s="1139">
        <v>400000</v>
      </c>
      <c r="K100" s="1139"/>
      <c r="L100" s="1139"/>
      <c r="M100" s="1139" t="s">
        <v>229</v>
      </c>
      <c r="N100" s="69" t="s">
        <v>229</v>
      </c>
    </row>
    <row r="101" spans="1:14" s="9" customFormat="1" ht="28.5" customHeight="1" x14ac:dyDescent="0.2">
      <c r="A101" s="56" t="s">
        <v>271</v>
      </c>
      <c r="B101" s="140">
        <v>306</v>
      </c>
      <c r="C101" s="119"/>
      <c r="D101" s="119" t="s">
        <v>2014</v>
      </c>
      <c r="E101" s="1139"/>
      <c r="F101" s="1139"/>
      <c r="G101" s="1139"/>
      <c r="H101" s="1139"/>
      <c r="I101" s="1139"/>
      <c r="J101" s="1139">
        <v>400000</v>
      </c>
      <c r="K101" s="1139"/>
      <c r="L101" s="1139"/>
      <c r="M101" s="1139" t="s">
        <v>229</v>
      </c>
      <c r="N101" s="69" t="s">
        <v>229</v>
      </c>
    </row>
    <row r="102" spans="1:14" s="9" customFormat="1" ht="28.5" customHeight="1" x14ac:dyDescent="0.2">
      <c r="A102" s="56" t="s">
        <v>272</v>
      </c>
      <c r="B102" s="140">
        <v>306</v>
      </c>
      <c r="C102" s="119"/>
      <c r="D102" s="119" t="s">
        <v>2015</v>
      </c>
      <c r="E102" s="1139"/>
      <c r="F102" s="1139"/>
      <c r="G102" s="1139"/>
      <c r="H102" s="1139"/>
      <c r="I102" s="1139"/>
      <c r="J102" s="1139">
        <v>600000</v>
      </c>
      <c r="K102" s="1139"/>
      <c r="L102" s="1139"/>
      <c r="M102" s="1139" t="s">
        <v>229</v>
      </c>
      <c r="N102" s="69" t="s">
        <v>229</v>
      </c>
    </row>
    <row r="103" spans="1:14" s="9" customFormat="1" ht="28.5" customHeight="1" x14ac:dyDescent="0.2">
      <c r="A103" s="148" t="s">
        <v>273</v>
      </c>
      <c r="B103" s="660">
        <v>306</v>
      </c>
      <c r="C103" s="155"/>
      <c r="D103" s="797" t="s">
        <v>2016</v>
      </c>
      <c r="E103" s="333"/>
      <c r="F103" s="333"/>
      <c r="G103" s="333"/>
      <c r="H103" s="333"/>
      <c r="I103" s="333"/>
      <c r="J103" s="333">
        <v>150000</v>
      </c>
      <c r="K103" s="333"/>
      <c r="L103" s="333"/>
      <c r="M103" s="333" t="s">
        <v>229</v>
      </c>
      <c r="N103" s="1212" t="s">
        <v>229</v>
      </c>
    </row>
    <row r="104" spans="1:14" s="9" customFormat="1" ht="28.5" customHeight="1" x14ac:dyDescent="0.2">
      <c r="A104" s="1728" t="s">
        <v>1974</v>
      </c>
      <c r="B104" s="1729"/>
      <c r="C104" s="1729"/>
      <c r="D104" s="324" t="s">
        <v>2017</v>
      </c>
      <c r="E104" s="43">
        <f>SUM(E105:E110)</f>
        <v>0</v>
      </c>
      <c r="F104" s="43">
        <f t="shared" ref="F104:L104" si="14">SUM(F105:F110)</f>
        <v>0</v>
      </c>
      <c r="G104" s="43">
        <f t="shared" si="14"/>
        <v>0</v>
      </c>
      <c r="H104" s="43">
        <f t="shared" si="14"/>
        <v>0</v>
      </c>
      <c r="I104" s="43">
        <f t="shared" si="14"/>
        <v>0</v>
      </c>
      <c r="J104" s="43">
        <f t="shared" si="14"/>
        <v>1770000</v>
      </c>
      <c r="K104" s="43">
        <f t="shared" si="14"/>
        <v>0</v>
      </c>
      <c r="L104" s="43">
        <f t="shared" si="14"/>
        <v>0</v>
      </c>
      <c r="M104" s="43"/>
      <c r="N104" s="123"/>
    </row>
    <row r="105" spans="1:14" s="9" customFormat="1" ht="28.5" customHeight="1" x14ac:dyDescent="0.2">
      <c r="A105" s="55" t="s">
        <v>194</v>
      </c>
      <c r="B105" s="158">
        <v>306</v>
      </c>
      <c r="C105" s="323"/>
      <c r="D105" s="323" t="s">
        <v>2018</v>
      </c>
      <c r="E105" s="1138"/>
      <c r="F105" s="1138"/>
      <c r="G105" s="1138"/>
      <c r="H105" s="1138"/>
      <c r="I105" s="1138"/>
      <c r="J105" s="1138">
        <v>300000</v>
      </c>
      <c r="K105" s="1138"/>
      <c r="L105" s="1138"/>
      <c r="M105" s="1138" t="s">
        <v>229</v>
      </c>
      <c r="N105" s="1164" t="s">
        <v>229</v>
      </c>
    </row>
    <row r="106" spans="1:14" s="9" customFormat="1" ht="28.5" customHeight="1" x14ac:dyDescent="0.2">
      <c r="A106" s="56" t="s">
        <v>195</v>
      </c>
      <c r="B106" s="140">
        <v>306</v>
      </c>
      <c r="C106" s="119"/>
      <c r="D106" s="119" t="s">
        <v>2019</v>
      </c>
      <c r="E106" s="1139"/>
      <c r="F106" s="1139"/>
      <c r="G106" s="1139"/>
      <c r="H106" s="1139"/>
      <c r="I106" s="1139"/>
      <c r="J106" s="1139">
        <v>400000</v>
      </c>
      <c r="K106" s="1139"/>
      <c r="L106" s="1139"/>
      <c r="M106" s="1139" t="s">
        <v>229</v>
      </c>
      <c r="N106" s="69" t="s">
        <v>229</v>
      </c>
    </row>
    <row r="107" spans="1:14" s="9" customFormat="1" ht="28.5" customHeight="1" x14ac:dyDescent="0.2">
      <c r="A107" s="56" t="s">
        <v>196</v>
      </c>
      <c r="B107" s="140">
        <v>306</v>
      </c>
      <c r="C107" s="119"/>
      <c r="D107" s="119" t="s">
        <v>2020</v>
      </c>
      <c r="E107" s="1139"/>
      <c r="F107" s="1139"/>
      <c r="G107" s="1139"/>
      <c r="H107" s="1139"/>
      <c r="I107" s="1139"/>
      <c r="J107" s="1139">
        <v>400000</v>
      </c>
      <c r="K107" s="1139"/>
      <c r="L107" s="1139"/>
      <c r="M107" s="1139" t="s">
        <v>229</v>
      </c>
      <c r="N107" s="69" t="s">
        <v>229</v>
      </c>
    </row>
    <row r="108" spans="1:14" s="9" customFormat="1" ht="28.5" customHeight="1" x14ac:dyDescent="0.2">
      <c r="A108" s="56" t="s">
        <v>197</v>
      </c>
      <c r="B108" s="140">
        <v>306</v>
      </c>
      <c r="C108" s="119"/>
      <c r="D108" s="119" t="s">
        <v>2021</v>
      </c>
      <c r="E108" s="1139"/>
      <c r="F108" s="1139"/>
      <c r="G108" s="1139"/>
      <c r="H108" s="1139"/>
      <c r="I108" s="1139"/>
      <c r="J108" s="1139">
        <v>250000</v>
      </c>
      <c r="K108" s="1139"/>
      <c r="L108" s="1139"/>
      <c r="M108" s="1139" t="s">
        <v>229</v>
      </c>
      <c r="N108" s="69" t="s">
        <v>229</v>
      </c>
    </row>
    <row r="109" spans="1:14" s="9" customFormat="1" ht="28.5" customHeight="1" x14ac:dyDescent="0.2">
      <c r="A109" s="56" t="s">
        <v>198</v>
      </c>
      <c r="B109" s="140">
        <v>306</v>
      </c>
      <c r="C109" s="119"/>
      <c r="D109" s="119" t="s">
        <v>2022</v>
      </c>
      <c r="E109" s="1139"/>
      <c r="F109" s="1139"/>
      <c r="G109" s="1139"/>
      <c r="H109" s="1139"/>
      <c r="I109" s="1139"/>
      <c r="J109" s="1139">
        <v>170000</v>
      </c>
      <c r="K109" s="1139"/>
      <c r="L109" s="1139"/>
      <c r="M109" s="1139" t="s">
        <v>229</v>
      </c>
      <c r="N109" s="69" t="s">
        <v>229</v>
      </c>
    </row>
    <row r="110" spans="1:14" s="9" customFormat="1" ht="28.5" customHeight="1" x14ac:dyDescent="0.2">
      <c r="A110" s="148" t="s">
        <v>199</v>
      </c>
      <c r="B110" s="660">
        <v>306</v>
      </c>
      <c r="C110" s="155"/>
      <c r="D110" s="155" t="s">
        <v>2023</v>
      </c>
      <c r="E110" s="333"/>
      <c r="F110" s="333"/>
      <c r="G110" s="333"/>
      <c r="H110" s="333"/>
      <c r="I110" s="333"/>
      <c r="J110" s="333">
        <v>250000</v>
      </c>
      <c r="K110" s="333"/>
      <c r="L110" s="333"/>
      <c r="M110" s="333" t="s">
        <v>229</v>
      </c>
      <c r="N110" s="1212" t="s">
        <v>229</v>
      </c>
    </row>
    <row r="111" spans="1:14" s="9" customFormat="1" ht="21" customHeight="1" x14ac:dyDescent="0.2">
      <c r="A111" s="1730" t="s">
        <v>2024</v>
      </c>
      <c r="B111" s="1731"/>
      <c r="C111" s="1731"/>
      <c r="D111" s="1731"/>
      <c r="E111" s="1192"/>
      <c r="F111" s="1192"/>
      <c r="G111" s="1192"/>
      <c r="H111" s="1192"/>
      <c r="I111" s="1192"/>
      <c r="J111" s="1195">
        <f>+J60+J69+J71+J75+J104</f>
        <v>14650000</v>
      </c>
      <c r="K111" s="1192"/>
      <c r="L111" s="1192"/>
      <c r="M111" s="1193"/>
      <c r="N111" s="1194"/>
    </row>
    <row r="112" spans="1:14" s="47" customFormat="1" ht="23.25" customHeight="1" x14ac:dyDescent="0.25">
      <c r="A112" s="1747" t="s">
        <v>543</v>
      </c>
      <c r="B112" s="1747"/>
      <c r="C112" s="1747"/>
      <c r="D112" s="1747"/>
      <c r="E112" s="1747"/>
      <c r="F112" s="1747"/>
      <c r="G112" s="1747"/>
      <c r="H112" s="1747"/>
      <c r="I112" s="1747"/>
      <c r="J112" s="1747"/>
      <c r="K112" s="1747"/>
      <c r="L112" s="1747"/>
      <c r="M112" s="1747"/>
      <c r="N112" s="1747"/>
    </row>
    <row r="113" spans="1:14" ht="73.5" customHeight="1" x14ac:dyDescent="0.2">
      <c r="A113" s="772" t="s">
        <v>53</v>
      </c>
      <c r="B113" s="773" t="s">
        <v>54</v>
      </c>
      <c r="C113" s="1570" t="s">
        <v>1</v>
      </c>
      <c r="D113" s="774" t="s">
        <v>2</v>
      </c>
      <c r="E113" s="769" t="s">
        <v>68</v>
      </c>
      <c r="F113" s="769" t="s">
        <v>68</v>
      </c>
      <c r="G113" s="1563" t="s">
        <v>792</v>
      </c>
      <c r="H113" s="1563" t="s">
        <v>792</v>
      </c>
      <c r="I113" s="769" t="s">
        <v>64</v>
      </c>
      <c r="J113" s="769" t="s">
        <v>64</v>
      </c>
      <c r="K113" s="339" t="s">
        <v>874</v>
      </c>
      <c r="L113" s="339" t="s">
        <v>874</v>
      </c>
      <c r="M113" s="701" t="s">
        <v>11</v>
      </c>
      <c r="N113" s="1564" t="s">
        <v>11</v>
      </c>
    </row>
    <row r="114" spans="1:14" ht="20.25" customHeight="1" x14ac:dyDescent="0.2">
      <c r="A114" s="1750" t="s">
        <v>55</v>
      </c>
      <c r="B114" s="1751"/>
      <c r="C114" s="1751"/>
      <c r="D114" s="1751"/>
      <c r="E114" s="702" t="s">
        <v>77</v>
      </c>
      <c r="F114" s="702" t="s">
        <v>77</v>
      </c>
      <c r="G114" s="766" t="s">
        <v>793</v>
      </c>
      <c r="H114" s="766" t="s">
        <v>793</v>
      </c>
      <c r="I114" s="702" t="s">
        <v>399</v>
      </c>
      <c r="J114" s="702" t="s">
        <v>399</v>
      </c>
      <c r="K114" s="702"/>
      <c r="L114" s="702"/>
      <c r="M114" s="702"/>
      <c r="N114" s="123"/>
    </row>
    <row r="115" spans="1:14" s="39" customFormat="1" ht="23.25" customHeight="1" x14ac:dyDescent="0.2">
      <c r="A115" s="1753" t="s">
        <v>62</v>
      </c>
      <c r="B115" s="1754"/>
      <c r="C115" s="1754"/>
      <c r="D115" s="1561" t="s">
        <v>63</v>
      </c>
      <c r="E115" s="728">
        <f>SUM(E116:E117)</f>
        <v>0</v>
      </c>
      <c r="F115" s="728">
        <f t="shared" ref="F115:L115" si="15">SUM(F116:F117)</f>
        <v>0</v>
      </c>
      <c r="G115" s="728">
        <f t="shared" si="15"/>
        <v>0</v>
      </c>
      <c r="H115" s="728">
        <f t="shared" si="15"/>
        <v>0</v>
      </c>
      <c r="I115" s="728">
        <f t="shared" si="15"/>
        <v>7047905</v>
      </c>
      <c r="J115" s="728">
        <f t="shared" si="15"/>
        <v>7047905</v>
      </c>
      <c r="K115" s="728">
        <f t="shared" si="15"/>
        <v>0</v>
      </c>
      <c r="L115" s="728">
        <f t="shared" si="15"/>
        <v>0</v>
      </c>
      <c r="M115" s="770"/>
      <c r="N115" s="328"/>
    </row>
    <row r="116" spans="1:14" ht="26.25" customHeight="1" x14ac:dyDescent="0.2">
      <c r="A116" s="55" t="s">
        <v>194</v>
      </c>
      <c r="B116" s="1253" t="s">
        <v>774</v>
      </c>
      <c r="C116" s="862"/>
      <c r="D116" s="1154" t="s">
        <v>1399</v>
      </c>
      <c r="E116" s="335"/>
      <c r="F116" s="335"/>
      <c r="G116" s="335"/>
      <c r="H116" s="335"/>
      <c r="I116" s="1254">
        <v>6800000</v>
      </c>
      <c r="J116" s="1254">
        <v>6800000</v>
      </c>
      <c r="K116" s="633"/>
      <c r="L116" s="633"/>
      <c r="M116" s="633" t="s">
        <v>229</v>
      </c>
      <c r="N116" s="634" t="s">
        <v>229</v>
      </c>
    </row>
    <row r="117" spans="1:14" ht="27.75" customHeight="1" x14ac:dyDescent="0.2">
      <c r="A117" s="148" t="s">
        <v>195</v>
      </c>
      <c r="B117" s="666" t="s">
        <v>774</v>
      </c>
      <c r="C117" s="150"/>
      <c r="D117" s="678" t="s">
        <v>1398</v>
      </c>
      <c r="E117" s="151"/>
      <c r="F117" s="151"/>
      <c r="G117" s="151"/>
      <c r="H117" s="151"/>
      <c r="I117" s="1255">
        <v>247905</v>
      </c>
      <c r="J117" s="1255">
        <v>247905</v>
      </c>
      <c r="K117" s="154"/>
      <c r="L117" s="154"/>
      <c r="M117" s="154" t="s">
        <v>229</v>
      </c>
      <c r="N117" s="173" t="s">
        <v>229</v>
      </c>
    </row>
    <row r="118" spans="1:14" s="39" customFormat="1" ht="23.25" customHeight="1" x14ac:dyDescent="0.2">
      <c r="A118" s="1753" t="s">
        <v>76</v>
      </c>
      <c r="B118" s="1754"/>
      <c r="C118" s="1754"/>
      <c r="D118" s="1561" t="s">
        <v>441</v>
      </c>
      <c r="E118" s="329">
        <f>SUM(E119:E120)</f>
        <v>0</v>
      </c>
      <c r="F118" s="329">
        <f t="shared" ref="F118:L118" si="16">SUM(F119:F120)</f>
        <v>0</v>
      </c>
      <c r="G118" s="329">
        <f t="shared" si="16"/>
        <v>0</v>
      </c>
      <c r="H118" s="329">
        <f t="shared" si="16"/>
        <v>0</v>
      </c>
      <c r="I118" s="329">
        <f t="shared" si="16"/>
        <v>117853492</v>
      </c>
      <c r="J118" s="329">
        <f t="shared" si="16"/>
        <v>116217201</v>
      </c>
      <c r="K118" s="329">
        <f t="shared" si="16"/>
        <v>0</v>
      </c>
      <c r="L118" s="329">
        <f t="shared" si="16"/>
        <v>0</v>
      </c>
      <c r="M118" s="327"/>
      <c r="N118" s="95"/>
    </row>
    <row r="119" spans="1:14" ht="30.75" customHeight="1" x14ac:dyDescent="0.2">
      <c r="A119" s="55" t="s">
        <v>194</v>
      </c>
      <c r="B119" s="1253" t="s">
        <v>775</v>
      </c>
      <c r="C119" s="862"/>
      <c r="D119" s="1154" t="s">
        <v>1396</v>
      </c>
      <c r="E119" s="727"/>
      <c r="F119" s="727"/>
      <c r="G119" s="727"/>
      <c r="H119" s="727"/>
      <c r="I119" s="1287">
        <v>113200000</v>
      </c>
      <c r="J119" s="1287">
        <f>113200000-1636291</f>
        <v>111563709</v>
      </c>
      <c r="K119" s="335"/>
      <c r="L119" s="335"/>
      <c r="M119" s="633" t="s">
        <v>229</v>
      </c>
      <c r="N119" s="634" t="s">
        <v>229</v>
      </c>
    </row>
    <row r="120" spans="1:14" ht="30.75" customHeight="1" x14ac:dyDescent="0.2">
      <c r="A120" s="148" t="s">
        <v>195</v>
      </c>
      <c r="B120" s="666" t="s">
        <v>775</v>
      </c>
      <c r="C120" s="150"/>
      <c r="D120" s="678" t="s">
        <v>1397</v>
      </c>
      <c r="E120" s="336"/>
      <c r="F120" s="336"/>
      <c r="G120" s="336"/>
      <c r="H120" s="336"/>
      <c r="I120" s="151">
        <v>4653492</v>
      </c>
      <c r="J120" s="151">
        <v>4653492</v>
      </c>
      <c r="K120" s="151"/>
      <c r="L120" s="151"/>
      <c r="M120" s="154" t="s">
        <v>229</v>
      </c>
      <c r="N120" s="173" t="s">
        <v>229</v>
      </c>
    </row>
    <row r="121" spans="1:14" ht="23.25" customHeight="1" x14ac:dyDescent="0.2">
      <c r="A121" s="330"/>
      <c r="B121" s="331"/>
      <c r="C121" s="172"/>
      <c r="D121" s="1561" t="s">
        <v>79</v>
      </c>
      <c r="E121" s="157">
        <f>+E115+E118</f>
        <v>0</v>
      </c>
      <c r="F121" s="157">
        <f t="shared" ref="F121:L121" si="17">+F115+F118</f>
        <v>0</v>
      </c>
      <c r="G121" s="157">
        <f t="shared" si="17"/>
        <v>0</v>
      </c>
      <c r="H121" s="157">
        <f t="shared" si="17"/>
        <v>0</v>
      </c>
      <c r="I121" s="329">
        <f>+I115+I118</f>
        <v>124901397</v>
      </c>
      <c r="J121" s="329">
        <f>+J115+J118</f>
        <v>123265106</v>
      </c>
      <c r="K121" s="157">
        <f t="shared" si="17"/>
        <v>0</v>
      </c>
      <c r="L121" s="157">
        <f t="shared" si="17"/>
        <v>0</v>
      </c>
      <c r="M121" s="771"/>
      <c r="N121" s="332"/>
    </row>
    <row r="122" spans="1:14" x14ac:dyDescent="0.2">
      <c r="A122" s="273"/>
      <c r="B122" s="1210"/>
      <c r="C122" s="273"/>
      <c r="D122" s="273"/>
      <c r="E122" s="1211"/>
      <c r="F122" s="1211"/>
      <c r="G122" s="1211"/>
      <c r="H122" s="1211"/>
      <c r="I122" s="1211"/>
      <c r="J122" s="1211"/>
      <c r="K122" s="1211"/>
      <c r="L122" s="1211"/>
      <c r="M122" s="1211"/>
      <c r="N122" s="1211"/>
    </row>
    <row r="123" spans="1:14" s="47" customFormat="1" ht="22.5" customHeight="1" x14ac:dyDescent="0.25">
      <c r="A123" s="1746" t="s">
        <v>78</v>
      </c>
      <c r="B123" s="1746"/>
      <c r="C123" s="1746"/>
      <c r="D123" s="1746"/>
      <c r="E123" s="1746"/>
      <c r="F123" s="1746"/>
      <c r="G123" s="1746"/>
      <c r="H123" s="1746"/>
      <c r="I123" s="1746"/>
      <c r="J123" s="1746"/>
      <c r="K123" s="1746"/>
      <c r="L123" s="1746"/>
      <c r="M123" s="1746"/>
      <c r="N123" s="1746"/>
    </row>
    <row r="124" spans="1:14" ht="73.5" customHeight="1" x14ac:dyDescent="0.2">
      <c r="A124" s="772" t="s">
        <v>53</v>
      </c>
      <c r="B124" s="773" t="s">
        <v>54</v>
      </c>
      <c r="C124" s="1570" t="s">
        <v>1</v>
      </c>
      <c r="D124" s="774" t="s">
        <v>2</v>
      </c>
      <c r="E124" s="769" t="s">
        <v>68</v>
      </c>
      <c r="F124" s="769" t="s">
        <v>68</v>
      </c>
      <c r="G124" s="765" t="s">
        <v>792</v>
      </c>
      <c r="H124" s="765" t="s">
        <v>792</v>
      </c>
      <c r="I124" s="769" t="s">
        <v>64</v>
      </c>
      <c r="J124" s="769" t="s">
        <v>64</v>
      </c>
      <c r="K124" s="339" t="s">
        <v>874</v>
      </c>
      <c r="L124" s="339" t="s">
        <v>874</v>
      </c>
      <c r="M124" s="769" t="s">
        <v>64</v>
      </c>
      <c r="N124" s="1565" t="s">
        <v>64</v>
      </c>
    </row>
    <row r="125" spans="1:14" ht="18" customHeight="1" x14ac:dyDescent="0.2">
      <c r="A125" s="1750" t="s">
        <v>55</v>
      </c>
      <c r="B125" s="1751"/>
      <c r="C125" s="1751"/>
      <c r="D125" s="1751"/>
      <c r="E125" s="702" t="s">
        <v>77</v>
      </c>
      <c r="F125" s="702" t="s">
        <v>77</v>
      </c>
      <c r="G125" s="766" t="s">
        <v>793</v>
      </c>
      <c r="H125" s="766" t="s">
        <v>793</v>
      </c>
      <c r="I125" s="702" t="s">
        <v>399</v>
      </c>
      <c r="J125" s="702" t="s">
        <v>399</v>
      </c>
      <c r="K125" s="702"/>
      <c r="L125" s="702"/>
      <c r="M125" s="702"/>
      <c r="N125" s="123"/>
    </row>
    <row r="126" spans="1:14" s="39" customFormat="1" ht="23.25" customHeight="1" x14ac:dyDescent="0.2">
      <c r="A126" s="1753" t="s">
        <v>1297</v>
      </c>
      <c r="B126" s="1754"/>
      <c r="C126" s="1754"/>
      <c r="D126" s="1561" t="s">
        <v>1298</v>
      </c>
      <c r="E126" s="329"/>
      <c r="F126" s="329"/>
      <c r="G126" s="329"/>
      <c r="H126" s="329"/>
      <c r="I126" s="329"/>
      <c r="J126" s="329"/>
      <c r="K126" s="329"/>
      <c r="L126" s="329"/>
      <c r="M126" s="327"/>
      <c r="N126" s="95"/>
    </row>
    <row r="127" spans="1:14" ht="19.5" customHeight="1" x14ac:dyDescent="0.2">
      <c r="A127" s="55" t="s">
        <v>194</v>
      </c>
      <c r="B127" s="1256" t="s">
        <v>776</v>
      </c>
      <c r="C127" s="862"/>
      <c r="D127" s="78" t="s">
        <v>80</v>
      </c>
      <c r="E127" s="335">
        <v>4000000</v>
      </c>
      <c r="F127" s="335">
        <v>4000000</v>
      </c>
      <c r="G127" s="335"/>
      <c r="H127" s="335"/>
      <c r="I127" s="727"/>
      <c r="J127" s="727"/>
      <c r="K127" s="727"/>
      <c r="L127" s="727"/>
      <c r="M127" s="633" t="s">
        <v>229</v>
      </c>
      <c r="N127" s="634" t="s">
        <v>229</v>
      </c>
    </row>
    <row r="128" spans="1:14" ht="19.5" customHeight="1" x14ac:dyDescent="0.2">
      <c r="A128" s="56" t="s">
        <v>195</v>
      </c>
      <c r="B128" s="147" t="s">
        <v>776</v>
      </c>
      <c r="C128" s="146"/>
      <c r="D128" s="76" t="s">
        <v>81</v>
      </c>
      <c r="E128" s="131">
        <v>18600000</v>
      </c>
      <c r="F128" s="131">
        <v>18600000</v>
      </c>
      <c r="G128" s="131"/>
      <c r="H128" s="131"/>
      <c r="I128" s="364"/>
      <c r="J128" s="364"/>
      <c r="K128" s="364"/>
      <c r="L128" s="364"/>
      <c r="M128" s="116" t="s">
        <v>229</v>
      </c>
      <c r="N128" s="67" t="s">
        <v>229</v>
      </c>
    </row>
    <row r="129" spans="1:15" ht="19.5" customHeight="1" x14ac:dyDescent="0.2">
      <c r="A129" s="148" t="s">
        <v>196</v>
      </c>
      <c r="B129" s="149">
        <v>311</v>
      </c>
      <c r="C129" s="150"/>
      <c r="D129" s="77" t="s">
        <v>626</v>
      </c>
      <c r="E129" s="151">
        <v>4000000</v>
      </c>
      <c r="F129" s="151">
        <v>4000000</v>
      </c>
      <c r="G129" s="151"/>
      <c r="H129" s="151"/>
      <c r="I129" s="336"/>
      <c r="J129" s="336"/>
      <c r="K129" s="336"/>
      <c r="L129" s="336"/>
      <c r="M129" s="154" t="s">
        <v>229</v>
      </c>
      <c r="N129" s="173" t="s">
        <v>229</v>
      </c>
    </row>
    <row r="130" spans="1:15" s="39" customFormat="1" ht="22.5" customHeight="1" x14ac:dyDescent="0.2">
      <c r="A130" s="1719" t="s">
        <v>418</v>
      </c>
      <c r="B130" s="1757"/>
      <c r="C130" s="1757"/>
      <c r="D130" s="1757"/>
      <c r="E130" s="130">
        <f t="shared" ref="E130:L130" si="18">SUM(E127:E129)</f>
        <v>26600000</v>
      </c>
      <c r="F130" s="130">
        <f t="shared" si="18"/>
        <v>26600000</v>
      </c>
      <c r="G130" s="130">
        <f t="shared" si="18"/>
        <v>0</v>
      </c>
      <c r="H130" s="130">
        <f t="shared" si="18"/>
        <v>0</v>
      </c>
      <c r="I130" s="130">
        <f t="shared" si="18"/>
        <v>0</v>
      </c>
      <c r="J130" s="130">
        <f t="shared" si="18"/>
        <v>0</v>
      </c>
      <c r="K130" s="130">
        <f t="shared" si="18"/>
        <v>0</v>
      </c>
      <c r="L130" s="130">
        <f t="shared" si="18"/>
        <v>0</v>
      </c>
      <c r="M130" s="1288"/>
      <c r="N130" s="1289"/>
    </row>
    <row r="132" spans="1:15" ht="43.5" customHeight="1" x14ac:dyDescent="0.2">
      <c r="A132" s="1748" t="s">
        <v>83</v>
      </c>
      <c r="B132" s="1749"/>
      <c r="C132" s="1749"/>
      <c r="D132" s="1749"/>
      <c r="E132" s="775">
        <f>+E130+E121+E8+E17+E19+E21+E23+E6+E33+E35+E10</f>
        <v>32622051</v>
      </c>
      <c r="F132" s="775">
        <f>+F130+F121+F8+F17+F19+F21+F23+F6+F33+F35+F10</f>
        <v>31990500</v>
      </c>
      <c r="G132" s="775">
        <f>+G130+G121+G8+G17+G19+G21+G23+G6</f>
        <v>0</v>
      </c>
      <c r="H132" s="775">
        <f>+H130+H121+H8+H17+H19+H21+H23+H6</f>
        <v>0</v>
      </c>
      <c r="I132" s="775">
        <f>+I130+I121+I8+I17+I19+I21+I23+I6+I35+I33+I10</f>
        <v>253484197</v>
      </c>
      <c r="J132" s="775">
        <f>+J130+J121+J8+J17+J19+J21+J23+J6+J35+J33+J10+J41+J49+J111+J53</f>
        <v>306531364</v>
      </c>
      <c r="K132" s="775">
        <f>+K130+K121+K8+K17+K19+K21+K23+K6</f>
        <v>0</v>
      </c>
      <c r="L132" s="775">
        <f>+L130+L121+L8+L17+L19+L21+L23+L6</f>
        <v>0</v>
      </c>
      <c r="M132" s="775"/>
      <c r="N132" s="776"/>
      <c r="O132" s="49"/>
    </row>
    <row r="134" spans="1:15" ht="33.75" customHeight="1" x14ac:dyDescent="0.2">
      <c r="I134" s="49">
        <f>+I132+E132</f>
        <v>286106248</v>
      </c>
      <c r="J134" s="49">
        <f>+J132+F132</f>
        <v>338521864</v>
      </c>
      <c r="K134" s="49"/>
      <c r="L134" s="49"/>
    </row>
    <row r="135" spans="1:15" ht="18.75" customHeight="1" x14ac:dyDescent="0.2"/>
    <row r="137" spans="1:15" x14ac:dyDescent="0.2">
      <c r="I137" s="49">
        <f>+I134-'3. sz.Városi szintű összesen'!J13</f>
        <v>0</v>
      </c>
      <c r="J137" s="49"/>
    </row>
    <row r="138" spans="1:15" ht="18.75" customHeight="1" x14ac:dyDescent="0.2"/>
    <row r="139" spans="1:15" ht="18.75" customHeight="1" x14ac:dyDescent="0.2"/>
    <row r="140" spans="1:15" ht="18.75" customHeight="1" x14ac:dyDescent="0.2">
      <c r="I140" s="49"/>
      <c r="J140" s="49"/>
    </row>
    <row r="141" spans="1:15" ht="18.75"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9" ht="21.75" customHeight="1" x14ac:dyDescent="0.2"/>
  </sheetData>
  <mergeCells count="44">
    <mergeCell ref="A53:C53"/>
    <mergeCell ref="A49:C49"/>
    <mergeCell ref="D3:D4"/>
    <mergeCell ref="C3:C4"/>
    <mergeCell ref="B3:B4"/>
    <mergeCell ref="A3:A4"/>
    <mergeCell ref="A10:C10"/>
    <mergeCell ref="A35:C35"/>
    <mergeCell ref="A5:D5"/>
    <mergeCell ref="A8:C8"/>
    <mergeCell ref="A17:C17"/>
    <mergeCell ref="A6:C6"/>
    <mergeCell ref="A41:C41"/>
    <mergeCell ref="A123:N123"/>
    <mergeCell ref="A112:N112"/>
    <mergeCell ref="A1:N1"/>
    <mergeCell ref="A132:D132"/>
    <mergeCell ref="A125:D125"/>
    <mergeCell ref="A2:M2"/>
    <mergeCell ref="A114:D114"/>
    <mergeCell ref="A19:C19"/>
    <mergeCell ref="A23:C23"/>
    <mergeCell ref="A130:D130"/>
    <mergeCell ref="A118:C118"/>
    <mergeCell ref="A115:C115"/>
    <mergeCell ref="A21:C21"/>
    <mergeCell ref="A126:C126"/>
    <mergeCell ref="A33:C33"/>
    <mergeCell ref="A55:N56"/>
    <mergeCell ref="L58:L59"/>
    <mergeCell ref="M58:M59"/>
    <mergeCell ref="N58:N59"/>
    <mergeCell ref="A59:D59"/>
    <mergeCell ref="A60:C60"/>
    <mergeCell ref="A57:A58"/>
    <mergeCell ref="B57:B58"/>
    <mergeCell ref="C57:C58"/>
    <mergeCell ref="D57:D58"/>
    <mergeCell ref="K58:K59"/>
    <mergeCell ref="A69:C69"/>
    <mergeCell ref="A71:C71"/>
    <mergeCell ref="A75:C75"/>
    <mergeCell ref="A104:C104"/>
    <mergeCell ref="A111:D111"/>
  </mergeCells>
  <phoneticPr fontId="45" type="noConversion"/>
  <printOptions horizontalCentered="1" verticalCentered="1"/>
  <pageMargins left="0.51181102362204722" right="0.11811023622047245" top="0.39370078740157483" bottom="0.35433070866141736" header="0.31496062992125984" footer="0.31496062992125984"/>
  <pageSetup paperSize="9" scale="43" orientation="landscape" r:id="rId1"/>
  <headerFooter>
    <oddHeader>&amp;C2022. évi költségvetés&amp;R&amp;A</oddHeader>
    <oddFooter>&amp;C&amp;P/&amp;N</oddFooter>
  </headerFooter>
  <rowBreaks count="4" manualBreakCount="4">
    <brk id="40" max="13" man="1"/>
    <brk id="75" max="13" man="1"/>
    <brk id="88" max="13" man="1"/>
    <brk id="132"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202"/>
  <sheetViews>
    <sheetView tabSelected="1" view="pageBreakPreview" zoomScale="80" zoomScaleNormal="80" zoomScaleSheetLayoutView="80" workbookViewId="0">
      <pane xSplit="4" ySplit="7" topLeftCell="L8" activePane="bottomRight" state="frozen"/>
      <selection pane="topRight" activeCell="E1" sqref="E1"/>
      <selection pane="bottomLeft" activeCell="A8" sqref="A8"/>
      <selection pane="bottomRight" activeCell="C3" sqref="C3:C5"/>
    </sheetView>
  </sheetViews>
  <sheetFormatPr defaultColWidth="9.140625" defaultRowHeight="12.75" x14ac:dyDescent="0.2"/>
  <cols>
    <col min="1" max="1" width="6.7109375" style="9" customWidth="1"/>
    <col min="2" max="2" width="11.7109375" style="9" customWidth="1"/>
    <col min="3" max="3" width="57" style="9" customWidth="1"/>
    <col min="4" max="4" width="6.5703125" style="18" customWidth="1"/>
    <col min="5" max="5" width="17.42578125" style="9" customWidth="1"/>
    <col min="6" max="6" width="18" style="9" customWidth="1"/>
    <col min="7" max="7" width="17.5703125" style="9" customWidth="1"/>
    <col min="8" max="8" width="17.140625" style="9" customWidth="1"/>
    <col min="9" max="9" width="17.42578125" style="9" customWidth="1"/>
    <col min="10" max="10" width="17.7109375" style="9" customWidth="1"/>
    <col min="11" max="12" width="14.7109375" style="9" customWidth="1"/>
    <col min="13" max="13" width="16.85546875" style="9" customWidth="1"/>
    <col min="14" max="14" width="18.140625" style="9" customWidth="1"/>
    <col min="15" max="16" width="15.28515625" style="9" customWidth="1"/>
    <col min="17" max="18" width="16" style="9" customWidth="1"/>
    <col min="19" max="20" width="17.5703125" style="9" customWidth="1"/>
    <col min="21" max="21" width="20" style="121" customWidth="1"/>
    <col min="22" max="22" width="16.7109375" style="9" bestFit="1" customWidth="1"/>
    <col min="23" max="23" width="17.42578125" style="9" customWidth="1"/>
    <col min="24" max="24" width="11.42578125" style="9" customWidth="1"/>
    <col min="25" max="25" width="18.28515625" style="9" bestFit="1" customWidth="1"/>
    <col min="26" max="26" width="14.85546875" style="9" customWidth="1"/>
    <col min="27" max="27" width="9.28515625" style="9" bestFit="1" customWidth="1"/>
    <col min="28" max="28" width="15.5703125" style="9" bestFit="1" customWidth="1"/>
    <col min="29" max="29" width="13" style="9" customWidth="1"/>
    <col min="30" max="30" width="9.28515625" style="9" bestFit="1" customWidth="1"/>
    <col min="31" max="16384" width="9.140625" style="9"/>
  </cols>
  <sheetData>
    <row r="1" spans="1:30" ht="31.5" customHeight="1" x14ac:dyDescent="0.2">
      <c r="A1" s="273"/>
      <c r="B1" s="273"/>
      <c r="C1" s="273"/>
      <c r="D1" s="791"/>
      <c r="E1" s="1778" t="s">
        <v>30</v>
      </c>
      <c r="F1" s="1778"/>
      <c r="G1" s="1778"/>
      <c r="H1" s="1778"/>
      <c r="I1" s="1778"/>
      <c r="J1" s="1778"/>
      <c r="K1" s="1778"/>
      <c r="L1" s="1778"/>
      <c r="M1" s="1778"/>
      <c r="N1" s="1778"/>
      <c r="O1" s="1778" t="s">
        <v>30</v>
      </c>
      <c r="P1" s="1778"/>
      <c r="Q1" s="1778"/>
      <c r="R1" s="1778"/>
      <c r="S1" s="1778"/>
      <c r="T1" s="1778"/>
      <c r="U1" s="1778"/>
      <c r="V1" s="1778"/>
      <c r="W1" s="1778"/>
      <c r="X1" s="1778"/>
      <c r="Y1" s="1778"/>
      <c r="Z1" s="1778"/>
    </row>
    <row r="2" spans="1:30" ht="31.5" customHeight="1" x14ac:dyDescent="0.25">
      <c r="A2" s="788"/>
      <c r="B2" s="788"/>
      <c r="C2" s="788"/>
      <c r="D2" s="788"/>
      <c r="E2" s="788"/>
      <c r="F2" s="788"/>
      <c r="G2" s="788"/>
      <c r="H2" s="788"/>
      <c r="I2" s="788"/>
      <c r="J2" s="788"/>
      <c r="K2" s="788"/>
      <c r="L2" s="788"/>
      <c r="M2" s="788"/>
      <c r="N2" s="1519" t="s">
        <v>444</v>
      </c>
      <c r="O2" s="788"/>
      <c r="P2" s="788"/>
      <c r="Q2" s="788"/>
      <c r="R2" s="788"/>
      <c r="S2" s="788"/>
      <c r="T2" s="788"/>
      <c r="U2" s="788"/>
      <c r="V2" s="788"/>
      <c r="W2" s="788"/>
      <c r="X2" s="788"/>
      <c r="Y2" s="788"/>
      <c r="Z2" s="1519" t="s">
        <v>444</v>
      </c>
    </row>
    <row r="3" spans="1:30" ht="39" customHeight="1" x14ac:dyDescent="0.2">
      <c r="A3" s="1779" t="s">
        <v>779</v>
      </c>
      <c r="B3" s="1775" t="s">
        <v>1</v>
      </c>
      <c r="C3" s="1775" t="s">
        <v>2</v>
      </c>
      <c r="D3" s="1775" t="s">
        <v>743</v>
      </c>
      <c r="E3" s="751" t="s">
        <v>279</v>
      </c>
      <c r="F3" s="1115" t="s">
        <v>1512</v>
      </c>
      <c r="G3" s="1115" t="s">
        <v>279</v>
      </c>
      <c r="H3" s="1115" t="s">
        <v>1512</v>
      </c>
      <c r="I3" s="1115" t="s">
        <v>279</v>
      </c>
      <c r="J3" s="1115" t="s">
        <v>1512</v>
      </c>
      <c r="K3" s="1115" t="s">
        <v>279</v>
      </c>
      <c r="L3" s="1115" t="s">
        <v>1512</v>
      </c>
      <c r="M3" s="1115" t="s">
        <v>279</v>
      </c>
      <c r="N3" s="1116" t="s">
        <v>1512</v>
      </c>
      <c r="O3" s="756" t="s">
        <v>279</v>
      </c>
      <c r="P3" s="1115" t="s">
        <v>1512</v>
      </c>
      <c r="Q3" s="1115" t="s">
        <v>279</v>
      </c>
      <c r="R3" s="1115" t="s">
        <v>1512</v>
      </c>
      <c r="S3" s="1115" t="s">
        <v>279</v>
      </c>
      <c r="T3" s="1116" t="s">
        <v>1512</v>
      </c>
      <c r="U3" s="1782" t="s">
        <v>1358</v>
      </c>
      <c r="V3" s="1756"/>
      <c r="W3" s="1756"/>
      <c r="X3" s="1756"/>
      <c r="Y3" s="1756"/>
      <c r="Z3" s="1783"/>
    </row>
    <row r="4" spans="1:30" ht="19.5" customHeight="1" x14ac:dyDescent="0.2">
      <c r="A4" s="1780"/>
      <c r="B4" s="1776"/>
      <c r="C4" s="1776"/>
      <c r="D4" s="1776"/>
      <c r="E4" s="1770" t="s">
        <v>1374</v>
      </c>
      <c r="F4" s="1785" t="s">
        <v>1374</v>
      </c>
      <c r="G4" s="1769" t="s">
        <v>3</v>
      </c>
      <c r="H4" s="1769" t="s">
        <v>3</v>
      </c>
      <c r="I4" s="1769" t="s">
        <v>4</v>
      </c>
      <c r="J4" s="1769" t="s">
        <v>4</v>
      </c>
      <c r="K4" s="1769" t="s">
        <v>5</v>
      </c>
      <c r="L4" s="1769" t="s">
        <v>5</v>
      </c>
      <c r="M4" s="1769" t="s">
        <v>6</v>
      </c>
      <c r="N4" s="1772" t="s">
        <v>6</v>
      </c>
      <c r="O4" s="1771" t="s">
        <v>1265</v>
      </c>
      <c r="P4" s="1769" t="s">
        <v>1265</v>
      </c>
      <c r="Q4" s="1773" t="s">
        <v>797</v>
      </c>
      <c r="R4" s="1773" t="s">
        <v>797</v>
      </c>
      <c r="S4" s="1769" t="s">
        <v>7</v>
      </c>
      <c r="T4" s="1772" t="s">
        <v>7</v>
      </c>
      <c r="U4" s="1784" t="s">
        <v>8</v>
      </c>
      <c r="V4" s="1785" t="s">
        <v>9</v>
      </c>
      <c r="W4" s="1785" t="s">
        <v>183</v>
      </c>
      <c r="X4" s="1785" t="s">
        <v>10</v>
      </c>
      <c r="Y4" s="1785" t="s">
        <v>649</v>
      </c>
      <c r="Z4" s="1768" t="s">
        <v>11</v>
      </c>
    </row>
    <row r="5" spans="1:30" ht="83.25" customHeight="1" x14ac:dyDescent="0.2">
      <c r="A5" s="1781"/>
      <c r="B5" s="1777"/>
      <c r="C5" s="1777"/>
      <c r="D5" s="1777"/>
      <c r="E5" s="1770"/>
      <c r="F5" s="1785"/>
      <c r="G5" s="1769"/>
      <c r="H5" s="1769"/>
      <c r="I5" s="1769"/>
      <c r="J5" s="1769"/>
      <c r="K5" s="1769"/>
      <c r="L5" s="1769"/>
      <c r="M5" s="1769"/>
      <c r="N5" s="1772"/>
      <c r="O5" s="1771"/>
      <c r="P5" s="1769"/>
      <c r="Q5" s="1774"/>
      <c r="R5" s="1774"/>
      <c r="S5" s="1769"/>
      <c r="T5" s="1772"/>
      <c r="U5" s="1784"/>
      <c r="V5" s="1785"/>
      <c r="W5" s="1785"/>
      <c r="X5" s="1785"/>
      <c r="Y5" s="1785"/>
      <c r="Z5" s="1768"/>
    </row>
    <row r="6" spans="1:30" ht="19.5" customHeight="1" x14ac:dyDescent="0.2">
      <c r="A6" s="1750" t="s">
        <v>251</v>
      </c>
      <c r="B6" s="1751"/>
      <c r="C6" s="1751"/>
      <c r="D6" s="1751"/>
      <c r="E6" s="1751"/>
      <c r="F6" s="1560"/>
      <c r="G6" s="1560" t="s">
        <v>12</v>
      </c>
      <c r="H6" s="1560" t="s">
        <v>12</v>
      </c>
      <c r="I6" s="1560" t="s">
        <v>13</v>
      </c>
      <c r="J6" s="1560" t="s">
        <v>13</v>
      </c>
      <c r="K6" s="1560" t="s">
        <v>14</v>
      </c>
      <c r="L6" s="1560" t="s">
        <v>14</v>
      </c>
      <c r="M6" s="1560" t="s">
        <v>15</v>
      </c>
      <c r="N6" s="777" t="s">
        <v>15</v>
      </c>
      <c r="O6" s="1441" t="s">
        <v>1266</v>
      </c>
      <c r="P6" s="1560" t="s">
        <v>1266</v>
      </c>
      <c r="Q6" s="1560" t="s">
        <v>796</v>
      </c>
      <c r="R6" s="1560" t="s">
        <v>796</v>
      </c>
      <c r="S6" s="1560" t="s">
        <v>16</v>
      </c>
      <c r="T6" s="777" t="s">
        <v>16</v>
      </c>
      <c r="U6" s="1784"/>
      <c r="V6" s="1785"/>
      <c r="W6" s="1785"/>
      <c r="X6" s="1785"/>
      <c r="Y6" s="1785"/>
      <c r="Z6" s="1768"/>
    </row>
    <row r="7" spans="1:30" s="10" customFormat="1" ht="21" customHeight="1" x14ac:dyDescent="0.2">
      <c r="A7" s="733" t="s">
        <v>28</v>
      </c>
      <c r="B7" s="1567"/>
      <c r="C7" s="1561"/>
      <c r="D7" s="1558"/>
      <c r="E7" s="778">
        <f>SUM(E8:E9)</f>
        <v>7499350</v>
      </c>
      <c r="F7" s="778">
        <f>SUM(F8:F9)</f>
        <v>41418264</v>
      </c>
      <c r="G7" s="778">
        <f>SUM(G8:G9)</f>
        <v>0</v>
      </c>
      <c r="H7" s="778">
        <f>SUM(H8:H9)</f>
        <v>0</v>
      </c>
      <c r="I7" s="778">
        <f t="shared" ref="I7:Y7" si="0">SUM(I8:I9)</f>
        <v>5905000</v>
      </c>
      <c r="J7" s="778">
        <f t="shared" si="0"/>
        <v>32542961</v>
      </c>
      <c r="K7" s="778">
        <f t="shared" si="0"/>
        <v>0</v>
      </c>
      <c r="L7" s="778">
        <f t="shared" si="0"/>
        <v>0</v>
      </c>
      <c r="M7" s="778">
        <f t="shared" si="0"/>
        <v>0</v>
      </c>
      <c r="N7" s="782">
        <f t="shared" si="0"/>
        <v>0</v>
      </c>
      <c r="O7" s="781">
        <f t="shared" si="0"/>
        <v>0</v>
      </c>
      <c r="P7" s="778">
        <f t="shared" si="0"/>
        <v>0</v>
      </c>
      <c r="Q7" s="778">
        <f t="shared" si="0"/>
        <v>0</v>
      </c>
      <c r="R7" s="778">
        <f t="shared" si="0"/>
        <v>0</v>
      </c>
      <c r="S7" s="778">
        <f t="shared" si="0"/>
        <v>1594350</v>
      </c>
      <c r="T7" s="782">
        <f t="shared" si="0"/>
        <v>8875303</v>
      </c>
      <c r="U7" s="781">
        <f>SUM(U8:U9)</f>
        <v>0</v>
      </c>
      <c r="V7" s="778">
        <f>SUM(V8:V9)</f>
        <v>41418264</v>
      </c>
      <c r="W7" s="778">
        <f>SUM(W8:W9)</f>
        <v>0</v>
      </c>
      <c r="X7" s="778">
        <f t="shared" si="0"/>
        <v>0</v>
      </c>
      <c r="Y7" s="778">
        <f t="shared" si="0"/>
        <v>0</v>
      </c>
      <c r="Z7" s="328"/>
      <c r="AA7" s="129"/>
      <c r="AC7" s="129"/>
      <c r="AD7" s="129"/>
    </row>
    <row r="8" spans="1:30" s="10" customFormat="1" ht="46.5" customHeight="1" x14ac:dyDescent="0.2">
      <c r="A8" s="363" t="s">
        <v>1391</v>
      </c>
      <c r="B8" s="367" t="s">
        <v>601</v>
      </c>
      <c r="C8" s="1490" t="s">
        <v>3442</v>
      </c>
      <c r="D8" s="712"/>
      <c r="E8" s="635">
        <f>+G8+I8+K8+M8+O8+Q8+S8</f>
        <v>7499350</v>
      </c>
      <c r="F8" s="635">
        <f>+H8+J8+L8+N8+P8+R8+T8</f>
        <v>41418264</v>
      </c>
      <c r="G8" s="633"/>
      <c r="H8" s="633"/>
      <c r="I8" s="633">
        <f>+(5290000)+615000</f>
        <v>5905000</v>
      </c>
      <c r="J8" s="633">
        <f>+(5290000)+615000-5905000+5200000+39027721-579760-11105000</f>
        <v>32542961</v>
      </c>
      <c r="K8" s="633"/>
      <c r="L8" s="633"/>
      <c r="M8" s="633"/>
      <c r="N8" s="634"/>
      <c r="O8" s="1442"/>
      <c r="P8" s="633"/>
      <c r="Q8" s="633"/>
      <c r="R8" s="633"/>
      <c r="S8" s="633">
        <f>+(1428300)+166050</f>
        <v>1594350</v>
      </c>
      <c r="T8" s="634">
        <f>+(1428300)+166050-1594350+1404000+10537485-67832-2998350</f>
        <v>8875303</v>
      </c>
      <c r="U8" s="1293"/>
      <c r="V8" s="633">
        <f>+F8</f>
        <v>41418264</v>
      </c>
      <c r="X8" s="635"/>
      <c r="Y8" s="635"/>
      <c r="Z8" s="634" t="s">
        <v>228</v>
      </c>
      <c r="AA8" s="129"/>
      <c r="AC8" s="129"/>
      <c r="AD8" s="129"/>
    </row>
    <row r="9" spans="1:30" s="10" customFormat="1" ht="24" customHeight="1" x14ac:dyDescent="0.2">
      <c r="A9" s="366"/>
      <c r="B9" s="152"/>
      <c r="C9" s="1270"/>
      <c r="D9" s="156"/>
      <c r="E9" s="154">
        <f>G9+I9+K9+M9+S9+O9+Q9</f>
        <v>0</v>
      </c>
      <c r="F9" s="154">
        <f>H9+J9+L9+N9+T9+P9+R9</f>
        <v>0</v>
      </c>
      <c r="G9" s="154"/>
      <c r="H9" s="154"/>
      <c r="I9" s="154"/>
      <c r="J9" s="154"/>
      <c r="K9" s="154"/>
      <c r="L9" s="154"/>
      <c r="M9" s="154"/>
      <c r="N9" s="173"/>
      <c r="O9" s="664"/>
      <c r="P9" s="154"/>
      <c r="Q9" s="154"/>
      <c r="R9" s="154"/>
      <c r="S9" s="154"/>
      <c r="T9" s="173"/>
      <c r="U9" s="1292">
        <f>+E9</f>
        <v>0</v>
      </c>
      <c r="V9" s="151"/>
      <c r="W9" s="336"/>
      <c r="X9" s="336"/>
      <c r="Y9" s="336"/>
      <c r="Z9" s="1212"/>
      <c r="AA9" s="129"/>
      <c r="AC9" s="129"/>
      <c r="AD9" s="129"/>
    </row>
    <row r="10" spans="1:30" s="10" customFormat="1" ht="21.75" customHeight="1" x14ac:dyDescent="0.2">
      <c r="A10" s="733" t="s">
        <v>17</v>
      </c>
      <c r="B10" s="1567"/>
      <c r="C10" s="1561"/>
      <c r="D10" s="1558"/>
      <c r="E10" s="327">
        <f>SUM(E11:E27)</f>
        <v>270974377</v>
      </c>
      <c r="F10" s="327">
        <f>SUM(F11:F27)</f>
        <v>373209296</v>
      </c>
      <c r="G10" s="327">
        <f t="shared" ref="G10:Y10" si="1">SUM(G11:G27)</f>
        <v>0</v>
      </c>
      <c r="H10" s="327">
        <f t="shared" si="1"/>
        <v>0</v>
      </c>
      <c r="I10" s="327">
        <f t="shared" si="1"/>
        <v>213862446</v>
      </c>
      <c r="J10" s="327">
        <f>SUM(J11:J27)</f>
        <v>320804311</v>
      </c>
      <c r="K10" s="327">
        <f t="shared" si="1"/>
        <v>0</v>
      </c>
      <c r="L10" s="327">
        <f t="shared" si="1"/>
        <v>0</v>
      </c>
      <c r="M10" s="327">
        <f t="shared" si="1"/>
        <v>0</v>
      </c>
      <c r="N10" s="95">
        <f t="shared" si="1"/>
        <v>0</v>
      </c>
      <c r="O10" s="676">
        <f t="shared" si="1"/>
        <v>0</v>
      </c>
      <c r="P10" s="327">
        <f t="shared" si="1"/>
        <v>0</v>
      </c>
      <c r="Q10" s="327">
        <f t="shared" si="1"/>
        <v>0</v>
      </c>
      <c r="R10" s="327">
        <f t="shared" si="1"/>
        <v>0</v>
      </c>
      <c r="S10" s="327">
        <f t="shared" si="1"/>
        <v>57111931</v>
      </c>
      <c r="T10" s="95">
        <f>SUM(T11:T27)</f>
        <v>52404985</v>
      </c>
      <c r="U10" s="676">
        <f>SUM(U11:U27)</f>
        <v>373209296</v>
      </c>
      <c r="V10" s="327">
        <f t="shared" si="1"/>
        <v>0</v>
      </c>
      <c r="W10" s="327">
        <f>SUM(W11:W27)</f>
        <v>0</v>
      </c>
      <c r="X10" s="327">
        <f t="shared" si="1"/>
        <v>0</v>
      </c>
      <c r="Y10" s="327">
        <f t="shared" si="1"/>
        <v>153879500</v>
      </c>
      <c r="Z10" s="95"/>
      <c r="AB10" s="129">
        <f>SUM(U10:Y10)</f>
        <v>527088796</v>
      </c>
      <c r="AC10" s="129">
        <f>+AB10-E10</f>
        <v>256114419</v>
      </c>
      <c r="AD10" s="129"/>
    </row>
    <row r="11" spans="1:30" ht="29.25" customHeight="1" x14ac:dyDescent="0.2">
      <c r="A11" s="698" t="s">
        <v>127</v>
      </c>
      <c r="B11" s="699" t="s">
        <v>601</v>
      </c>
      <c r="C11" s="334" t="s">
        <v>1306</v>
      </c>
      <c r="D11" s="726"/>
      <c r="E11" s="635">
        <f>+G11+I11+K11+M11+O11+Q11+S11</f>
        <v>10000000</v>
      </c>
      <c r="F11" s="635">
        <f>+H11+J11+L11+N11+P11+R11+T11</f>
        <v>0</v>
      </c>
      <c r="G11" s="633"/>
      <c r="H11" s="633"/>
      <c r="I11" s="633">
        <v>7874016</v>
      </c>
      <c r="J11" s="633">
        <f>7874016-7610000-153680-110336</f>
        <v>0</v>
      </c>
      <c r="K11" s="633"/>
      <c r="L11" s="633"/>
      <c r="M11" s="633"/>
      <c r="N11" s="634"/>
      <c r="O11" s="1442"/>
      <c r="P11" s="633"/>
      <c r="Q11" s="633"/>
      <c r="R11" s="633"/>
      <c r="S11" s="633">
        <v>2125984</v>
      </c>
      <c r="T11" s="634">
        <f>2125984-2054700-41494-29790</f>
        <v>0</v>
      </c>
      <c r="U11" s="1293">
        <f>+F11</f>
        <v>0</v>
      </c>
      <c r="V11" s="727"/>
      <c r="W11" s="335"/>
      <c r="X11" s="727"/>
      <c r="Y11" s="727">
        <v>20000000</v>
      </c>
      <c r="Z11" s="634" t="s">
        <v>228</v>
      </c>
      <c r="AB11" s="129"/>
      <c r="AC11" s="129"/>
      <c r="AD11" s="14"/>
    </row>
    <row r="12" spans="1:30" ht="31.5" customHeight="1" x14ac:dyDescent="0.2">
      <c r="A12" s="363" t="s">
        <v>127</v>
      </c>
      <c r="B12" s="367" t="s">
        <v>601</v>
      </c>
      <c r="C12" s="2144" t="s">
        <v>2409</v>
      </c>
      <c r="D12" s="712"/>
      <c r="E12" s="786">
        <f>+G12+I12+K12+M12+O12+Q12+S12</f>
        <v>0</v>
      </c>
      <c r="F12" s="786">
        <f>+H12+J12+L12+N12+P12+R12+T12</f>
        <v>5651500</v>
      </c>
      <c r="G12" s="116"/>
      <c r="H12" s="116"/>
      <c r="I12" s="116"/>
      <c r="J12" s="116">
        <v>4450000</v>
      </c>
      <c r="K12" s="116"/>
      <c r="L12" s="116"/>
      <c r="M12" s="116"/>
      <c r="N12" s="67"/>
      <c r="O12" s="1443"/>
      <c r="P12" s="116"/>
      <c r="Q12" s="116"/>
      <c r="R12" s="116"/>
      <c r="S12" s="116"/>
      <c r="T12" s="67">
        <v>1201500</v>
      </c>
      <c r="U12" s="1262">
        <f>+F12</f>
        <v>5651500</v>
      </c>
      <c r="V12" s="364"/>
      <c r="W12" s="131"/>
      <c r="X12" s="364"/>
      <c r="Y12" s="364"/>
      <c r="Z12" s="67" t="s">
        <v>228</v>
      </c>
      <c r="AB12" s="129"/>
      <c r="AC12" s="129"/>
      <c r="AD12" s="14"/>
    </row>
    <row r="13" spans="1:30" ht="29.25" customHeight="1" x14ac:dyDescent="0.2">
      <c r="A13" s="363" t="s">
        <v>127</v>
      </c>
      <c r="B13" s="367" t="s">
        <v>601</v>
      </c>
      <c r="C13" s="725" t="s">
        <v>1337</v>
      </c>
      <c r="D13" s="712"/>
      <c r="E13" s="786">
        <f t="shared" ref="E13:E26" si="2">+G13+I13+K13+M13+O13+Q13+S13</f>
        <v>15000000</v>
      </c>
      <c r="F13" s="786">
        <f t="shared" ref="F13:F26" si="3">+H13+J13+L13+N13+P13+R13+T13</f>
        <v>0</v>
      </c>
      <c r="G13" s="116"/>
      <c r="H13" s="116"/>
      <c r="I13" s="116">
        <v>11811024</v>
      </c>
      <c r="J13" s="116">
        <f>11811024-500000-218423-119009-5200000-4460000-1313592</f>
        <v>0</v>
      </c>
      <c r="K13" s="116"/>
      <c r="L13" s="116"/>
      <c r="M13" s="116"/>
      <c r="N13" s="67"/>
      <c r="O13" s="1443"/>
      <c r="P13" s="116"/>
      <c r="Q13" s="116"/>
      <c r="R13" s="116"/>
      <c r="S13" s="116">
        <v>3188976</v>
      </c>
      <c r="T13" s="67">
        <f>3188976-58975-32132-1404000-1204200-489669</f>
        <v>0</v>
      </c>
      <c r="U13" s="1262">
        <f>+F13</f>
        <v>0</v>
      </c>
      <c r="V13" s="364"/>
      <c r="W13" s="131"/>
      <c r="X13" s="364"/>
      <c r="Y13" s="364"/>
      <c r="Z13" s="67" t="s">
        <v>228</v>
      </c>
      <c r="AB13" s="129"/>
      <c r="AC13" s="129"/>
      <c r="AD13" s="14"/>
    </row>
    <row r="14" spans="1:30" ht="29.25" customHeight="1" x14ac:dyDescent="0.2">
      <c r="A14" s="363" t="s">
        <v>127</v>
      </c>
      <c r="B14" s="367" t="s">
        <v>601</v>
      </c>
      <c r="C14" s="725" t="s">
        <v>1404</v>
      </c>
      <c r="D14" s="712"/>
      <c r="E14" s="786">
        <f t="shared" si="2"/>
        <v>97155000</v>
      </c>
      <c r="F14" s="786">
        <f t="shared" si="3"/>
        <v>76780000</v>
      </c>
      <c r="G14" s="116"/>
      <c r="H14" s="116"/>
      <c r="I14" s="116">
        <f>(75000000+1500000)</f>
        <v>76500000</v>
      </c>
      <c r="J14" s="116">
        <f>(75000000+1500000)-76531-49343+874</f>
        <v>76375000</v>
      </c>
      <c r="K14" s="116"/>
      <c r="L14" s="116"/>
      <c r="M14" s="116"/>
      <c r="N14" s="67"/>
      <c r="O14" s="1443"/>
      <c r="P14" s="116"/>
      <c r="Q14" s="116"/>
      <c r="R14" s="116"/>
      <c r="S14" s="116">
        <f>(20250000+405000)</f>
        <v>20655000</v>
      </c>
      <c r="T14" s="67">
        <f>(20250000+405000)-20250000</f>
        <v>405000</v>
      </c>
      <c r="U14" s="1262">
        <f>+F14</f>
        <v>76780000</v>
      </c>
      <c r="V14" s="364"/>
      <c r="W14" s="131"/>
      <c r="X14" s="364"/>
      <c r="Y14" s="364"/>
      <c r="Z14" s="67" t="s">
        <v>228</v>
      </c>
      <c r="AB14" s="129"/>
      <c r="AC14" s="129"/>
      <c r="AD14" s="14"/>
    </row>
    <row r="15" spans="1:30" ht="29.25" customHeight="1" x14ac:dyDescent="0.2">
      <c r="A15" s="363" t="s">
        <v>127</v>
      </c>
      <c r="B15" s="367" t="s">
        <v>601</v>
      </c>
      <c r="C15" s="725" t="s">
        <v>1407</v>
      </c>
      <c r="D15" s="712"/>
      <c r="E15" s="786">
        <f t="shared" si="2"/>
        <v>2336777</v>
      </c>
      <c r="F15" s="786">
        <f t="shared" si="3"/>
        <v>2336777</v>
      </c>
      <c r="G15" s="116"/>
      <c r="H15" s="116"/>
      <c r="I15" s="116">
        <v>2336777</v>
      </c>
      <c r="J15" s="116">
        <v>2336777</v>
      </c>
      <c r="K15" s="116"/>
      <c r="L15" s="116"/>
      <c r="M15" s="116"/>
      <c r="N15" s="67"/>
      <c r="O15" s="1443"/>
      <c r="P15" s="116"/>
      <c r="Q15" s="116"/>
      <c r="R15" s="116"/>
      <c r="S15" s="116"/>
      <c r="T15" s="67"/>
      <c r="U15" s="1262">
        <f>+E15</f>
        <v>2336777</v>
      </c>
      <c r="V15" s="364"/>
      <c r="W15" s="131"/>
      <c r="X15" s="364"/>
      <c r="Y15" s="364"/>
      <c r="Z15" s="67" t="s">
        <v>228</v>
      </c>
      <c r="AB15" s="129"/>
      <c r="AC15" s="129"/>
      <c r="AD15" s="14"/>
    </row>
    <row r="16" spans="1:30" ht="29.25" customHeight="1" x14ac:dyDescent="0.2">
      <c r="A16" s="363" t="s">
        <v>127</v>
      </c>
      <c r="B16" s="367" t="s">
        <v>601</v>
      </c>
      <c r="C16" s="725" t="s">
        <v>1307</v>
      </c>
      <c r="D16" s="712"/>
      <c r="E16" s="786">
        <f t="shared" si="2"/>
        <v>5000000</v>
      </c>
      <c r="F16" s="786">
        <f t="shared" si="3"/>
        <v>937918</v>
      </c>
      <c r="G16" s="116"/>
      <c r="H16" s="116"/>
      <c r="I16" s="116">
        <v>3937008</v>
      </c>
      <c r="J16" s="116">
        <f>3937008-1056715-644972-186273-980000-330530</f>
        <v>738518</v>
      </c>
      <c r="K16" s="116"/>
      <c r="L16" s="116"/>
      <c r="M16" s="116"/>
      <c r="N16" s="67"/>
      <c r="O16" s="1443"/>
      <c r="P16" s="116"/>
      <c r="Q16" s="116"/>
      <c r="R16" s="116"/>
      <c r="S16" s="116">
        <v>1062992</v>
      </c>
      <c r="T16" s="67">
        <f>1062992-285313-174142-50294-264600-89243</f>
        <v>199400</v>
      </c>
      <c r="U16" s="1262">
        <f t="shared" ref="U16:U21" si="4">+F16</f>
        <v>937918</v>
      </c>
      <c r="V16" s="364"/>
      <c r="W16" s="131"/>
      <c r="X16" s="364"/>
      <c r="Y16" s="364"/>
      <c r="Z16" s="67" t="s">
        <v>228</v>
      </c>
      <c r="AB16" s="129"/>
      <c r="AC16" s="129"/>
      <c r="AD16" s="14"/>
    </row>
    <row r="17" spans="1:30" ht="29.25" customHeight="1" x14ac:dyDescent="0.2">
      <c r="A17" s="363" t="s">
        <v>127</v>
      </c>
      <c r="B17" s="367" t="s">
        <v>601</v>
      </c>
      <c r="C17" s="725" t="s">
        <v>1308</v>
      </c>
      <c r="D17" s="712"/>
      <c r="E17" s="786">
        <f t="shared" si="2"/>
        <v>0</v>
      </c>
      <c r="F17" s="786">
        <f t="shared" si="3"/>
        <v>14465300</v>
      </c>
      <c r="G17" s="116"/>
      <c r="H17" s="116"/>
      <c r="I17" s="116"/>
      <c r="J17" s="116">
        <f>7874016+3515984</f>
        <v>11390000</v>
      </c>
      <c r="K17" s="116"/>
      <c r="L17" s="116"/>
      <c r="M17" s="116"/>
      <c r="N17" s="67"/>
      <c r="O17" s="1443"/>
      <c r="P17" s="116"/>
      <c r="Q17" s="116"/>
      <c r="R17" s="116"/>
      <c r="S17" s="116"/>
      <c r="T17" s="67">
        <f>2125984+949316</f>
        <v>3075300</v>
      </c>
      <c r="U17" s="1262">
        <f t="shared" si="4"/>
        <v>14465300</v>
      </c>
      <c r="V17" s="364"/>
      <c r="W17" s="131"/>
      <c r="X17" s="364"/>
      <c r="Y17" s="364">
        <f>20000000-10000000-4465300</f>
        <v>5534700</v>
      </c>
      <c r="Z17" s="67" t="s">
        <v>228</v>
      </c>
      <c r="AB17" s="129"/>
      <c r="AC17" s="129"/>
      <c r="AD17" s="14"/>
    </row>
    <row r="18" spans="1:30" ht="29.25" customHeight="1" x14ac:dyDescent="0.2">
      <c r="A18" s="363" t="s">
        <v>127</v>
      </c>
      <c r="B18" s="367" t="s">
        <v>601</v>
      </c>
      <c r="C18" s="725" t="s">
        <v>918</v>
      </c>
      <c r="D18" s="712"/>
      <c r="E18" s="786">
        <f t="shared" si="2"/>
        <v>6000000</v>
      </c>
      <c r="F18" s="786">
        <f t="shared" si="3"/>
        <v>4405055</v>
      </c>
      <c r="G18" s="116"/>
      <c r="H18" s="116"/>
      <c r="I18" s="116">
        <v>4724409</v>
      </c>
      <c r="J18" s="116">
        <f>4724409-1950000-1380109+1732567+153680+188000</f>
        <v>3468547</v>
      </c>
      <c r="K18" s="116"/>
      <c r="L18" s="116"/>
      <c r="M18" s="116"/>
      <c r="N18" s="67"/>
      <c r="O18" s="1443"/>
      <c r="P18" s="116"/>
      <c r="Q18" s="116"/>
      <c r="R18" s="116"/>
      <c r="S18" s="116">
        <v>1275591</v>
      </c>
      <c r="T18" s="67">
        <f>1275591-526500-372630+467793+41494+50760</f>
        <v>936508</v>
      </c>
      <c r="U18" s="1262">
        <f t="shared" si="4"/>
        <v>4405055</v>
      </c>
      <c r="V18" s="364"/>
      <c r="W18" s="131"/>
      <c r="X18" s="364"/>
      <c r="Y18" s="364">
        <v>6000000</v>
      </c>
      <c r="Z18" s="67" t="s">
        <v>228</v>
      </c>
      <c r="AB18" s="129"/>
      <c r="AC18" s="129"/>
      <c r="AD18" s="14"/>
    </row>
    <row r="19" spans="1:30" ht="29.25" customHeight="1" x14ac:dyDescent="0.2">
      <c r="A19" s="363" t="s">
        <v>127</v>
      </c>
      <c r="B19" s="367" t="s">
        <v>601</v>
      </c>
      <c r="C19" s="725" t="s">
        <v>1309</v>
      </c>
      <c r="D19" s="712"/>
      <c r="E19" s="786">
        <f t="shared" si="2"/>
        <v>50000000</v>
      </c>
      <c r="F19" s="786">
        <f t="shared" si="3"/>
        <v>64960500</v>
      </c>
      <c r="G19" s="116"/>
      <c r="H19" s="116"/>
      <c r="I19" s="116">
        <v>39370079</v>
      </c>
      <c r="J19" s="116">
        <f>39370079+4200000+5629921+1950000</f>
        <v>51150000</v>
      </c>
      <c r="K19" s="116"/>
      <c r="L19" s="116"/>
      <c r="M19" s="116"/>
      <c r="N19" s="67"/>
      <c r="O19" s="1443"/>
      <c r="P19" s="116"/>
      <c r="Q19" s="116"/>
      <c r="R19" s="116"/>
      <c r="S19" s="116">
        <v>10629921</v>
      </c>
      <c r="T19" s="67">
        <f>10629921+1134000+1520079+526500</f>
        <v>13810500</v>
      </c>
      <c r="U19" s="1262">
        <f t="shared" si="4"/>
        <v>64960500</v>
      </c>
      <c r="V19" s="364"/>
      <c r="W19" s="131"/>
      <c r="X19" s="364"/>
      <c r="Y19" s="364">
        <f>100000000-12848000</f>
        <v>87152000</v>
      </c>
      <c r="Z19" s="67" t="s">
        <v>228</v>
      </c>
      <c r="AB19" s="129"/>
      <c r="AC19" s="129"/>
      <c r="AD19" s="14"/>
    </row>
    <row r="20" spans="1:30" ht="29.25" customHeight="1" x14ac:dyDescent="0.2">
      <c r="A20" s="363" t="s">
        <v>127</v>
      </c>
      <c r="B20" s="367" t="s">
        <v>601</v>
      </c>
      <c r="C20" s="725" t="s">
        <v>1378</v>
      </c>
      <c r="D20" s="712"/>
      <c r="E20" s="786">
        <f t="shared" si="2"/>
        <v>20000000</v>
      </c>
      <c r="F20" s="786">
        <f t="shared" si="3"/>
        <v>19996618</v>
      </c>
      <c r="G20" s="116"/>
      <c r="H20" s="116"/>
      <c r="I20" s="116">
        <v>15748031</v>
      </c>
      <c r="J20" s="116">
        <f>15748031-874-1789</f>
        <v>15745368</v>
      </c>
      <c r="K20" s="116"/>
      <c r="L20" s="116"/>
      <c r="M20" s="116"/>
      <c r="N20" s="67"/>
      <c r="O20" s="1443"/>
      <c r="P20" s="116"/>
      <c r="Q20" s="116"/>
      <c r="R20" s="116"/>
      <c r="S20" s="116">
        <v>4251969</v>
      </c>
      <c r="T20" s="67">
        <f>4251969-719</f>
        <v>4251250</v>
      </c>
      <c r="U20" s="1262">
        <f t="shared" si="4"/>
        <v>19996618</v>
      </c>
      <c r="V20" s="364"/>
      <c r="W20" s="131"/>
      <c r="X20" s="364"/>
      <c r="Y20" s="364"/>
      <c r="Z20" s="67" t="s">
        <v>228</v>
      </c>
      <c r="AB20" s="129"/>
      <c r="AC20" s="129"/>
      <c r="AD20" s="14"/>
    </row>
    <row r="21" spans="1:30" ht="29.25" customHeight="1" x14ac:dyDescent="0.2">
      <c r="A21" s="363" t="s">
        <v>127</v>
      </c>
      <c r="B21" s="367" t="s">
        <v>601</v>
      </c>
      <c r="C21" s="725" t="s">
        <v>1310</v>
      </c>
      <c r="D21" s="712"/>
      <c r="E21" s="786">
        <f t="shared" si="2"/>
        <v>0</v>
      </c>
      <c r="F21" s="786">
        <f t="shared" si="3"/>
        <v>6807200</v>
      </c>
      <c r="G21" s="116"/>
      <c r="H21" s="116"/>
      <c r="I21" s="116"/>
      <c r="J21" s="116">
        <f>218423+3974016+1167561</f>
        <v>5360000</v>
      </c>
      <c r="K21" s="116"/>
      <c r="L21" s="116"/>
      <c r="M21" s="116"/>
      <c r="N21" s="67"/>
      <c r="O21" s="1443"/>
      <c r="P21" s="116"/>
      <c r="Q21" s="116"/>
      <c r="R21" s="116"/>
      <c r="S21" s="116"/>
      <c r="T21" s="67">
        <f>58975+1072984+315241</f>
        <v>1447200</v>
      </c>
      <c r="U21" s="1262">
        <f t="shared" si="4"/>
        <v>6807200</v>
      </c>
      <c r="V21" s="364"/>
      <c r="W21" s="131"/>
      <c r="X21" s="364"/>
      <c r="Y21" s="364">
        <f>30000000-277398-5047000-1482802</f>
        <v>23192800</v>
      </c>
      <c r="Z21" s="67" t="s">
        <v>228</v>
      </c>
      <c r="AB21" s="129"/>
      <c r="AC21" s="129"/>
      <c r="AD21" s="14"/>
    </row>
    <row r="22" spans="1:30" ht="29.25" customHeight="1" x14ac:dyDescent="0.2">
      <c r="A22" s="363" t="s">
        <v>127</v>
      </c>
      <c r="B22" s="367" t="s">
        <v>601</v>
      </c>
      <c r="C22" s="725" t="s">
        <v>3389</v>
      </c>
      <c r="D22" s="712"/>
      <c r="E22" s="786">
        <f>+G22+I22+K22+M22+O22+Q22+S22</f>
        <v>0</v>
      </c>
      <c r="F22" s="786">
        <f>+H22+J22+L22+N22+P22+R22+T22</f>
        <v>1879600</v>
      </c>
      <c r="G22" s="116"/>
      <c r="H22" s="116"/>
      <c r="I22" s="116"/>
      <c r="J22" s="116">
        <v>1480000</v>
      </c>
      <c r="K22" s="116"/>
      <c r="L22" s="116"/>
      <c r="M22" s="116"/>
      <c r="N22" s="67"/>
      <c r="O22" s="1443"/>
      <c r="P22" s="116"/>
      <c r="Q22" s="116"/>
      <c r="R22" s="116"/>
      <c r="S22" s="116"/>
      <c r="T22" s="67">
        <v>399600</v>
      </c>
      <c r="U22" s="1262">
        <f>+F22</f>
        <v>1879600</v>
      </c>
      <c r="V22" s="364"/>
      <c r="W22" s="131"/>
      <c r="X22" s="364"/>
      <c r="Y22" s="364"/>
      <c r="Z22" s="67" t="s">
        <v>228</v>
      </c>
      <c r="AB22" s="129"/>
      <c r="AC22" s="129"/>
      <c r="AD22" s="14"/>
    </row>
    <row r="23" spans="1:30" ht="29.25" customHeight="1" x14ac:dyDescent="0.2">
      <c r="A23" s="363" t="s">
        <v>127</v>
      </c>
      <c r="B23" s="367" t="s">
        <v>601</v>
      </c>
      <c r="C23" s="725" t="s">
        <v>1311</v>
      </c>
      <c r="D23" s="712"/>
      <c r="E23" s="786">
        <f t="shared" si="2"/>
        <v>0</v>
      </c>
      <c r="F23" s="786">
        <f t="shared" si="3"/>
        <v>0</v>
      </c>
      <c r="G23" s="116"/>
      <c r="H23" s="116"/>
      <c r="I23" s="116"/>
      <c r="J23" s="116"/>
      <c r="K23" s="116"/>
      <c r="L23" s="116"/>
      <c r="M23" s="116"/>
      <c r="N23" s="67"/>
      <c r="O23" s="1443"/>
      <c r="P23" s="116"/>
      <c r="Q23" s="116"/>
      <c r="R23" s="116"/>
      <c r="S23" s="116"/>
      <c r="T23" s="67"/>
      <c r="U23" s="1262">
        <f>+E23</f>
        <v>0</v>
      </c>
      <c r="V23" s="364"/>
      <c r="W23" s="131"/>
      <c r="X23" s="364"/>
      <c r="Y23" s="364">
        <v>12000000</v>
      </c>
      <c r="Z23" s="67" t="s">
        <v>228</v>
      </c>
      <c r="AB23" s="129"/>
      <c r="AC23" s="129"/>
      <c r="AD23" s="14"/>
    </row>
    <row r="24" spans="1:30" ht="29.25" customHeight="1" x14ac:dyDescent="0.2">
      <c r="A24" s="363" t="s">
        <v>127</v>
      </c>
      <c r="B24" s="367" t="s">
        <v>601</v>
      </c>
      <c r="C24" s="725" t="s">
        <v>1476</v>
      </c>
      <c r="D24" s="712"/>
      <c r="E24" s="786">
        <f t="shared" si="2"/>
        <v>65482600</v>
      </c>
      <c r="F24" s="786">
        <f t="shared" si="3"/>
        <v>49982600</v>
      </c>
      <c r="G24" s="116"/>
      <c r="H24" s="116"/>
      <c r="I24" s="116">
        <f>+(51181102)+380000</f>
        <v>51561102</v>
      </c>
      <c r="J24" s="116">
        <f>+(51181102)+380000-393701-256693-1030708</f>
        <v>49880000</v>
      </c>
      <c r="K24" s="116"/>
      <c r="L24" s="116"/>
      <c r="M24" s="116"/>
      <c r="N24" s="67"/>
      <c r="O24" s="1443"/>
      <c r="P24" s="116"/>
      <c r="Q24" s="116"/>
      <c r="R24" s="116"/>
      <c r="S24" s="116">
        <f>+(13818898)+102600</f>
        <v>13921498</v>
      </c>
      <c r="T24" s="67">
        <f>+(13818898)+102600-106299-69307-13365000-278292</f>
        <v>102600</v>
      </c>
      <c r="U24" s="1262">
        <f>+F24</f>
        <v>49982600</v>
      </c>
      <c r="V24" s="364"/>
      <c r="W24" s="131"/>
      <c r="X24" s="364"/>
      <c r="Y24" s="364"/>
      <c r="Z24" s="67" t="s">
        <v>228</v>
      </c>
      <c r="AB24" s="129"/>
      <c r="AC24" s="129"/>
      <c r="AD24" s="14"/>
    </row>
    <row r="25" spans="1:30" ht="29.25" customHeight="1" x14ac:dyDescent="0.2">
      <c r="A25" s="363" t="s">
        <v>127</v>
      </c>
      <c r="B25" s="367" t="s">
        <v>601</v>
      </c>
      <c r="C25" s="725" t="s">
        <v>3208</v>
      </c>
      <c r="D25" s="712"/>
      <c r="E25" s="786">
        <f>+G25+I25+K25+M25+O25+Q25+S25</f>
        <v>0</v>
      </c>
      <c r="F25" s="786">
        <f>+H25+J25+L25+N25+P25+R25+T25</f>
        <v>1342028</v>
      </c>
      <c r="G25" s="116"/>
      <c r="H25" s="116"/>
      <c r="I25" s="116"/>
      <c r="J25" s="116">
        <v>1056715</v>
      </c>
      <c r="K25" s="116"/>
      <c r="L25" s="116"/>
      <c r="M25" s="116"/>
      <c r="N25" s="67"/>
      <c r="O25" s="1443"/>
      <c r="P25" s="116"/>
      <c r="Q25" s="116"/>
      <c r="R25" s="116"/>
      <c r="S25" s="116"/>
      <c r="T25" s="67">
        <v>285313</v>
      </c>
      <c r="U25" s="1262">
        <f>+F25</f>
        <v>1342028</v>
      </c>
      <c r="V25" s="364"/>
      <c r="W25" s="131"/>
      <c r="X25" s="364"/>
      <c r="Y25" s="364"/>
      <c r="Z25" s="67" t="s">
        <v>228</v>
      </c>
      <c r="AB25" s="129"/>
      <c r="AC25" s="129"/>
      <c r="AD25" s="14"/>
    </row>
    <row r="26" spans="1:30" ht="37.5" customHeight="1" x14ac:dyDescent="0.2">
      <c r="A26" s="363" t="s">
        <v>3021</v>
      </c>
      <c r="B26" s="367" t="s">
        <v>601</v>
      </c>
      <c r="C26" s="1490" t="s">
        <v>3022</v>
      </c>
      <c r="D26" s="712"/>
      <c r="E26" s="786">
        <f t="shared" si="2"/>
        <v>0</v>
      </c>
      <c r="F26" s="786">
        <f t="shared" si="3"/>
        <v>0</v>
      </c>
      <c r="G26" s="116"/>
      <c r="H26" s="116"/>
      <c r="I26" s="116"/>
      <c r="J26" s="116"/>
      <c r="K26" s="116"/>
      <c r="L26" s="116"/>
      <c r="M26" s="116"/>
      <c r="N26" s="67"/>
      <c r="O26" s="1443"/>
      <c r="P26" s="116"/>
      <c r="Q26" s="116"/>
      <c r="R26" s="116"/>
      <c r="S26" s="116"/>
      <c r="T26" s="67"/>
      <c r="U26" s="1262">
        <f>+F26-W26</f>
        <v>0</v>
      </c>
      <c r="V26" s="364"/>
      <c r="W26" s="116"/>
      <c r="X26" s="364"/>
      <c r="Y26" s="364"/>
      <c r="Z26" s="67" t="s">
        <v>228</v>
      </c>
      <c r="AB26" s="129"/>
      <c r="AC26" s="129"/>
      <c r="AD26" s="14"/>
    </row>
    <row r="27" spans="1:30" ht="28.5" customHeight="1" x14ac:dyDescent="0.2">
      <c r="A27" s="665" t="s">
        <v>1957</v>
      </c>
      <c r="B27" s="659" t="s">
        <v>601</v>
      </c>
      <c r="C27" s="153" t="s">
        <v>1967</v>
      </c>
      <c r="D27" s="714"/>
      <c r="E27" s="787">
        <f>+G27+I27+K27+M27+O27+Q27+S27</f>
        <v>0</v>
      </c>
      <c r="F27" s="787">
        <f>+H27+J27+L27+N27+P27+R27+T27</f>
        <v>123664200</v>
      </c>
      <c r="G27" s="154"/>
      <c r="H27" s="154"/>
      <c r="I27" s="154"/>
      <c r="J27" s="154">
        <f>500000-500000+4460000+92913386</f>
        <v>97373386</v>
      </c>
      <c r="K27" s="154"/>
      <c r="L27" s="154"/>
      <c r="M27" s="154"/>
      <c r="N27" s="173"/>
      <c r="O27" s="664"/>
      <c r="P27" s="154"/>
      <c r="Q27" s="154"/>
      <c r="R27" s="154"/>
      <c r="S27" s="154"/>
      <c r="T27" s="173">
        <f>1204200+25086614</f>
        <v>26290814</v>
      </c>
      <c r="U27" s="1263">
        <f>+F27</f>
        <v>123664200</v>
      </c>
      <c r="V27" s="336"/>
      <c r="W27" s="336"/>
      <c r="X27" s="336"/>
      <c r="Y27" s="336"/>
      <c r="Z27" s="173" t="s">
        <v>228</v>
      </c>
      <c r="AB27" s="129"/>
      <c r="AC27" s="129"/>
      <c r="AD27" s="14"/>
    </row>
    <row r="28" spans="1:30" s="10" customFormat="1" ht="21" customHeight="1" x14ac:dyDescent="0.2">
      <c r="A28" s="1566" t="s">
        <v>18</v>
      </c>
      <c r="B28" s="1561"/>
      <c r="C28" s="1561"/>
      <c r="D28" s="1558"/>
      <c r="E28" s="327">
        <f>SUM(E29:E55)</f>
        <v>118574800</v>
      </c>
      <c r="F28" s="327">
        <f t="shared" ref="F28:Z28" si="5">SUM(F29:F55)</f>
        <v>166363105</v>
      </c>
      <c r="G28" s="327">
        <f t="shared" si="5"/>
        <v>0</v>
      </c>
      <c r="H28" s="327">
        <f t="shared" si="5"/>
        <v>0</v>
      </c>
      <c r="I28" s="327">
        <f t="shared" si="5"/>
        <v>93365984</v>
      </c>
      <c r="J28" s="327">
        <f t="shared" si="5"/>
        <v>154483614</v>
      </c>
      <c r="K28" s="327">
        <f t="shared" si="5"/>
        <v>0</v>
      </c>
      <c r="L28" s="327">
        <f t="shared" si="5"/>
        <v>0</v>
      </c>
      <c r="M28" s="327">
        <f t="shared" si="5"/>
        <v>0</v>
      </c>
      <c r="N28" s="327">
        <f t="shared" si="5"/>
        <v>0</v>
      </c>
      <c r="O28" s="327">
        <f t="shared" si="5"/>
        <v>0</v>
      </c>
      <c r="P28" s="327">
        <f t="shared" si="5"/>
        <v>0</v>
      </c>
      <c r="Q28" s="327">
        <f t="shared" si="5"/>
        <v>0</v>
      </c>
      <c r="R28" s="327">
        <f t="shared" si="5"/>
        <v>0</v>
      </c>
      <c r="S28" s="327">
        <f t="shared" si="5"/>
        <v>25208816</v>
      </c>
      <c r="T28" s="327">
        <f t="shared" si="5"/>
        <v>11879491</v>
      </c>
      <c r="U28" s="327">
        <f>SUM(U29:U55)</f>
        <v>166363105</v>
      </c>
      <c r="V28" s="327">
        <f t="shared" si="5"/>
        <v>0</v>
      </c>
      <c r="W28" s="327">
        <f t="shared" si="5"/>
        <v>0</v>
      </c>
      <c r="X28" s="327">
        <f t="shared" si="5"/>
        <v>0</v>
      </c>
      <c r="Y28" s="327">
        <f t="shared" si="5"/>
        <v>50000000</v>
      </c>
      <c r="Z28" s="95">
        <f t="shared" si="5"/>
        <v>0</v>
      </c>
      <c r="AB28" s="129">
        <f>SUM(U28:Y28)</f>
        <v>216363105</v>
      </c>
      <c r="AC28" s="129">
        <f>+AB28-E28</f>
        <v>97788305</v>
      </c>
      <c r="AD28" s="129"/>
    </row>
    <row r="29" spans="1:30" ht="28.5" customHeight="1" x14ac:dyDescent="0.2">
      <c r="A29" s="1213" t="s">
        <v>90</v>
      </c>
      <c r="B29" s="1290" t="s">
        <v>129</v>
      </c>
      <c r="C29" s="334" t="s">
        <v>3190</v>
      </c>
      <c r="D29" s="726"/>
      <c r="E29" s="635">
        <f t="shared" ref="E29:E55" si="6">+G29+I29+K29+M29+O29+Q29+S29</f>
        <v>10000000</v>
      </c>
      <c r="F29" s="635">
        <f t="shared" ref="F29:F55" si="7">+H29+J29+L29+N29+P29+R29+T29</f>
        <v>59456</v>
      </c>
      <c r="G29" s="633"/>
      <c r="H29" s="633"/>
      <c r="I29" s="633">
        <v>7874016</v>
      </c>
      <c r="J29" s="633">
        <f>7874016-7400000-426512-874</f>
        <v>46630</v>
      </c>
      <c r="K29" s="633"/>
      <c r="L29" s="633"/>
      <c r="M29" s="633"/>
      <c r="N29" s="634"/>
      <c r="O29" s="1442"/>
      <c r="P29" s="633"/>
      <c r="Q29" s="633"/>
      <c r="R29" s="633"/>
      <c r="S29" s="633">
        <v>2125984</v>
      </c>
      <c r="T29" s="634">
        <f>2125984-1998000-115158</f>
        <v>12826</v>
      </c>
      <c r="U29" s="758">
        <f>+F29</f>
        <v>59456</v>
      </c>
      <c r="V29" s="727"/>
      <c r="W29" s="727"/>
      <c r="X29" s="727"/>
      <c r="Y29" s="727"/>
      <c r="Z29" s="634" t="s">
        <v>228</v>
      </c>
      <c r="AB29" s="129"/>
      <c r="AC29" s="129"/>
      <c r="AD29" s="14"/>
    </row>
    <row r="30" spans="1:30" ht="28.5" customHeight="1" x14ac:dyDescent="0.2">
      <c r="A30" s="365" t="s">
        <v>90</v>
      </c>
      <c r="B30" s="389" t="s">
        <v>129</v>
      </c>
      <c r="C30" s="1490" t="s">
        <v>1845</v>
      </c>
      <c r="D30" s="712"/>
      <c r="E30" s="786">
        <f t="shared" si="6"/>
        <v>40000000</v>
      </c>
      <c r="F30" s="786">
        <f t="shared" si="7"/>
        <v>0</v>
      </c>
      <c r="G30" s="116"/>
      <c r="H30" s="116"/>
      <c r="I30" s="116">
        <v>31496063</v>
      </c>
      <c r="J30" s="116">
        <f>31496063-1520000-4980000-4563165-3920000-4001300-227110+739500-6142500-5151000-935000-795488</f>
        <v>0</v>
      </c>
      <c r="K30" s="116"/>
      <c r="L30" s="116"/>
      <c r="M30" s="116"/>
      <c r="N30" s="67"/>
      <c r="O30" s="1443"/>
      <c r="P30" s="116"/>
      <c r="Q30" s="116"/>
      <c r="R30" s="116"/>
      <c r="S30" s="116">
        <v>8503937</v>
      </c>
      <c r="T30" s="67">
        <f>8503937-410400-1344600-1232054-1058400-1080351-61320+199665-1658475-1390770-252450-214782</f>
        <v>0</v>
      </c>
      <c r="U30" s="317">
        <f>+F30</f>
        <v>0</v>
      </c>
      <c r="V30" s="364"/>
      <c r="W30" s="364"/>
      <c r="X30" s="364"/>
      <c r="Y30" s="364"/>
      <c r="Z30" s="67" t="s">
        <v>228</v>
      </c>
      <c r="AB30" s="129"/>
      <c r="AC30" s="129"/>
      <c r="AD30" s="14"/>
    </row>
    <row r="31" spans="1:30" ht="28.5" customHeight="1" x14ac:dyDescent="0.2">
      <c r="A31" s="365" t="s">
        <v>90</v>
      </c>
      <c r="B31" s="389" t="s">
        <v>129</v>
      </c>
      <c r="C31" s="725" t="s">
        <v>2640</v>
      </c>
      <c r="D31" s="712"/>
      <c r="E31" s="786">
        <f t="shared" si="6"/>
        <v>0</v>
      </c>
      <c r="F31" s="786">
        <f t="shared" si="7"/>
        <v>0</v>
      </c>
      <c r="G31" s="116"/>
      <c r="H31" s="116"/>
      <c r="I31" s="116"/>
      <c r="J31" s="116"/>
      <c r="K31" s="116"/>
      <c r="L31" s="116"/>
      <c r="M31" s="116"/>
      <c r="N31" s="67"/>
      <c r="O31" s="1443"/>
      <c r="P31" s="116"/>
      <c r="Q31" s="116"/>
      <c r="R31" s="116"/>
      <c r="S31" s="116"/>
      <c r="T31" s="67"/>
      <c r="U31" s="317">
        <f>+E31</f>
        <v>0</v>
      </c>
      <c r="V31" s="364"/>
      <c r="W31" s="364"/>
      <c r="X31" s="364"/>
      <c r="Y31" s="364">
        <v>20000000</v>
      </c>
      <c r="Z31" s="67" t="s">
        <v>228</v>
      </c>
      <c r="AB31" s="129"/>
      <c r="AC31" s="129"/>
      <c r="AD31" s="14"/>
    </row>
    <row r="32" spans="1:30" ht="28.5" customHeight="1" x14ac:dyDescent="0.2">
      <c r="A32" s="365" t="s">
        <v>90</v>
      </c>
      <c r="B32" s="389" t="s">
        <v>129</v>
      </c>
      <c r="C32" s="725" t="s">
        <v>3191</v>
      </c>
      <c r="D32" s="712"/>
      <c r="E32" s="786">
        <f t="shared" si="6"/>
        <v>0</v>
      </c>
      <c r="F32" s="786">
        <f t="shared" si="7"/>
        <v>1551940</v>
      </c>
      <c r="G32" s="116"/>
      <c r="H32" s="116"/>
      <c r="I32" s="116"/>
      <c r="J32" s="116">
        <v>1222000</v>
      </c>
      <c r="K32" s="116"/>
      <c r="L32" s="116"/>
      <c r="M32" s="116"/>
      <c r="N32" s="67"/>
      <c r="O32" s="1443"/>
      <c r="P32" s="116"/>
      <c r="Q32" s="116"/>
      <c r="R32" s="116"/>
      <c r="S32" s="116"/>
      <c r="T32" s="67">
        <v>329940</v>
      </c>
      <c r="U32" s="317">
        <f>+F32</f>
        <v>1551940</v>
      </c>
      <c r="V32" s="364"/>
      <c r="W32" s="364"/>
      <c r="X32" s="364"/>
      <c r="Y32" s="364"/>
      <c r="Z32" s="67" t="s">
        <v>228</v>
      </c>
      <c r="AB32" s="129"/>
      <c r="AC32" s="129"/>
      <c r="AD32" s="14"/>
    </row>
    <row r="33" spans="1:30" ht="28.5" customHeight="1" x14ac:dyDescent="0.2">
      <c r="A33" s="365" t="s">
        <v>90</v>
      </c>
      <c r="B33" s="389" t="s">
        <v>129</v>
      </c>
      <c r="C33" s="725" t="s">
        <v>1477</v>
      </c>
      <c r="D33" s="712"/>
      <c r="E33" s="786">
        <f t="shared" si="6"/>
        <v>30152400</v>
      </c>
      <c r="F33" s="786">
        <f t="shared" si="7"/>
        <v>24568456</v>
      </c>
      <c r="G33" s="116"/>
      <c r="H33" s="116"/>
      <c r="I33" s="116">
        <f>+(23622047)+120000</f>
        <v>23742047</v>
      </c>
      <c r="J33" s="116">
        <f>+(23622047)+120000+119009</f>
        <v>23861056</v>
      </c>
      <c r="K33" s="116"/>
      <c r="L33" s="116"/>
      <c r="M33" s="116"/>
      <c r="N33" s="67"/>
      <c r="O33" s="1443"/>
      <c r="P33" s="116"/>
      <c r="Q33" s="116"/>
      <c r="R33" s="116"/>
      <c r="S33" s="116">
        <f>+(6377953)+32400</f>
        <v>6410353</v>
      </c>
      <c r="T33" s="67">
        <f>+(6377953)+32400-6377953+642868+32132</f>
        <v>707400</v>
      </c>
      <c r="U33" s="317">
        <f>+F33</f>
        <v>24568456</v>
      </c>
      <c r="V33" s="364"/>
      <c r="W33" s="364"/>
      <c r="X33" s="364"/>
      <c r="Y33" s="364"/>
      <c r="Z33" s="67" t="s">
        <v>228</v>
      </c>
      <c r="AB33" s="129"/>
      <c r="AC33" s="129"/>
      <c r="AD33" s="14"/>
    </row>
    <row r="34" spans="1:30" ht="32.25" customHeight="1" x14ac:dyDescent="0.2">
      <c r="A34" s="365" t="s">
        <v>90</v>
      </c>
      <c r="B34" s="389" t="s">
        <v>129</v>
      </c>
      <c r="C34" s="725" t="s">
        <v>3409</v>
      </c>
      <c r="D34" s="712"/>
      <c r="E34" s="786">
        <f t="shared" si="6"/>
        <v>0</v>
      </c>
      <c r="F34" s="786">
        <f t="shared" si="7"/>
        <v>1244600</v>
      </c>
      <c r="G34" s="116"/>
      <c r="H34" s="116"/>
      <c r="I34" s="116"/>
      <c r="J34" s="116">
        <v>980000</v>
      </c>
      <c r="K34" s="116"/>
      <c r="L34" s="116"/>
      <c r="M34" s="116"/>
      <c r="N34" s="67"/>
      <c r="O34" s="1443"/>
      <c r="P34" s="116"/>
      <c r="Q34" s="116"/>
      <c r="R34" s="116"/>
      <c r="S34" s="116"/>
      <c r="T34" s="67">
        <v>264600</v>
      </c>
      <c r="U34" s="317">
        <f>+F34</f>
        <v>1244600</v>
      </c>
      <c r="V34" s="364"/>
      <c r="W34" s="364"/>
      <c r="X34" s="364"/>
      <c r="Y34" s="364"/>
      <c r="Z34" s="67" t="s">
        <v>228</v>
      </c>
      <c r="AB34" s="129"/>
      <c r="AC34" s="129"/>
      <c r="AD34" s="14"/>
    </row>
    <row r="35" spans="1:30" ht="28.5" customHeight="1" x14ac:dyDescent="0.2">
      <c r="A35" s="365" t="s">
        <v>90</v>
      </c>
      <c r="B35" s="389" t="s">
        <v>129</v>
      </c>
      <c r="C35" s="725" t="s">
        <v>2717</v>
      </c>
      <c r="D35" s="712"/>
      <c r="E35" s="786">
        <f t="shared" si="6"/>
        <v>0</v>
      </c>
      <c r="F35" s="786">
        <f t="shared" si="7"/>
        <v>0</v>
      </c>
      <c r="G35" s="116"/>
      <c r="H35" s="116"/>
      <c r="I35" s="116"/>
      <c r="J35" s="116"/>
      <c r="K35" s="116"/>
      <c r="L35" s="116"/>
      <c r="M35" s="116"/>
      <c r="N35" s="67"/>
      <c r="O35" s="1443"/>
      <c r="P35" s="116"/>
      <c r="Q35" s="116"/>
      <c r="R35" s="116"/>
      <c r="S35" s="116"/>
      <c r="T35" s="67"/>
      <c r="U35" s="317">
        <f>+E35</f>
        <v>0</v>
      </c>
      <c r="V35" s="364"/>
      <c r="W35" s="364"/>
      <c r="X35" s="364"/>
      <c r="Y35" s="364">
        <v>30000000</v>
      </c>
      <c r="Z35" s="67" t="s">
        <v>228</v>
      </c>
      <c r="AB35" s="129"/>
      <c r="AC35" s="129"/>
      <c r="AD35" s="14"/>
    </row>
    <row r="36" spans="1:30" ht="28.5" customHeight="1" x14ac:dyDescent="0.2">
      <c r="A36" s="365" t="s">
        <v>90</v>
      </c>
      <c r="B36" s="389" t="s">
        <v>129</v>
      </c>
      <c r="C36" s="725" t="s">
        <v>919</v>
      </c>
      <c r="D36" s="712"/>
      <c r="E36" s="786">
        <f t="shared" si="6"/>
        <v>2000000</v>
      </c>
      <c r="F36" s="786">
        <f t="shared" si="7"/>
        <v>0</v>
      </c>
      <c r="G36" s="116"/>
      <c r="H36" s="116"/>
      <c r="I36" s="116">
        <v>1574803</v>
      </c>
      <c r="J36" s="116">
        <f>1574803-1574803</f>
        <v>0</v>
      </c>
      <c r="K36" s="116"/>
      <c r="L36" s="116"/>
      <c r="M36" s="116"/>
      <c r="N36" s="67"/>
      <c r="O36" s="1443"/>
      <c r="P36" s="116"/>
      <c r="Q36" s="116"/>
      <c r="R36" s="116"/>
      <c r="S36" s="116">
        <v>425197</v>
      </c>
      <c r="T36" s="67">
        <f>425197-425197</f>
        <v>0</v>
      </c>
      <c r="U36" s="317">
        <f t="shared" ref="U36:U43" si="8">+F36</f>
        <v>0</v>
      </c>
      <c r="V36" s="364"/>
      <c r="W36" s="364"/>
      <c r="X36" s="364"/>
      <c r="Y36" s="364"/>
      <c r="Z36" s="67" t="s">
        <v>228</v>
      </c>
      <c r="AB36" s="129"/>
      <c r="AC36" s="129"/>
      <c r="AD36" s="14"/>
    </row>
    <row r="37" spans="1:30" ht="28.5" customHeight="1" x14ac:dyDescent="0.2">
      <c r="A37" s="365" t="s">
        <v>90</v>
      </c>
      <c r="B37" s="389" t="s">
        <v>129</v>
      </c>
      <c r="C37" s="725" t="s">
        <v>920</v>
      </c>
      <c r="D37" s="712"/>
      <c r="E37" s="786">
        <f t="shared" si="6"/>
        <v>5000000</v>
      </c>
      <c r="F37" s="786">
        <f t="shared" si="7"/>
        <v>8650</v>
      </c>
      <c r="G37" s="116"/>
      <c r="H37" s="116"/>
      <c r="I37" s="116">
        <v>3937008</v>
      </c>
      <c r="J37" s="116">
        <f>3937008-3930197</f>
        <v>6811</v>
      </c>
      <c r="K37" s="116"/>
      <c r="L37" s="116"/>
      <c r="M37" s="116"/>
      <c r="N37" s="67"/>
      <c r="O37" s="1443"/>
      <c r="P37" s="116"/>
      <c r="Q37" s="116"/>
      <c r="R37" s="116"/>
      <c r="S37" s="116">
        <v>1062992</v>
      </c>
      <c r="T37" s="67">
        <f>1062992-1061153</f>
        <v>1839</v>
      </c>
      <c r="U37" s="317">
        <f t="shared" si="8"/>
        <v>8650</v>
      </c>
      <c r="V37" s="364"/>
      <c r="W37" s="364"/>
      <c r="X37" s="364"/>
      <c r="Y37" s="364"/>
      <c r="Z37" s="67" t="s">
        <v>228</v>
      </c>
      <c r="AB37" s="129"/>
      <c r="AC37" s="129"/>
      <c r="AD37" s="14"/>
    </row>
    <row r="38" spans="1:30" ht="46.5" customHeight="1" x14ac:dyDescent="0.2">
      <c r="A38" s="365" t="s">
        <v>90</v>
      </c>
      <c r="B38" s="389" t="s">
        <v>129</v>
      </c>
      <c r="C38" s="725" t="s">
        <v>1925</v>
      </c>
      <c r="D38" s="712"/>
      <c r="E38" s="786">
        <f t="shared" si="6"/>
        <v>0</v>
      </c>
      <c r="F38" s="786">
        <f t="shared" si="7"/>
        <v>6991350</v>
      </c>
      <c r="G38" s="116"/>
      <c r="H38" s="116"/>
      <c r="I38" s="116"/>
      <c r="J38" s="116">
        <v>5505000</v>
      </c>
      <c r="K38" s="116"/>
      <c r="L38" s="116"/>
      <c r="M38" s="116"/>
      <c r="N38" s="67"/>
      <c r="O38" s="1443"/>
      <c r="P38" s="116"/>
      <c r="Q38" s="116"/>
      <c r="R38" s="116"/>
      <c r="S38" s="116"/>
      <c r="T38" s="67">
        <v>1486350</v>
      </c>
      <c r="U38" s="317">
        <f t="shared" si="8"/>
        <v>6991350</v>
      </c>
      <c r="V38" s="364"/>
      <c r="W38" s="364"/>
      <c r="X38" s="364"/>
      <c r="Y38" s="364"/>
      <c r="Z38" s="67" t="s">
        <v>228</v>
      </c>
      <c r="AB38" s="129"/>
      <c r="AC38" s="129"/>
      <c r="AD38" s="14"/>
    </row>
    <row r="39" spans="1:30" ht="31.5" customHeight="1" x14ac:dyDescent="0.2">
      <c r="A39" s="365" t="s">
        <v>90</v>
      </c>
      <c r="B39" s="389" t="s">
        <v>129</v>
      </c>
      <c r="C39" s="725" t="s">
        <v>2202</v>
      </c>
      <c r="D39" s="712"/>
      <c r="E39" s="786">
        <f t="shared" si="6"/>
        <v>0</v>
      </c>
      <c r="F39" s="786">
        <f t="shared" si="7"/>
        <v>1930400</v>
      </c>
      <c r="G39" s="116"/>
      <c r="H39" s="116"/>
      <c r="I39" s="116"/>
      <c r="J39" s="116">
        <v>1520000</v>
      </c>
      <c r="K39" s="116"/>
      <c r="L39" s="116"/>
      <c r="M39" s="116"/>
      <c r="N39" s="67"/>
      <c r="O39" s="1443"/>
      <c r="P39" s="116"/>
      <c r="Q39" s="116"/>
      <c r="R39" s="116"/>
      <c r="S39" s="116"/>
      <c r="T39" s="67">
        <v>410400</v>
      </c>
      <c r="U39" s="317">
        <f t="shared" si="8"/>
        <v>1930400</v>
      </c>
      <c r="V39" s="364"/>
      <c r="W39" s="364"/>
      <c r="X39" s="364"/>
      <c r="Y39" s="364"/>
      <c r="Z39" s="67" t="s">
        <v>228</v>
      </c>
      <c r="AB39" s="129"/>
      <c r="AC39" s="129"/>
      <c r="AD39" s="14"/>
    </row>
    <row r="40" spans="1:30" ht="27.75" customHeight="1" x14ac:dyDescent="0.2">
      <c r="A40" s="365" t="s">
        <v>90</v>
      </c>
      <c r="B40" s="389" t="s">
        <v>129</v>
      </c>
      <c r="C40" s="725" t="s">
        <v>2641</v>
      </c>
      <c r="D40" s="712"/>
      <c r="E40" s="786">
        <f t="shared" si="6"/>
        <v>0</v>
      </c>
      <c r="F40" s="786">
        <f t="shared" si="7"/>
        <v>4142486</v>
      </c>
      <c r="G40" s="116"/>
      <c r="H40" s="116"/>
      <c r="I40" s="116"/>
      <c r="J40" s="116">
        <f>4001300-739500</f>
        <v>3261800</v>
      </c>
      <c r="K40" s="116"/>
      <c r="L40" s="116"/>
      <c r="M40" s="116"/>
      <c r="N40" s="67"/>
      <c r="O40" s="1443"/>
      <c r="P40" s="116"/>
      <c r="Q40" s="116"/>
      <c r="R40" s="116"/>
      <c r="S40" s="116"/>
      <c r="T40" s="67">
        <f>1080351-199665</f>
        <v>880686</v>
      </c>
      <c r="U40" s="317">
        <f>+F40</f>
        <v>4142486</v>
      </c>
      <c r="V40" s="364"/>
      <c r="W40" s="364"/>
      <c r="X40" s="364"/>
      <c r="Y40" s="364"/>
      <c r="Z40" s="67" t="s">
        <v>228</v>
      </c>
      <c r="AB40" s="129"/>
      <c r="AC40" s="129"/>
      <c r="AD40" s="14"/>
    </row>
    <row r="41" spans="1:30" ht="28.5" customHeight="1" x14ac:dyDescent="0.2">
      <c r="A41" s="365" t="s">
        <v>90</v>
      </c>
      <c r="B41" s="389" t="s">
        <v>129</v>
      </c>
      <c r="C41" s="725" t="s">
        <v>1846</v>
      </c>
      <c r="D41" s="712"/>
      <c r="E41" s="786">
        <f t="shared" si="6"/>
        <v>0</v>
      </c>
      <c r="F41" s="786">
        <f t="shared" si="7"/>
        <v>9398000</v>
      </c>
      <c r="G41" s="116"/>
      <c r="H41" s="116"/>
      <c r="I41" s="116"/>
      <c r="J41" s="116">
        <v>7400000</v>
      </c>
      <c r="K41" s="116"/>
      <c r="L41" s="116"/>
      <c r="M41" s="116"/>
      <c r="N41" s="67"/>
      <c r="O41" s="1443"/>
      <c r="P41" s="116"/>
      <c r="Q41" s="116"/>
      <c r="R41" s="116"/>
      <c r="S41" s="116"/>
      <c r="T41" s="67">
        <v>1998000</v>
      </c>
      <c r="U41" s="317">
        <f t="shared" si="8"/>
        <v>9398000</v>
      </c>
      <c r="V41" s="364"/>
      <c r="W41" s="364"/>
      <c r="X41" s="364"/>
      <c r="Y41" s="364"/>
      <c r="Z41" s="67" t="s">
        <v>228</v>
      </c>
      <c r="AB41" s="129"/>
      <c r="AC41" s="129"/>
      <c r="AD41" s="14"/>
    </row>
    <row r="42" spans="1:30" ht="28.5" customHeight="1" x14ac:dyDescent="0.2">
      <c r="A42" s="365" t="s">
        <v>90</v>
      </c>
      <c r="B42" s="389" t="s">
        <v>129</v>
      </c>
      <c r="C42" s="725" t="s">
        <v>2418</v>
      </c>
      <c r="D42" s="712"/>
      <c r="E42" s="786">
        <f t="shared" si="6"/>
        <v>0</v>
      </c>
      <c r="F42" s="786">
        <f t="shared" si="7"/>
        <v>6324600</v>
      </c>
      <c r="G42" s="116"/>
      <c r="H42" s="116"/>
      <c r="I42" s="116"/>
      <c r="J42" s="116">
        <v>4980000</v>
      </c>
      <c r="K42" s="116"/>
      <c r="L42" s="116"/>
      <c r="M42" s="116"/>
      <c r="N42" s="67"/>
      <c r="O42" s="1443"/>
      <c r="P42" s="116"/>
      <c r="Q42" s="116"/>
      <c r="R42" s="116"/>
      <c r="S42" s="116"/>
      <c r="T42" s="67">
        <v>1344600</v>
      </c>
      <c r="U42" s="317">
        <f>+F42</f>
        <v>6324600</v>
      </c>
      <c r="V42" s="364"/>
      <c r="W42" s="364"/>
      <c r="X42" s="364"/>
      <c r="Y42" s="364"/>
      <c r="Z42" s="67" t="s">
        <v>228</v>
      </c>
      <c r="AB42" s="129"/>
      <c r="AC42" s="129"/>
      <c r="AD42" s="14"/>
    </row>
    <row r="43" spans="1:30" ht="28.5" customHeight="1" x14ac:dyDescent="0.2">
      <c r="A43" s="365" t="s">
        <v>151</v>
      </c>
      <c r="B43" s="389" t="s">
        <v>129</v>
      </c>
      <c r="C43" s="725" t="s">
        <v>1315</v>
      </c>
      <c r="D43" s="712"/>
      <c r="E43" s="786">
        <f t="shared" si="6"/>
        <v>30000000</v>
      </c>
      <c r="F43" s="786">
        <f t="shared" si="7"/>
        <v>2476500</v>
      </c>
      <c r="G43" s="116"/>
      <c r="H43" s="116"/>
      <c r="I43" s="116">
        <v>23622047</v>
      </c>
      <c r="J43" s="116">
        <f>23622047+1950000-23622047</f>
        <v>1950000</v>
      </c>
      <c r="K43" s="116"/>
      <c r="L43" s="116"/>
      <c r="M43" s="116"/>
      <c r="N43" s="67"/>
      <c r="O43" s="1443"/>
      <c r="P43" s="116"/>
      <c r="Q43" s="116"/>
      <c r="R43" s="116"/>
      <c r="S43" s="116">
        <v>6377953</v>
      </c>
      <c r="T43" s="67">
        <f>6377953+526500-6377953</f>
        <v>526500</v>
      </c>
      <c r="U43" s="317">
        <f t="shared" si="8"/>
        <v>2476500</v>
      </c>
      <c r="V43" s="364"/>
      <c r="W43" s="364"/>
      <c r="X43" s="364"/>
      <c r="Y43" s="364"/>
      <c r="Z43" s="67" t="s">
        <v>228</v>
      </c>
      <c r="AB43" s="129"/>
      <c r="AC43" s="129"/>
      <c r="AD43" s="14"/>
    </row>
    <row r="44" spans="1:30" ht="31.5" customHeight="1" x14ac:dyDescent="0.2">
      <c r="A44" s="365" t="s">
        <v>151</v>
      </c>
      <c r="B44" s="389" t="s">
        <v>129</v>
      </c>
      <c r="C44" s="1490" t="s">
        <v>1403</v>
      </c>
      <c r="D44" s="712"/>
      <c r="E44" s="786">
        <f t="shared" si="6"/>
        <v>406400</v>
      </c>
      <c r="F44" s="786">
        <f t="shared" si="7"/>
        <v>406400</v>
      </c>
      <c r="G44" s="116"/>
      <c r="H44" s="116"/>
      <c r="I44" s="116">
        <v>320000</v>
      </c>
      <c r="J44" s="116">
        <v>320000</v>
      </c>
      <c r="K44" s="116"/>
      <c r="L44" s="116"/>
      <c r="M44" s="116"/>
      <c r="N44" s="67"/>
      <c r="O44" s="1443"/>
      <c r="P44" s="116"/>
      <c r="Q44" s="116"/>
      <c r="R44" s="116"/>
      <c r="S44" s="116">
        <v>86400</v>
      </c>
      <c r="T44" s="67">
        <v>86400</v>
      </c>
      <c r="U44" s="317">
        <f>+E44</f>
        <v>406400</v>
      </c>
      <c r="V44" s="364"/>
      <c r="W44" s="364"/>
      <c r="X44" s="364"/>
      <c r="Y44" s="364"/>
      <c r="Z44" s="67" t="s">
        <v>228</v>
      </c>
      <c r="AB44" s="129"/>
      <c r="AC44" s="129"/>
      <c r="AD44" s="14"/>
    </row>
    <row r="45" spans="1:30" ht="31.5" customHeight="1" x14ac:dyDescent="0.2">
      <c r="A45" s="365" t="s">
        <v>151</v>
      </c>
      <c r="B45" s="389" t="s">
        <v>129</v>
      </c>
      <c r="C45" s="1490" t="s">
        <v>1406</v>
      </c>
      <c r="D45" s="712"/>
      <c r="E45" s="786">
        <f t="shared" si="6"/>
        <v>254000</v>
      </c>
      <c r="F45" s="786">
        <f t="shared" si="7"/>
        <v>0</v>
      </c>
      <c r="G45" s="116"/>
      <c r="H45" s="116"/>
      <c r="I45" s="116">
        <v>200000</v>
      </c>
      <c r="J45" s="116">
        <f>200000-200000</f>
        <v>0</v>
      </c>
      <c r="K45" s="116"/>
      <c r="L45" s="116"/>
      <c r="M45" s="116"/>
      <c r="N45" s="67"/>
      <c r="O45" s="1443"/>
      <c r="P45" s="116"/>
      <c r="Q45" s="116"/>
      <c r="R45" s="116"/>
      <c r="S45" s="116">
        <v>54000</v>
      </c>
      <c r="T45" s="67">
        <f>54000-54000</f>
        <v>0</v>
      </c>
      <c r="U45" s="317">
        <f t="shared" ref="U45:U51" si="9">+F45</f>
        <v>0</v>
      </c>
      <c r="V45" s="364"/>
      <c r="W45" s="364"/>
      <c r="X45" s="364"/>
      <c r="Y45" s="364"/>
      <c r="Z45" s="67" t="s">
        <v>228</v>
      </c>
      <c r="AB45" s="129"/>
      <c r="AC45" s="129"/>
      <c r="AD45" s="14"/>
    </row>
    <row r="46" spans="1:30" ht="31.5" customHeight="1" x14ac:dyDescent="0.2">
      <c r="A46" s="365" t="s">
        <v>151</v>
      </c>
      <c r="B46" s="389" t="s">
        <v>129</v>
      </c>
      <c r="C46" s="1490" t="s">
        <v>2633</v>
      </c>
      <c r="D46" s="712"/>
      <c r="E46" s="786">
        <f t="shared" si="6"/>
        <v>0</v>
      </c>
      <c r="F46" s="786">
        <f t="shared" si="7"/>
        <v>13843000</v>
      </c>
      <c r="G46" s="116"/>
      <c r="H46" s="116"/>
      <c r="I46" s="116"/>
      <c r="J46" s="116">
        <f>2400000+8500000</f>
        <v>10900000</v>
      </c>
      <c r="K46" s="116"/>
      <c r="L46" s="116"/>
      <c r="M46" s="116"/>
      <c r="N46" s="67"/>
      <c r="O46" s="1443"/>
      <c r="P46" s="116"/>
      <c r="Q46" s="116"/>
      <c r="R46" s="116"/>
      <c r="S46" s="116"/>
      <c r="T46" s="67">
        <f>648000+2295000</f>
        <v>2943000</v>
      </c>
      <c r="U46" s="317">
        <f t="shared" si="9"/>
        <v>13843000</v>
      </c>
      <c r="V46" s="364"/>
      <c r="W46" s="364"/>
      <c r="X46" s="364"/>
      <c r="Y46" s="364"/>
      <c r="Z46" s="67" t="s">
        <v>228</v>
      </c>
      <c r="AB46" s="129"/>
      <c r="AC46" s="129"/>
      <c r="AD46" s="14"/>
    </row>
    <row r="47" spans="1:30" ht="31.5" customHeight="1" x14ac:dyDescent="0.2">
      <c r="A47" s="365" t="s">
        <v>151</v>
      </c>
      <c r="B47" s="389" t="s">
        <v>129</v>
      </c>
      <c r="C47" s="1490" t="s">
        <v>1806</v>
      </c>
      <c r="D47" s="712"/>
      <c r="E47" s="786">
        <f t="shared" si="6"/>
        <v>0</v>
      </c>
      <c r="F47" s="786">
        <f t="shared" si="7"/>
        <v>2476500</v>
      </c>
      <c r="G47" s="116"/>
      <c r="H47" s="116"/>
      <c r="I47" s="116"/>
      <c r="J47" s="116">
        <v>1950000</v>
      </c>
      <c r="K47" s="116"/>
      <c r="L47" s="116"/>
      <c r="M47" s="116"/>
      <c r="N47" s="67"/>
      <c r="O47" s="1443"/>
      <c r="P47" s="116"/>
      <c r="Q47" s="116"/>
      <c r="R47" s="116"/>
      <c r="S47" s="116"/>
      <c r="T47" s="67">
        <v>526500</v>
      </c>
      <c r="U47" s="317">
        <f t="shared" si="9"/>
        <v>2476500</v>
      </c>
      <c r="V47" s="364"/>
      <c r="W47" s="364"/>
      <c r="X47" s="364"/>
      <c r="Y47" s="364"/>
      <c r="Z47" s="67" t="s">
        <v>228</v>
      </c>
      <c r="AB47" s="129"/>
      <c r="AC47" s="129"/>
      <c r="AD47" s="14"/>
    </row>
    <row r="48" spans="1:30" ht="28.5" customHeight="1" x14ac:dyDescent="0.2">
      <c r="A48" s="365" t="s">
        <v>151</v>
      </c>
      <c r="B48" s="389" t="s">
        <v>129</v>
      </c>
      <c r="C48" s="1490" t="s">
        <v>2998</v>
      </c>
      <c r="D48" s="712"/>
      <c r="E48" s="786">
        <f t="shared" si="6"/>
        <v>0</v>
      </c>
      <c r="F48" s="786">
        <f t="shared" si="7"/>
        <v>1187450</v>
      </c>
      <c r="G48" s="116"/>
      <c r="H48" s="116"/>
      <c r="I48" s="116"/>
      <c r="J48" s="116">
        <v>935000</v>
      </c>
      <c r="K48" s="116"/>
      <c r="L48" s="116"/>
      <c r="M48" s="116"/>
      <c r="N48" s="67"/>
      <c r="O48" s="1443"/>
      <c r="P48" s="116"/>
      <c r="Q48" s="116"/>
      <c r="R48" s="116"/>
      <c r="S48" s="116"/>
      <c r="T48" s="67">
        <v>252450</v>
      </c>
      <c r="U48" s="317">
        <f t="shared" si="9"/>
        <v>1187450</v>
      </c>
      <c r="V48" s="364"/>
      <c r="W48" s="364"/>
      <c r="X48" s="364"/>
      <c r="Y48" s="364"/>
      <c r="Z48" s="67" t="s">
        <v>228</v>
      </c>
      <c r="AB48" s="129"/>
      <c r="AC48" s="129"/>
      <c r="AD48" s="14"/>
    </row>
    <row r="49" spans="1:30" ht="31.5" customHeight="1" x14ac:dyDescent="0.2">
      <c r="A49" s="365" t="s">
        <v>132</v>
      </c>
      <c r="B49" s="389" t="s">
        <v>563</v>
      </c>
      <c r="C49" s="1490" t="s">
        <v>1405</v>
      </c>
      <c r="D49" s="712"/>
      <c r="E49" s="786">
        <f t="shared" si="6"/>
        <v>254000</v>
      </c>
      <c r="F49" s="786">
        <f t="shared" si="7"/>
        <v>0</v>
      </c>
      <c r="G49" s="116"/>
      <c r="H49" s="116"/>
      <c r="I49" s="116">
        <v>200000</v>
      </c>
      <c r="J49" s="116">
        <f>200000-200000</f>
        <v>0</v>
      </c>
      <c r="K49" s="116"/>
      <c r="L49" s="116"/>
      <c r="M49" s="116"/>
      <c r="N49" s="67"/>
      <c r="O49" s="1443"/>
      <c r="P49" s="116"/>
      <c r="Q49" s="116"/>
      <c r="R49" s="116"/>
      <c r="S49" s="116">
        <v>54000</v>
      </c>
      <c r="T49" s="67">
        <f>54000-54000</f>
        <v>0</v>
      </c>
      <c r="U49" s="317">
        <f t="shared" si="9"/>
        <v>0</v>
      </c>
      <c r="V49" s="364"/>
      <c r="W49" s="364"/>
      <c r="X49" s="364"/>
      <c r="Y49" s="364"/>
      <c r="Z49" s="67" t="s">
        <v>228</v>
      </c>
      <c r="AB49" s="129"/>
      <c r="AC49" s="129"/>
      <c r="AD49" s="14"/>
    </row>
    <row r="50" spans="1:30" ht="30" customHeight="1" x14ac:dyDescent="0.2">
      <c r="A50" s="365" t="s">
        <v>128</v>
      </c>
      <c r="B50" s="389" t="s">
        <v>129</v>
      </c>
      <c r="C50" s="1490" t="s">
        <v>1287</v>
      </c>
      <c r="D50" s="712"/>
      <c r="E50" s="786">
        <f t="shared" si="6"/>
        <v>0</v>
      </c>
      <c r="F50" s="786">
        <f t="shared" si="7"/>
        <v>48600145</v>
      </c>
      <c r="G50" s="116"/>
      <c r="H50" s="116"/>
      <c r="I50" s="116"/>
      <c r="J50" s="116">
        <f>5695296+19282802+23622047</f>
        <v>48600145</v>
      </c>
      <c r="K50" s="116"/>
      <c r="L50" s="116"/>
      <c r="M50" s="116"/>
      <c r="N50" s="67"/>
      <c r="O50" s="1443"/>
      <c r="P50" s="116"/>
      <c r="Q50" s="116"/>
      <c r="R50" s="116"/>
      <c r="S50" s="116"/>
      <c r="T50" s="67"/>
      <c r="U50" s="1261">
        <f t="shared" si="9"/>
        <v>48600145</v>
      </c>
      <c r="V50" s="364"/>
      <c r="W50" s="364"/>
      <c r="X50" s="364"/>
      <c r="Y50" s="364"/>
      <c r="Z50" s="67" t="s">
        <v>228</v>
      </c>
      <c r="AB50" s="129"/>
      <c r="AC50" s="129"/>
      <c r="AD50" s="14"/>
    </row>
    <row r="51" spans="1:30" ht="26.25" customHeight="1" x14ac:dyDescent="0.2">
      <c r="A51" s="365" t="s">
        <v>128</v>
      </c>
      <c r="B51" s="389" t="s">
        <v>129</v>
      </c>
      <c r="C51" s="1490" t="s">
        <v>1354</v>
      </c>
      <c r="D51" s="712"/>
      <c r="E51" s="786">
        <f t="shared" si="6"/>
        <v>0</v>
      </c>
      <c r="F51" s="786">
        <f t="shared" si="7"/>
        <v>0</v>
      </c>
      <c r="G51" s="116"/>
      <c r="H51" s="116"/>
      <c r="I51" s="116"/>
      <c r="J51" s="116">
        <f>19282802-19282802+6023622-6023622</f>
        <v>0</v>
      </c>
      <c r="K51" s="116"/>
      <c r="L51" s="116"/>
      <c r="M51" s="116"/>
      <c r="N51" s="67"/>
      <c r="O51" s="1443"/>
      <c r="P51" s="116"/>
      <c r="Q51" s="116"/>
      <c r="R51" s="116"/>
      <c r="S51" s="116"/>
      <c r="T51" s="67"/>
      <c r="U51" s="1261">
        <f t="shared" si="9"/>
        <v>0</v>
      </c>
      <c r="V51" s="364"/>
      <c r="W51" s="364"/>
      <c r="X51" s="364"/>
      <c r="Y51" s="364"/>
      <c r="Z51" s="67" t="s">
        <v>228</v>
      </c>
      <c r="AB51" s="129"/>
      <c r="AC51" s="129"/>
      <c r="AD51" s="14"/>
    </row>
    <row r="52" spans="1:30" ht="30.75" customHeight="1" x14ac:dyDescent="0.2">
      <c r="A52" s="365" t="s">
        <v>128</v>
      </c>
      <c r="B52" s="389" t="s">
        <v>129</v>
      </c>
      <c r="C52" s="1490" t="s">
        <v>3435</v>
      </c>
      <c r="D52" s="712"/>
      <c r="E52" s="786">
        <f t="shared" si="6"/>
        <v>0</v>
      </c>
      <c r="F52" s="786">
        <f t="shared" si="7"/>
        <v>6023622</v>
      </c>
      <c r="G52" s="116"/>
      <c r="H52" s="116"/>
      <c r="I52" s="116"/>
      <c r="J52" s="116">
        <v>6023622</v>
      </c>
      <c r="K52" s="116"/>
      <c r="L52" s="116"/>
      <c r="M52" s="116"/>
      <c r="N52" s="67"/>
      <c r="O52" s="1443"/>
      <c r="P52" s="116"/>
      <c r="Q52" s="116"/>
      <c r="R52" s="116"/>
      <c r="S52" s="116"/>
      <c r="T52" s="67"/>
      <c r="U52" s="1261">
        <f>+F52</f>
        <v>6023622</v>
      </c>
      <c r="V52" s="364"/>
      <c r="W52" s="364"/>
      <c r="X52" s="364"/>
      <c r="Y52" s="364"/>
      <c r="Z52" s="67" t="s">
        <v>228</v>
      </c>
      <c r="AB52" s="129"/>
      <c r="AC52" s="129"/>
      <c r="AD52" s="14"/>
    </row>
    <row r="53" spans="1:30" ht="36" customHeight="1" x14ac:dyDescent="0.2">
      <c r="A53" s="365" t="s">
        <v>777</v>
      </c>
      <c r="B53" s="389" t="s">
        <v>563</v>
      </c>
      <c r="C53" s="754" t="s">
        <v>1926</v>
      </c>
      <c r="D53" s="389"/>
      <c r="E53" s="786">
        <f t="shared" si="6"/>
        <v>508000</v>
      </c>
      <c r="F53" s="786">
        <f t="shared" si="7"/>
        <v>508000</v>
      </c>
      <c r="G53" s="116"/>
      <c r="H53" s="116"/>
      <c r="I53" s="116">
        <v>400000</v>
      </c>
      <c r="J53" s="116">
        <v>400000</v>
      </c>
      <c r="K53" s="116"/>
      <c r="L53" s="116"/>
      <c r="M53" s="116"/>
      <c r="N53" s="67"/>
      <c r="O53" s="1443"/>
      <c r="P53" s="116"/>
      <c r="Q53" s="116"/>
      <c r="R53" s="116"/>
      <c r="S53" s="116">
        <v>108000</v>
      </c>
      <c r="T53" s="67">
        <v>108000</v>
      </c>
      <c r="U53" s="1261">
        <f>+E53</f>
        <v>508000</v>
      </c>
      <c r="V53" s="364"/>
      <c r="W53" s="364"/>
      <c r="X53" s="364"/>
      <c r="Y53" s="364"/>
      <c r="Z53" s="67" t="s">
        <v>228</v>
      </c>
      <c r="AB53" s="129"/>
      <c r="AC53" s="129"/>
      <c r="AD53" s="14"/>
    </row>
    <row r="54" spans="1:30" ht="27.75" customHeight="1" x14ac:dyDescent="0.2">
      <c r="A54" s="365" t="s">
        <v>777</v>
      </c>
      <c r="B54" s="389" t="s">
        <v>563</v>
      </c>
      <c r="C54" s="754" t="s">
        <v>1355</v>
      </c>
      <c r="D54" s="389"/>
      <c r="E54" s="786">
        <f t="shared" si="6"/>
        <v>0</v>
      </c>
      <c r="F54" s="786">
        <f t="shared" si="7"/>
        <v>0</v>
      </c>
      <c r="G54" s="116"/>
      <c r="H54" s="116"/>
      <c r="I54" s="116"/>
      <c r="J54" s="116">
        <f>34621550-34621550</f>
        <v>0</v>
      </c>
      <c r="K54" s="116"/>
      <c r="L54" s="116"/>
      <c r="M54" s="116"/>
      <c r="N54" s="67"/>
      <c r="O54" s="1262"/>
      <c r="P54" s="116"/>
      <c r="Q54" s="116"/>
      <c r="R54" s="116"/>
      <c r="S54" s="116"/>
      <c r="T54" s="67"/>
      <c r="U54" s="1261">
        <f>+F54</f>
        <v>0</v>
      </c>
      <c r="V54" s="364"/>
      <c r="W54" s="364"/>
      <c r="X54" s="364"/>
      <c r="Y54" s="364"/>
      <c r="Z54" s="67" t="s">
        <v>228</v>
      </c>
      <c r="AB54" s="129"/>
      <c r="AC54" s="129"/>
      <c r="AD54" s="14"/>
    </row>
    <row r="55" spans="1:30" ht="27.75" customHeight="1" x14ac:dyDescent="0.2">
      <c r="A55" s="672" t="s">
        <v>777</v>
      </c>
      <c r="B55" s="677" t="s">
        <v>563</v>
      </c>
      <c r="C55" s="678" t="s">
        <v>3436</v>
      </c>
      <c r="D55" s="677"/>
      <c r="E55" s="786">
        <f t="shared" si="6"/>
        <v>0</v>
      </c>
      <c r="F55" s="786">
        <f t="shared" si="7"/>
        <v>34621550</v>
      </c>
      <c r="G55" s="154"/>
      <c r="H55" s="154"/>
      <c r="I55" s="154"/>
      <c r="J55" s="154">
        <v>34621550</v>
      </c>
      <c r="K55" s="154"/>
      <c r="L55" s="154"/>
      <c r="M55" s="154"/>
      <c r="N55" s="173"/>
      <c r="O55" s="1263"/>
      <c r="P55" s="154"/>
      <c r="Q55" s="154"/>
      <c r="R55" s="154"/>
      <c r="S55" s="154"/>
      <c r="T55" s="173"/>
      <c r="U55" s="1294">
        <f>+F55</f>
        <v>34621550</v>
      </c>
      <c r="V55" s="336"/>
      <c r="W55" s="336"/>
      <c r="X55" s="336"/>
      <c r="Y55" s="336"/>
      <c r="Z55" s="173" t="s">
        <v>228</v>
      </c>
      <c r="AB55" s="129"/>
      <c r="AC55" s="129"/>
      <c r="AD55" s="14"/>
    </row>
    <row r="56" spans="1:30" s="10" customFormat="1" ht="21.75" customHeight="1" x14ac:dyDescent="0.2">
      <c r="A56" s="1566" t="s">
        <v>19</v>
      </c>
      <c r="B56" s="1561"/>
      <c r="C56" s="1561"/>
      <c r="D56" s="1558"/>
      <c r="E56" s="327">
        <f>SUM(E57:E59)</f>
        <v>0</v>
      </c>
      <c r="F56" s="327">
        <f t="shared" ref="F56:Y56" si="10">SUM(F57:F59)</f>
        <v>0</v>
      </c>
      <c r="G56" s="327">
        <f t="shared" si="10"/>
        <v>0</v>
      </c>
      <c r="H56" s="327">
        <f t="shared" si="10"/>
        <v>0</v>
      </c>
      <c r="I56" s="327">
        <f t="shared" si="10"/>
        <v>0</v>
      </c>
      <c r="J56" s="327">
        <f t="shared" si="10"/>
        <v>0</v>
      </c>
      <c r="K56" s="327">
        <f t="shared" si="10"/>
        <v>0</v>
      </c>
      <c r="L56" s="327">
        <f t="shared" si="10"/>
        <v>0</v>
      </c>
      <c r="M56" s="327">
        <f t="shared" si="10"/>
        <v>0</v>
      </c>
      <c r="N56" s="95">
        <f t="shared" si="10"/>
        <v>0</v>
      </c>
      <c r="O56" s="676">
        <f t="shared" si="10"/>
        <v>0</v>
      </c>
      <c r="P56" s="327">
        <f t="shared" si="10"/>
        <v>0</v>
      </c>
      <c r="Q56" s="327">
        <f t="shared" si="10"/>
        <v>0</v>
      </c>
      <c r="R56" s="327">
        <f t="shared" si="10"/>
        <v>0</v>
      </c>
      <c r="S56" s="327">
        <f t="shared" si="10"/>
        <v>0</v>
      </c>
      <c r="T56" s="95">
        <f t="shared" si="10"/>
        <v>0</v>
      </c>
      <c r="U56" s="676">
        <f t="shared" si="10"/>
        <v>0</v>
      </c>
      <c r="V56" s="327">
        <f t="shared" si="10"/>
        <v>0</v>
      </c>
      <c r="W56" s="327">
        <f t="shared" si="10"/>
        <v>0</v>
      </c>
      <c r="X56" s="327">
        <f t="shared" si="10"/>
        <v>0</v>
      </c>
      <c r="Y56" s="327">
        <f t="shared" si="10"/>
        <v>0</v>
      </c>
      <c r="Z56" s="95"/>
      <c r="AA56" s="10" t="e">
        <f>+U56+V56+X56+#REF!</f>
        <v>#REF!</v>
      </c>
      <c r="AB56" s="129">
        <f>SUM(U56:Y56)</f>
        <v>0</v>
      </c>
      <c r="AC56" s="129">
        <f>+AB56-E56</f>
        <v>0</v>
      </c>
      <c r="AD56" s="129" t="e">
        <f>+AC56-#REF!</f>
        <v>#REF!</v>
      </c>
    </row>
    <row r="57" spans="1:30" ht="30.75" customHeight="1" x14ac:dyDescent="0.2">
      <c r="A57" s="1213"/>
      <c r="B57" s="699"/>
      <c r="C57" s="334"/>
      <c r="D57" s="726"/>
      <c r="E57" s="635"/>
      <c r="F57" s="635"/>
      <c r="G57" s="633"/>
      <c r="H57" s="633"/>
      <c r="I57" s="633"/>
      <c r="J57" s="633"/>
      <c r="K57" s="633"/>
      <c r="L57" s="633"/>
      <c r="M57" s="633"/>
      <c r="N57" s="634"/>
      <c r="O57" s="1442"/>
      <c r="P57" s="633"/>
      <c r="Q57" s="633"/>
      <c r="R57" s="633"/>
      <c r="S57" s="633"/>
      <c r="T57" s="634"/>
      <c r="U57" s="1260"/>
      <c r="V57" s="727"/>
      <c r="W57" s="727"/>
      <c r="X57" s="727"/>
      <c r="Y57" s="335"/>
      <c r="Z57" s="634"/>
      <c r="AB57" s="129"/>
      <c r="AC57" s="129"/>
      <c r="AD57" s="14"/>
    </row>
    <row r="58" spans="1:30" ht="30.75" customHeight="1" x14ac:dyDescent="0.2">
      <c r="A58" s="365"/>
      <c r="B58" s="367"/>
      <c r="C58" s="1490"/>
      <c r="D58" s="712"/>
      <c r="E58" s="786"/>
      <c r="F58" s="786"/>
      <c r="G58" s="116"/>
      <c r="H58" s="116"/>
      <c r="I58" s="116"/>
      <c r="J58" s="116"/>
      <c r="K58" s="116"/>
      <c r="L58" s="116"/>
      <c r="M58" s="116"/>
      <c r="N58" s="67"/>
      <c r="O58" s="1443"/>
      <c r="P58" s="116"/>
      <c r="Q58" s="116"/>
      <c r="R58" s="116"/>
      <c r="S58" s="116"/>
      <c r="T58" s="67"/>
      <c r="U58" s="1261"/>
      <c r="V58" s="364"/>
      <c r="W58" s="364"/>
      <c r="X58" s="364"/>
      <c r="Y58" s="131"/>
      <c r="Z58" s="67"/>
      <c r="AB58" s="129"/>
      <c r="AC58" s="129"/>
      <c r="AD58" s="14"/>
    </row>
    <row r="59" spans="1:30" ht="30.75" customHeight="1" x14ac:dyDescent="0.2">
      <c r="A59" s="672"/>
      <c r="B59" s="659"/>
      <c r="C59" s="153"/>
      <c r="D59" s="714"/>
      <c r="E59" s="787"/>
      <c r="F59" s="787"/>
      <c r="G59" s="154"/>
      <c r="H59" s="154"/>
      <c r="I59" s="154"/>
      <c r="J59" s="154"/>
      <c r="K59" s="154"/>
      <c r="L59" s="154"/>
      <c r="M59" s="154"/>
      <c r="N59" s="173"/>
      <c r="O59" s="664"/>
      <c r="P59" s="154"/>
      <c r="Q59" s="154"/>
      <c r="R59" s="154"/>
      <c r="S59" s="154"/>
      <c r="T59" s="173"/>
      <c r="U59" s="1294"/>
      <c r="V59" s="336"/>
      <c r="W59" s="336"/>
      <c r="X59" s="336"/>
      <c r="Y59" s="151"/>
      <c r="Z59" s="173"/>
      <c r="AB59" s="129"/>
      <c r="AC59" s="129"/>
      <c r="AD59" s="14"/>
    </row>
    <row r="60" spans="1:30" s="10" customFormat="1" ht="23.25" customHeight="1" x14ac:dyDescent="0.2">
      <c r="A60" s="1566" t="s">
        <v>20</v>
      </c>
      <c r="B60" s="1561"/>
      <c r="C60" s="1561"/>
      <c r="D60" s="1558"/>
      <c r="E60" s="327">
        <f>SUM(E61:E74)</f>
        <v>83152153</v>
      </c>
      <c r="F60" s="327">
        <f t="shared" ref="F60:Y60" si="11">SUM(F61:F74)</f>
        <v>127650156</v>
      </c>
      <c r="G60" s="327">
        <f t="shared" si="11"/>
        <v>0</v>
      </c>
      <c r="H60" s="327">
        <f t="shared" si="11"/>
        <v>0</v>
      </c>
      <c r="I60" s="327">
        <f t="shared" si="11"/>
        <v>79868677</v>
      </c>
      <c r="J60" s="327">
        <f t="shared" si="11"/>
        <v>118319530</v>
      </c>
      <c r="K60" s="327">
        <f t="shared" si="11"/>
        <v>0</v>
      </c>
      <c r="L60" s="327">
        <f t="shared" si="11"/>
        <v>0</v>
      </c>
      <c r="M60" s="327">
        <f t="shared" si="11"/>
        <v>0</v>
      </c>
      <c r="N60" s="95">
        <f t="shared" si="11"/>
        <v>0</v>
      </c>
      <c r="O60" s="676">
        <f t="shared" si="11"/>
        <v>0</v>
      </c>
      <c r="P60" s="327">
        <f t="shared" si="11"/>
        <v>0</v>
      </c>
      <c r="Q60" s="327">
        <f t="shared" si="11"/>
        <v>0</v>
      </c>
      <c r="R60" s="327">
        <f t="shared" si="11"/>
        <v>0</v>
      </c>
      <c r="S60" s="327">
        <f t="shared" si="11"/>
        <v>3283476</v>
      </c>
      <c r="T60" s="95">
        <f t="shared" si="11"/>
        <v>9330626</v>
      </c>
      <c r="U60" s="676">
        <f t="shared" si="11"/>
        <v>127650156</v>
      </c>
      <c r="V60" s="327">
        <f t="shared" si="11"/>
        <v>0</v>
      </c>
      <c r="W60" s="327">
        <f t="shared" si="11"/>
        <v>0</v>
      </c>
      <c r="X60" s="327">
        <f t="shared" si="11"/>
        <v>0</v>
      </c>
      <c r="Y60" s="327">
        <f t="shared" si="11"/>
        <v>652000000</v>
      </c>
      <c r="Z60" s="95"/>
      <c r="AA60" s="10" t="e">
        <f>+U60+V60+X60+#REF!</f>
        <v>#REF!</v>
      </c>
      <c r="AB60" s="129">
        <f>SUM(U60:Y60)</f>
        <v>779650156</v>
      </c>
      <c r="AC60" s="129">
        <f>+AB60-E60</f>
        <v>696498003</v>
      </c>
      <c r="AD60" s="129" t="e">
        <f>+AC60-#REF!</f>
        <v>#REF!</v>
      </c>
    </row>
    <row r="61" spans="1:30" ht="30.75" customHeight="1" x14ac:dyDescent="0.2">
      <c r="A61" s="1213" t="s">
        <v>133</v>
      </c>
      <c r="B61" s="699" t="s">
        <v>641</v>
      </c>
      <c r="C61" s="334" t="s">
        <v>1439</v>
      </c>
      <c r="D61" s="726"/>
      <c r="E61" s="635">
        <f>+G61+I61+K61+M61+O61+Q61+S61</f>
        <v>3022653</v>
      </c>
      <c r="F61" s="635">
        <f>+H61+J61+L61+N61+P61+R61+T61</f>
        <v>3022653</v>
      </c>
      <c r="G61" s="633"/>
      <c r="H61" s="633"/>
      <c r="I61" s="633">
        <v>3022653</v>
      </c>
      <c r="J61" s="633">
        <v>3022653</v>
      </c>
      <c r="K61" s="633"/>
      <c r="L61" s="633"/>
      <c r="M61" s="633"/>
      <c r="N61" s="634"/>
      <c r="O61" s="1442"/>
      <c r="P61" s="633"/>
      <c r="Q61" s="633"/>
      <c r="R61" s="633"/>
      <c r="S61" s="633"/>
      <c r="T61" s="634"/>
      <c r="U61" s="317">
        <f>+E61</f>
        <v>3022653</v>
      </c>
      <c r="V61" s="364"/>
      <c r="W61" s="364"/>
      <c r="X61" s="364"/>
      <c r="Y61" s="131"/>
      <c r="Z61" s="67" t="s">
        <v>228</v>
      </c>
      <c r="AB61" s="129"/>
      <c r="AC61" s="129"/>
      <c r="AD61" s="14"/>
    </row>
    <row r="62" spans="1:30" ht="30.75" customHeight="1" x14ac:dyDescent="0.2">
      <c r="A62" s="365" t="s">
        <v>133</v>
      </c>
      <c r="B62" s="367" t="s">
        <v>641</v>
      </c>
      <c r="C62" s="725" t="s">
        <v>1440</v>
      </c>
      <c r="D62" s="712"/>
      <c r="E62" s="786">
        <f t="shared" ref="E62:E74" si="12">+G62+I62+K62+M62+O62+Q62+S62</f>
        <v>7985000</v>
      </c>
      <c r="F62" s="786">
        <f t="shared" ref="F62:F74" si="13">+H62+J62+L62+N62+P62+R62+T62</f>
        <v>7985000</v>
      </c>
      <c r="G62" s="116"/>
      <c r="H62" s="116"/>
      <c r="I62" s="116">
        <v>7985000</v>
      </c>
      <c r="J62" s="116">
        <v>7985000</v>
      </c>
      <c r="K62" s="116"/>
      <c r="L62" s="116"/>
      <c r="M62" s="116"/>
      <c r="N62" s="67"/>
      <c r="O62" s="1443"/>
      <c r="P62" s="116"/>
      <c r="Q62" s="116"/>
      <c r="R62" s="116"/>
      <c r="S62" s="116"/>
      <c r="T62" s="67"/>
      <c r="U62" s="317">
        <f>+E62</f>
        <v>7985000</v>
      </c>
      <c r="V62" s="364"/>
      <c r="W62" s="364"/>
      <c r="X62" s="364"/>
      <c r="Y62" s="131"/>
      <c r="Z62" s="67" t="s">
        <v>228</v>
      </c>
      <c r="AB62" s="129"/>
      <c r="AC62" s="129"/>
      <c r="AD62" s="14"/>
    </row>
    <row r="63" spans="1:30" ht="30.75" customHeight="1" x14ac:dyDescent="0.2">
      <c r="A63" s="365" t="s">
        <v>133</v>
      </c>
      <c r="B63" s="367" t="s">
        <v>641</v>
      </c>
      <c r="C63" s="725" t="s">
        <v>2440</v>
      </c>
      <c r="D63" s="712"/>
      <c r="E63" s="786">
        <f t="shared" si="12"/>
        <v>200000</v>
      </c>
      <c r="F63" s="786">
        <f t="shared" si="13"/>
        <v>12195149</v>
      </c>
      <c r="G63" s="116"/>
      <c r="H63" s="116"/>
      <c r="I63" s="116">
        <v>200000</v>
      </c>
      <c r="J63" s="116">
        <f>200000+5999347+3445652</f>
        <v>9644999</v>
      </c>
      <c r="K63" s="116"/>
      <c r="L63" s="116"/>
      <c r="M63" s="116"/>
      <c r="N63" s="67"/>
      <c r="O63" s="1443"/>
      <c r="P63" s="116"/>
      <c r="Q63" s="116"/>
      <c r="R63" s="116"/>
      <c r="S63" s="116"/>
      <c r="T63" s="67">
        <f>1619824+930326</f>
        <v>2550150</v>
      </c>
      <c r="U63" s="317">
        <f>+F63</f>
        <v>12195149</v>
      </c>
      <c r="V63" s="364"/>
      <c r="W63" s="364"/>
      <c r="X63" s="364"/>
      <c r="Y63" s="131"/>
      <c r="Z63" s="67" t="s">
        <v>228</v>
      </c>
      <c r="AB63" s="129"/>
      <c r="AC63" s="129"/>
      <c r="AD63" s="14"/>
    </row>
    <row r="64" spans="1:30" ht="30.75" customHeight="1" x14ac:dyDescent="0.2">
      <c r="A64" s="365" t="s">
        <v>133</v>
      </c>
      <c r="B64" s="367" t="s">
        <v>641</v>
      </c>
      <c r="C64" s="725" t="s">
        <v>1351</v>
      </c>
      <c r="D64" s="712"/>
      <c r="E64" s="786">
        <f t="shared" si="12"/>
        <v>6500000</v>
      </c>
      <c r="F64" s="786">
        <f t="shared" si="13"/>
        <v>10000000</v>
      </c>
      <c r="G64" s="116"/>
      <c r="H64" s="116"/>
      <c r="I64" s="116">
        <v>6500000</v>
      </c>
      <c r="J64" s="116">
        <f>6500000+3500000</f>
        <v>10000000</v>
      </c>
      <c r="K64" s="116"/>
      <c r="L64" s="116"/>
      <c r="M64" s="116"/>
      <c r="N64" s="67"/>
      <c r="O64" s="1443"/>
      <c r="P64" s="116"/>
      <c r="Q64" s="116"/>
      <c r="R64" s="116"/>
      <c r="S64" s="116"/>
      <c r="T64" s="67"/>
      <c r="U64" s="317">
        <f>+F64</f>
        <v>10000000</v>
      </c>
      <c r="V64" s="364"/>
      <c r="W64" s="364"/>
      <c r="X64" s="364"/>
      <c r="Y64" s="131"/>
      <c r="Z64" s="67" t="s">
        <v>228</v>
      </c>
      <c r="AB64" s="129"/>
      <c r="AC64" s="129"/>
      <c r="AD64" s="14"/>
    </row>
    <row r="65" spans="1:30" ht="30.75" customHeight="1" x14ac:dyDescent="0.2">
      <c r="A65" s="365" t="s">
        <v>133</v>
      </c>
      <c r="B65" s="367" t="s">
        <v>641</v>
      </c>
      <c r="C65" s="725" t="s">
        <v>1352</v>
      </c>
      <c r="D65" s="712"/>
      <c r="E65" s="786">
        <f t="shared" si="12"/>
        <v>0</v>
      </c>
      <c r="F65" s="786">
        <f t="shared" si="13"/>
        <v>0</v>
      </c>
      <c r="G65" s="116"/>
      <c r="H65" s="116"/>
      <c r="I65" s="116"/>
      <c r="J65" s="116"/>
      <c r="K65" s="116"/>
      <c r="L65" s="116"/>
      <c r="M65" s="116"/>
      <c r="N65" s="67"/>
      <c r="O65" s="1443"/>
      <c r="P65" s="116"/>
      <c r="Q65" s="116"/>
      <c r="R65" s="116"/>
      <c r="S65" s="116"/>
      <c r="T65" s="67"/>
      <c r="U65" s="317">
        <f>+E65</f>
        <v>0</v>
      </c>
      <c r="V65" s="364"/>
      <c r="W65" s="364"/>
      <c r="X65" s="364"/>
      <c r="Y65" s="131">
        <v>52000000</v>
      </c>
      <c r="Z65" s="67" t="s">
        <v>228</v>
      </c>
      <c r="AB65" s="129"/>
      <c r="AC65" s="129"/>
      <c r="AD65" s="14"/>
    </row>
    <row r="66" spans="1:30" ht="30.75" customHeight="1" x14ac:dyDescent="0.2">
      <c r="A66" s="365" t="s">
        <v>133</v>
      </c>
      <c r="B66" s="367" t="s">
        <v>641</v>
      </c>
      <c r="C66" s="725" t="s">
        <v>1353</v>
      </c>
      <c r="D66" s="712"/>
      <c r="E66" s="786">
        <f t="shared" si="12"/>
        <v>38000000</v>
      </c>
      <c r="F66" s="786">
        <f t="shared" si="13"/>
        <v>36074080</v>
      </c>
      <c r="G66" s="116"/>
      <c r="H66" s="116"/>
      <c r="I66" s="116">
        <v>38000000</v>
      </c>
      <c r="J66" s="116">
        <f>38000000-9697000-4064000+12000000-3500000+10000000+4064000-3996878-6732042</f>
        <v>36074080</v>
      </c>
      <c r="K66" s="116"/>
      <c r="L66" s="116"/>
      <c r="M66" s="116"/>
      <c r="N66" s="67"/>
      <c r="O66" s="1443"/>
      <c r="P66" s="116"/>
      <c r="Q66" s="116"/>
      <c r="R66" s="116"/>
      <c r="S66" s="116"/>
      <c r="T66" s="67"/>
      <c r="U66" s="317">
        <f t="shared" ref="U66:U73" si="14">+F66</f>
        <v>36074080</v>
      </c>
      <c r="V66" s="364"/>
      <c r="W66" s="364"/>
      <c r="X66" s="364"/>
      <c r="Y66" s="131"/>
      <c r="Z66" s="67" t="s">
        <v>228</v>
      </c>
      <c r="AB66" s="129"/>
      <c r="AC66" s="129"/>
      <c r="AD66" s="14"/>
    </row>
    <row r="67" spans="1:30" ht="45.75" customHeight="1" x14ac:dyDescent="0.2">
      <c r="A67" s="365" t="s">
        <v>133</v>
      </c>
      <c r="B67" s="367" t="s">
        <v>641</v>
      </c>
      <c r="C67" s="725" t="s">
        <v>3078</v>
      </c>
      <c r="D67" s="712"/>
      <c r="E67" s="786">
        <f t="shared" ref="E67:F69" si="15">+G67+I67+K67+M67+O67+Q67+S67</f>
        <v>0</v>
      </c>
      <c r="F67" s="786">
        <f t="shared" si="15"/>
        <v>3996878</v>
      </c>
      <c r="G67" s="116"/>
      <c r="H67" s="116"/>
      <c r="I67" s="116"/>
      <c r="J67" s="116">
        <v>3996878</v>
      </c>
      <c r="K67" s="116"/>
      <c r="L67" s="116"/>
      <c r="M67" s="116"/>
      <c r="N67" s="67"/>
      <c r="O67" s="1443"/>
      <c r="P67" s="116"/>
      <c r="Q67" s="116"/>
      <c r="R67" s="116"/>
      <c r="S67" s="116"/>
      <c r="T67" s="67"/>
      <c r="U67" s="317">
        <f>+F67</f>
        <v>3996878</v>
      </c>
      <c r="V67" s="364"/>
      <c r="W67" s="364"/>
      <c r="X67" s="364"/>
      <c r="Y67" s="131"/>
      <c r="Z67" s="67" t="s">
        <v>228</v>
      </c>
      <c r="AB67" s="129"/>
      <c r="AC67" s="129"/>
      <c r="AD67" s="14"/>
    </row>
    <row r="68" spans="1:30" ht="45" customHeight="1" x14ac:dyDescent="0.2">
      <c r="A68" s="365" t="s">
        <v>133</v>
      </c>
      <c r="B68" s="367" t="s">
        <v>641</v>
      </c>
      <c r="C68" s="725" t="s">
        <v>3079</v>
      </c>
      <c r="D68" s="712"/>
      <c r="E68" s="786">
        <f t="shared" si="15"/>
        <v>0</v>
      </c>
      <c r="F68" s="786">
        <f t="shared" si="15"/>
        <v>6732042</v>
      </c>
      <c r="G68" s="116"/>
      <c r="H68" s="116"/>
      <c r="I68" s="116"/>
      <c r="J68" s="116">
        <v>6732042</v>
      </c>
      <c r="K68" s="116"/>
      <c r="L68" s="116"/>
      <c r="M68" s="116"/>
      <c r="N68" s="67"/>
      <c r="O68" s="1443"/>
      <c r="P68" s="116"/>
      <c r="Q68" s="116"/>
      <c r="R68" s="116"/>
      <c r="S68" s="116"/>
      <c r="T68" s="67"/>
      <c r="U68" s="317">
        <f>+F68</f>
        <v>6732042</v>
      </c>
      <c r="V68" s="364"/>
      <c r="W68" s="364"/>
      <c r="X68" s="364"/>
      <c r="Y68" s="131"/>
      <c r="Z68" s="67" t="s">
        <v>228</v>
      </c>
      <c r="AB68" s="129"/>
      <c r="AC68" s="129"/>
      <c r="AD68" s="14"/>
    </row>
    <row r="69" spans="1:30" ht="44.25" customHeight="1" x14ac:dyDescent="0.2">
      <c r="A69" s="365" t="s">
        <v>133</v>
      </c>
      <c r="B69" s="367" t="s">
        <v>641</v>
      </c>
      <c r="C69" s="725" t="s">
        <v>2072</v>
      </c>
      <c r="D69" s="712"/>
      <c r="E69" s="786">
        <f t="shared" si="15"/>
        <v>0</v>
      </c>
      <c r="F69" s="786">
        <f t="shared" si="15"/>
        <v>9697000</v>
      </c>
      <c r="G69" s="116"/>
      <c r="H69" s="116"/>
      <c r="I69" s="116"/>
      <c r="J69" s="116">
        <v>9697000</v>
      </c>
      <c r="K69" s="116"/>
      <c r="L69" s="116"/>
      <c r="M69" s="116"/>
      <c r="N69" s="67"/>
      <c r="O69" s="1443"/>
      <c r="P69" s="116"/>
      <c r="Q69" s="116"/>
      <c r="R69" s="116"/>
      <c r="S69" s="116"/>
      <c r="T69" s="67"/>
      <c r="U69" s="317">
        <f t="shared" si="14"/>
        <v>9697000</v>
      </c>
      <c r="V69" s="364"/>
      <c r="W69" s="364"/>
      <c r="X69" s="364"/>
      <c r="Y69" s="131"/>
      <c r="Z69" s="67" t="s">
        <v>228</v>
      </c>
      <c r="AB69" s="129"/>
      <c r="AC69" s="129"/>
      <c r="AD69" s="14"/>
    </row>
    <row r="70" spans="1:30" ht="45" customHeight="1" x14ac:dyDescent="0.2">
      <c r="A70" s="365" t="s">
        <v>133</v>
      </c>
      <c r="B70" s="367" t="s">
        <v>641</v>
      </c>
      <c r="C70" s="725" t="s">
        <v>2123</v>
      </c>
      <c r="D70" s="712"/>
      <c r="E70" s="786">
        <f t="shared" si="12"/>
        <v>12000000</v>
      </c>
      <c r="F70" s="786">
        <f t="shared" si="13"/>
        <v>0</v>
      </c>
      <c r="G70" s="116"/>
      <c r="H70" s="116"/>
      <c r="I70" s="116">
        <v>12000000</v>
      </c>
      <c r="J70" s="116">
        <f>12000000-12000000</f>
        <v>0</v>
      </c>
      <c r="K70" s="116"/>
      <c r="L70" s="116"/>
      <c r="M70" s="116"/>
      <c r="N70" s="67"/>
      <c r="O70" s="1443"/>
      <c r="P70" s="116"/>
      <c r="Q70" s="116"/>
      <c r="R70" s="116"/>
      <c r="S70" s="116"/>
      <c r="T70" s="67"/>
      <c r="U70" s="317">
        <f t="shared" si="14"/>
        <v>0</v>
      </c>
      <c r="V70" s="364"/>
      <c r="W70" s="364"/>
      <c r="X70" s="364"/>
      <c r="Y70" s="131"/>
      <c r="Z70" s="67" t="s">
        <v>228</v>
      </c>
      <c r="AB70" s="129"/>
      <c r="AC70" s="129"/>
      <c r="AD70" s="14"/>
    </row>
    <row r="71" spans="1:30" ht="39" customHeight="1" x14ac:dyDescent="0.2">
      <c r="A71" s="365" t="s">
        <v>133</v>
      </c>
      <c r="B71" s="367" t="s">
        <v>641</v>
      </c>
      <c r="C71" s="725" t="s">
        <v>2122</v>
      </c>
      <c r="D71" s="712"/>
      <c r="E71" s="786">
        <f t="shared" ref="E71:F73" si="16">+G71+I71+K71+M71+O71+Q71+S71</f>
        <v>0</v>
      </c>
      <c r="F71" s="786">
        <f t="shared" si="16"/>
        <v>4064000</v>
      </c>
      <c r="G71" s="116"/>
      <c r="H71" s="116"/>
      <c r="I71" s="116"/>
      <c r="J71" s="116">
        <v>4064000</v>
      </c>
      <c r="K71" s="116"/>
      <c r="L71" s="116"/>
      <c r="M71" s="116"/>
      <c r="N71" s="67"/>
      <c r="O71" s="1443"/>
      <c r="P71" s="116"/>
      <c r="Q71" s="116"/>
      <c r="R71" s="116"/>
      <c r="S71" s="116"/>
      <c r="T71" s="67"/>
      <c r="U71" s="317">
        <f t="shared" si="14"/>
        <v>4064000</v>
      </c>
      <c r="V71" s="364"/>
      <c r="W71" s="364"/>
      <c r="X71" s="364"/>
      <c r="Y71" s="131"/>
      <c r="Z71" s="67" t="s">
        <v>228</v>
      </c>
      <c r="AB71" s="129"/>
      <c r="AC71" s="129"/>
      <c r="AD71" s="14"/>
    </row>
    <row r="72" spans="1:30" ht="31.5" customHeight="1" x14ac:dyDescent="0.2">
      <c r="A72" s="366" t="s">
        <v>133</v>
      </c>
      <c r="B72" s="152" t="s">
        <v>641</v>
      </c>
      <c r="C72" s="1241" t="s">
        <v>2722</v>
      </c>
      <c r="D72" s="711"/>
      <c r="E72" s="786">
        <f t="shared" si="16"/>
        <v>0</v>
      </c>
      <c r="F72" s="786">
        <f t="shared" si="16"/>
        <v>5000000</v>
      </c>
      <c r="G72" s="117"/>
      <c r="H72" s="117"/>
      <c r="I72" s="117"/>
      <c r="J72" s="117">
        <v>3937008</v>
      </c>
      <c r="K72" s="117"/>
      <c r="L72" s="117"/>
      <c r="M72" s="117"/>
      <c r="N72" s="65"/>
      <c r="O72" s="1444"/>
      <c r="P72" s="117"/>
      <c r="Q72" s="117"/>
      <c r="R72" s="117"/>
      <c r="S72" s="117"/>
      <c r="T72" s="65">
        <v>1062992</v>
      </c>
      <c r="U72" s="317">
        <f t="shared" si="14"/>
        <v>5000000</v>
      </c>
      <c r="V72" s="364"/>
      <c r="W72" s="364"/>
      <c r="X72" s="364"/>
      <c r="Y72" s="131"/>
      <c r="Z72" s="67" t="s">
        <v>228</v>
      </c>
      <c r="AB72" s="129"/>
      <c r="AC72" s="129"/>
      <c r="AD72" s="14"/>
    </row>
    <row r="73" spans="1:30" ht="31.5" customHeight="1" x14ac:dyDescent="0.2">
      <c r="A73" s="366" t="s">
        <v>133</v>
      </c>
      <c r="B73" s="152" t="s">
        <v>641</v>
      </c>
      <c r="C73" s="1241" t="s">
        <v>2765</v>
      </c>
      <c r="D73" s="711"/>
      <c r="E73" s="786">
        <f t="shared" si="16"/>
        <v>0</v>
      </c>
      <c r="F73" s="786">
        <f t="shared" si="16"/>
        <v>10750354</v>
      </c>
      <c r="G73" s="117"/>
      <c r="H73" s="117"/>
      <c r="I73" s="117"/>
      <c r="J73" s="117">
        <v>8464846</v>
      </c>
      <c r="K73" s="117"/>
      <c r="L73" s="117"/>
      <c r="M73" s="117"/>
      <c r="N73" s="65"/>
      <c r="O73" s="1444"/>
      <c r="P73" s="117"/>
      <c r="Q73" s="117"/>
      <c r="R73" s="117"/>
      <c r="S73" s="117"/>
      <c r="T73" s="65">
        <v>2285508</v>
      </c>
      <c r="U73" s="317">
        <f t="shared" si="14"/>
        <v>10750354</v>
      </c>
      <c r="V73" s="364"/>
      <c r="W73" s="364"/>
      <c r="X73" s="364"/>
      <c r="Y73" s="131"/>
      <c r="Z73" s="67" t="s">
        <v>228</v>
      </c>
      <c r="AB73" s="129"/>
      <c r="AC73" s="129"/>
      <c r="AD73" s="14"/>
    </row>
    <row r="74" spans="1:30" ht="24.75" customHeight="1" x14ac:dyDescent="0.2">
      <c r="A74" s="672" t="s">
        <v>1322</v>
      </c>
      <c r="B74" s="659" t="s">
        <v>641</v>
      </c>
      <c r="C74" s="153" t="s">
        <v>1413</v>
      </c>
      <c r="D74" s="677"/>
      <c r="E74" s="787">
        <f t="shared" si="12"/>
        <v>15444500</v>
      </c>
      <c r="F74" s="787">
        <f t="shared" si="13"/>
        <v>18133000</v>
      </c>
      <c r="G74" s="154"/>
      <c r="H74" s="154"/>
      <c r="I74" s="154">
        <f>(11811024)+350000</f>
        <v>12161024</v>
      </c>
      <c r="J74" s="154">
        <f>(11811024)+350000+1990000+550000</f>
        <v>14701024</v>
      </c>
      <c r="K74" s="154"/>
      <c r="L74" s="154"/>
      <c r="M74" s="154"/>
      <c r="N74" s="173"/>
      <c r="O74" s="664"/>
      <c r="P74" s="154"/>
      <c r="Q74" s="154"/>
      <c r="R74" s="154"/>
      <c r="S74" s="154">
        <f>(3188976)+94500</f>
        <v>3283476</v>
      </c>
      <c r="T74" s="173">
        <f>(3188976)+94500+148500</f>
        <v>3431976</v>
      </c>
      <c r="U74" s="317">
        <f>+F74</f>
        <v>18133000</v>
      </c>
      <c r="V74" s="364"/>
      <c r="W74" s="364"/>
      <c r="X74" s="364"/>
      <c r="Y74" s="131">
        <v>600000000</v>
      </c>
      <c r="Z74" s="67" t="s">
        <v>228</v>
      </c>
      <c r="AB74" s="129"/>
      <c r="AC74" s="129"/>
      <c r="AD74" s="14"/>
    </row>
    <row r="75" spans="1:30" s="10" customFormat="1" ht="24.75" customHeight="1" x14ac:dyDescent="0.2">
      <c r="A75" s="1566" t="s">
        <v>21</v>
      </c>
      <c r="B75" s="1561"/>
      <c r="C75" s="1561"/>
      <c r="D75" s="1558"/>
      <c r="E75" s="327">
        <f t="shared" ref="E75:Y75" si="17">SUM(E76:E142)</f>
        <v>1293388855</v>
      </c>
      <c r="F75" s="327">
        <f t="shared" si="17"/>
        <v>1255146091</v>
      </c>
      <c r="G75" s="327">
        <f t="shared" si="17"/>
        <v>1110000</v>
      </c>
      <c r="H75" s="327">
        <f t="shared" si="17"/>
        <v>1110000</v>
      </c>
      <c r="I75" s="327">
        <f t="shared" si="17"/>
        <v>990874703</v>
      </c>
      <c r="J75" s="327">
        <f t="shared" si="17"/>
        <v>1101830964</v>
      </c>
      <c r="K75" s="327">
        <f t="shared" si="17"/>
        <v>500000</v>
      </c>
      <c r="L75" s="327">
        <f t="shared" si="17"/>
        <v>589441</v>
      </c>
      <c r="M75" s="327">
        <f t="shared" si="17"/>
        <v>25931719</v>
      </c>
      <c r="N75" s="95">
        <f t="shared" si="17"/>
        <v>62867527</v>
      </c>
      <c r="O75" s="676">
        <f t="shared" si="17"/>
        <v>0</v>
      </c>
      <c r="P75" s="327">
        <f t="shared" si="17"/>
        <v>0</v>
      </c>
      <c r="Q75" s="327">
        <f t="shared" si="17"/>
        <v>0</v>
      </c>
      <c r="R75" s="327">
        <f t="shared" si="17"/>
        <v>0</v>
      </c>
      <c r="S75" s="327">
        <f t="shared" si="17"/>
        <v>274972433</v>
      </c>
      <c r="T75" s="95">
        <f t="shared" si="17"/>
        <v>88748159</v>
      </c>
      <c r="U75" s="676">
        <f t="shared" si="17"/>
        <v>607947326</v>
      </c>
      <c r="V75" s="327">
        <f t="shared" si="17"/>
        <v>0</v>
      </c>
      <c r="W75" s="327">
        <f t="shared" si="17"/>
        <v>647198765</v>
      </c>
      <c r="X75" s="327">
        <f t="shared" si="17"/>
        <v>0</v>
      </c>
      <c r="Y75" s="327">
        <f t="shared" si="17"/>
        <v>30000000</v>
      </c>
      <c r="Z75" s="95"/>
      <c r="AA75" s="10" t="e">
        <f>+U75+V75+X75+#REF!</f>
        <v>#REF!</v>
      </c>
      <c r="AB75" s="129">
        <f>SUM(U75:Y75)</f>
        <v>1285146091</v>
      </c>
      <c r="AC75" s="129">
        <f>+AB75-E75</f>
        <v>-8242764</v>
      </c>
      <c r="AD75" s="129" t="e">
        <f>+AC75-#REF!</f>
        <v>#REF!</v>
      </c>
    </row>
    <row r="76" spans="1:30" s="10" customFormat="1" ht="29.25" customHeight="1" x14ac:dyDescent="0.2">
      <c r="A76" s="698" t="s">
        <v>131</v>
      </c>
      <c r="B76" s="699" t="s">
        <v>130</v>
      </c>
      <c r="C76" s="334" t="s">
        <v>1437</v>
      </c>
      <c r="D76" s="326"/>
      <c r="E76" s="635">
        <f t="shared" ref="E76:E107" si="18">+G76+I76+K76+M76+O76+Q76+S76</f>
        <v>4820771</v>
      </c>
      <c r="F76" s="635">
        <f t="shared" ref="F76:F107" si="19">+H76+J76+L76+N76+P76+R76+T76</f>
        <v>4820771</v>
      </c>
      <c r="G76" s="633"/>
      <c r="H76" s="633"/>
      <c r="I76" s="633">
        <v>3795883</v>
      </c>
      <c r="J76" s="633">
        <v>3795883</v>
      </c>
      <c r="K76" s="633"/>
      <c r="L76" s="633"/>
      <c r="M76" s="633"/>
      <c r="N76" s="634"/>
      <c r="O76" s="1442"/>
      <c r="P76" s="633"/>
      <c r="Q76" s="633"/>
      <c r="R76" s="633"/>
      <c r="S76" s="633">
        <v>1024888</v>
      </c>
      <c r="T76" s="634">
        <v>1024888</v>
      </c>
      <c r="U76" s="1260">
        <f>+F76</f>
        <v>4820771</v>
      </c>
      <c r="V76" s="633"/>
      <c r="W76" s="633"/>
      <c r="X76" s="633"/>
      <c r="Y76" s="633"/>
      <c r="Z76" s="634" t="s">
        <v>228</v>
      </c>
      <c r="AB76" s="129"/>
      <c r="AC76" s="129"/>
      <c r="AD76" s="129"/>
    </row>
    <row r="77" spans="1:30" s="10" customFormat="1" ht="27.75" customHeight="1" x14ac:dyDescent="0.2">
      <c r="A77" s="670" t="s">
        <v>150</v>
      </c>
      <c r="B77" s="390" t="s">
        <v>130</v>
      </c>
      <c r="C77" s="1271" t="s">
        <v>2746</v>
      </c>
      <c r="D77" s="761"/>
      <c r="E77" s="786">
        <f t="shared" si="18"/>
        <v>0</v>
      </c>
      <c r="F77" s="786">
        <f t="shared" si="19"/>
        <v>2351024</v>
      </c>
      <c r="G77" s="97"/>
      <c r="H77" s="97"/>
      <c r="I77" s="97"/>
      <c r="J77" s="97">
        <f>986000+865200</f>
        <v>1851200</v>
      </c>
      <c r="K77" s="97"/>
      <c r="L77" s="97"/>
      <c r="M77" s="97"/>
      <c r="N77" s="66"/>
      <c r="O77" s="1445"/>
      <c r="P77" s="97"/>
      <c r="Q77" s="97"/>
      <c r="R77" s="97"/>
      <c r="S77" s="97"/>
      <c r="T77" s="66">
        <f>266220+233604</f>
        <v>499824</v>
      </c>
      <c r="U77" s="1417">
        <f>+F77</f>
        <v>2351024</v>
      </c>
      <c r="V77" s="97"/>
      <c r="W77" s="97"/>
      <c r="X77" s="97"/>
      <c r="Y77" s="97"/>
      <c r="Z77" s="66" t="s">
        <v>229</v>
      </c>
      <c r="AB77" s="129"/>
      <c r="AC77" s="129"/>
      <c r="AD77" s="129"/>
    </row>
    <row r="78" spans="1:30" ht="24.75" customHeight="1" x14ac:dyDescent="0.2">
      <c r="A78" s="363" t="s">
        <v>134</v>
      </c>
      <c r="B78" s="367" t="s">
        <v>602</v>
      </c>
      <c r="C78" s="1490" t="s">
        <v>603</v>
      </c>
      <c r="D78" s="156"/>
      <c r="E78" s="786">
        <f t="shared" si="18"/>
        <v>2000000</v>
      </c>
      <c r="F78" s="786">
        <f t="shared" si="19"/>
        <v>2035810</v>
      </c>
      <c r="G78" s="116"/>
      <c r="H78" s="116"/>
      <c r="I78" s="116">
        <v>1574803</v>
      </c>
      <c r="J78" s="116">
        <f>1574803+22197+6000</f>
        <v>1603000</v>
      </c>
      <c r="K78" s="116"/>
      <c r="L78" s="116"/>
      <c r="M78" s="116"/>
      <c r="N78" s="67"/>
      <c r="O78" s="1443"/>
      <c r="P78" s="116"/>
      <c r="Q78" s="116"/>
      <c r="R78" s="116"/>
      <c r="S78" s="116">
        <v>425197</v>
      </c>
      <c r="T78" s="67">
        <f>425197+5993+1620</f>
        <v>432810</v>
      </c>
      <c r="U78" s="1261">
        <f t="shared" ref="U78:U87" si="20">+F78</f>
        <v>2035810</v>
      </c>
      <c r="V78" s="364"/>
      <c r="W78" s="364"/>
      <c r="X78" s="364"/>
      <c r="Y78" s="364"/>
      <c r="Z78" s="67" t="s">
        <v>228</v>
      </c>
      <c r="AB78" s="129">
        <f>SUM(U78:Y78)</f>
        <v>2035810</v>
      </c>
      <c r="AC78" s="129">
        <f>+AB78-E78</f>
        <v>35810</v>
      </c>
      <c r="AD78" s="14"/>
    </row>
    <row r="79" spans="1:30" ht="30.75" customHeight="1" x14ac:dyDescent="0.2">
      <c r="A79" s="363" t="s">
        <v>134</v>
      </c>
      <c r="B79" s="367" t="s">
        <v>602</v>
      </c>
      <c r="C79" s="1490" t="s">
        <v>2083</v>
      </c>
      <c r="D79" s="156"/>
      <c r="E79" s="786">
        <f t="shared" si="18"/>
        <v>11073150</v>
      </c>
      <c r="F79" s="786">
        <f t="shared" si="19"/>
        <v>8357870</v>
      </c>
      <c r="G79" s="116"/>
      <c r="H79" s="116"/>
      <c r="I79" s="116">
        <f>+(7874016)+845000</f>
        <v>8719016</v>
      </c>
      <c r="J79" s="116">
        <f>+(7874016)+845000-1568000-541819-22197-6000</f>
        <v>6581000</v>
      </c>
      <c r="K79" s="116"/>
      <c r="L79" s="116"/>
      <c r="M79" s="116"/>
      <c r="N79" s="67"/>
      <c r="O79" s="1443"/>
      <c r="P79" s="116"/>
      <c r="Q79" s="116"/>
      <c r="R79" s="116"/>
      <c r="S79" s="116">
        <f>+(2125984)+228150</f>
        <v>2354134</v>
      </c>
      <c r="T79" s="67">
        <f>+(2125984)+228150-423360-146291-5993-1620</f>
        <v>1776870</v>
      </c>
      <c r="U79" s="1261">
        <f t="shared" si="20"/>
        <v>8357870</v>
      </c>
      <c r="V79" s="364"/>
      <c r="W79" s="364"/>
      <c r="X79" s="364"/>
      <c r="Y79" s="364"/>
      <c r="Z79" s="67" t="s">
        <v>228</v>
      </c>
      <c r="AB79" s="129"/>
      <c r="AC79" s="129"/>
      <c r="AD79" s="14"/>
    </row>
    <row r="80" spans="1:30" ht="30.75" customHeight="1" x14ac:dyDescent="0.2">
      <c r="A80" s="363" t="s">
        <v>134</v>
      </c>
      <c r="B80" s="367" t="s">
        <v>602</v>
      </c>
      <c r="C80" s="1490" t="s">
        <v>2276</v>
      </c>
      <c r="D80" s="156"/>
      <c r="E80" s="786">
        <f t="shared" si="18"/>
        <v>0</v>
      </c>
      <c r="F80" s="786">
        <f t="shared" si="19"/>
        <v>31550347</v>
      </c>
      <c r="G80" s="116"/>
      <c r="H80" s="116"/>
      <c r="I80" s="116"/>
      <c r="J80" s="116">
        <f>7874016+5123235+11845542</f>
        <v>24842793</v>
      </c>
      <c r="K80" s="116"/>
      <c r="L80" s="116"/>
      <c r="M80" s="116"/>
      <c r="N80" s="67"/>
      <c r="O80" s="1443"/>
      <c r="P80" s="116"/>
      <c r="Q80" s="116"/>
      <c r="R80" s="116"/>
      <c r="S80" s="116"/>
      <c r="T80" s="67">
        <f>2125984+1383274+3198296</f>
        <v>6707554</v>
      </c>
      <c r="U80" s="1261">
        <f>+F80</f>
        <v>31550347</v>
      </c>
      <c r="V80" s="364"/>
      <c r="W80" s="364"/>
      <c r="X80" s="364"/>
      <c r="Y80" s="364"/>
      <c r="Z80" s="67" t="s">
        <v>228</v>
      </c>
      <c r="AB80" s="129"/>
      <c r="AC80" s="129"/>
      <c r="AD80" s="14"/>
    </row>
    <row r="81" spans="1:30" ht="30.75" customHeight="1" x14ac:dyDescent="0.2">
      <c r="A81" s="363" t="s">
        <v>1326</v>
      </c>
      <c r="B81" s="367" t="s">
        <v>572</v>
      </c>
      <c r="C81" s="1490" t="s">
        <v>3440</v>
      </c>
      <c r="D81" s="156"/>
      <c r="E81" s="786">
        <f t="shared" si="18"/>
        <v>0</v>
      </c>
      <c r="F81" s="786">
        <f t="shared" si="19"/>
        <v>9079528</v>
      </c>
      <c r="G81" s="116"/>
      <c r="H81" s="116"/>
      <c r="I81" s="116"/>
      <c r="J81" s="116">
        <f>3225269+3923965</f>
        <v>7149234</v>
      </c>
      <c r="K81" s="116"/>
      <c r="L81" s="116"/>
      <c r="M81" s="116"/>
      <c r="N81" s="67"/>
      <c r="O81" s="1443"/>
      <c r="P81" s="116"/>
      <c r="Q81" s="116"/>
      <c r="R81" s="116"/>
      <c r="S81" s="116"/>
      <c r="T81" s="67">
        <f>870823+1059471</f>
        <v>1930294</v>
      </c>
      <c r="U81" s="1261">
        <f>+F81</f>
        <v>9079528</v>
      </c>
      <c r="V81" s="364"/>
      <c r="W81" s="364"/>
      <c r="X81" s="364"/>
      <c r="Y81" s="364"/>
      <c r="Z81" s="67" t="s">
        <v>228</v>
      </c>
      <c r="AB81" s="129"/>
      <c r="AC81" s="129"/>
      <c r="AD81" s="14"/>
    </row>
    <row r="82" spans="1:30" ht="24.75" customHeight="1" x14ac:dyDescent="0.2">
      <c r="A82" s="365" t="s">
        <v>453</v>
      </c>
      <c r="B82" s="367" t="s">
        <v>73</v>
      </c>
      <c r="C82" s="1490" t="s">
        <v>604</v>
      </c>
      <c r="D82" s="156"/>
      <c r="E82" s="786">
        <f t="shared" si="18"/>
        <v>889000</v>
      </c>
      <c r="F82" s="786">
        <f t="shared" si="19"/>
        <v>889000</v>
      </c>
      <c r="G82" s="116"/>
      <c r="H82" s="116"/>
      <c r="I82" s="116"/>
      <c r="J82" s="116"/>
      <c r="K82" s="116">
        <v>400000</v>
      </c>
      <c r="L82" s="116">
        <v>400000</v>
      </c>
      <c r="M82" s="116">
        <v>300000</v>
      </c>
      <c r="N82" s="67">
        <v>300000</v>
      </c>
      <c r="O82" s="1443"/>
      <c r="P82" s="116"/>
      <c r="Q82" s="116"/>
      <c r="R82" s="116"/>
      <c r="S82" s="116">
        <v>189000</v>
      </c>
      <c r="T82" s="67">
        <v>189000</v>
      </c>
      <c r="U82" s="1261">
        <f t="shared" si="20"/>
        <v>889000</v>
      </c>
      <c r="V82" s="364"/>
      <c r="W82" s="364"/>
      <c r="X82" s="364"/>
      <c r="Y82" s="364"/>
      <c r="Z82" s="67" t="s">
        <v>228</v>
      </c>
      <c r="AB82" s="129"/>
      <c r="AC82" s="129"/>
      <c r="AD82" s="14"/>
    </row>
    <row r="83" spans="1:30" ht="24.75" customHeight="1" x14ac:dyDescent="0.2">
      <c r="A83" s="365" t="s">
        <v>553</v>
      </c>
      <c r="B83" s="367" t="s">
        <v>73</v>
      </c>
      <c r="C83" s="1490" t="s">
        <v>912</v>
      </c>
      <c r="D83" s="1291"/>
      <c r="E83" s="786">
        <f t="shared" si="18"/>
        <v>127000</v>
      </c>
      <c r="F83" s="786">
        <f t="shared" si="19"/>
        <v>127000</v>
      </c>
      <c r="G83" s="116"/>
      <c r="H83" s="116"/>
      <c r="I83" s="116"/>
      <c r="J83" s="116"/>
      <c r="K83" s="116"/>
      <c r="L83" s="116"/>
      <c r="M83" s="116">
        <v>100000</v>
      </c>
      <c r="N83" s="67">
        <v>100000</v>
      </c>
      <c r="O83" s="1443"/>
      <c r="P83" s="116"/>
      <c r="Q83" s="116"/>
      <c r="R83" s="116"/>
      <c r="S83" s="116">
        <v>27000</v>
      </c>
      <c r="T83" s="67">
        <v>27000</v>
      </c>
      <c r="U83" s="1261">
        <f t="shared" si="20"/>
        <v>127000</v>
      </c>
      <c r="V83" s="364"/>
      <c r="W83" s="364"/>
      <c r="X83" s="364"/>
      <c r="Y83" s="364"/>
      <c r="Z83" s="67" t="s">
        <v>228</v>
      </c>
      <c r="AB83" s="129"/>
      <c r="AC83" s="129"/>
      <c r="AD83" s="14"/>
    </row>
    <row r="84" spans="1:30" ht="24.75" customHeight="1" x14ac:dyDescent="0.2">
      <c r="A84" s="365" t="s">
        <v>1837</v>
      </c>
      <c r="B84" s="367" t="s">
        <v>1838</v>
      </c>
      <c r="C84" s="1490" t="s">
        <v>1839</v>
      </c>
      <c r="D84" s="1291"/>
      <c r="E84" s="786">
        <f t="shared" si="18"/>
        <v>0</v>
      </c>
      <c r="F84" s="786">
        <f t="shared" si="19"/>
        <v>718185</v>
      </c>
      <c r="G84" s="116"/>
      <c r="H84" s="116"/>
      <c r="I84" s="116"/>
      <c r="J84" s="116">
        <v>565500</v>
      </c>
      <c r="K84" s="116"/>
      <c r="L84" s="116"/>
      <c r="M84" s="116"/>
      <c r="N84" s="67"/>
      <c r="O84" s="1443"/>
      <c r="P84" s="116"/>
      <c r="Q84" s="116"/>
      <c r="R84" s="116"/>
      <c r="S84" s="116"/>
      <c r="T84" s="67">
        <v>152685</v>
      </c>
      <c r="U84" s="1261">
        <f t="shared" si="20"/>
        <v>718185</v>
      </c>
      <c r="V84" s="364"/>
      <c r="W84" s="364"/>
      <c r="X84" s="364"/>
      <c r="Y84" s="364"/>
      <c r="Z84" s="67" t="s">
        <v>228</v>
      </c>
      <c r="AB84" s="129"/>
      <c r="AC84" s="129"/>
      <c r="AD84" s="14"/>
    </row>
    <row r="85" spans="1:30" ht="24.75" customHeight="1" x14ac:dyDescent="0.2">
      <c r="A85" s="365" t="s">
        <v>1837</v>
      </c>
      <c r="B85" s="367" t="s">
        <v>1838</v>
      </c>
      <c r="C85" s="1490" t="s">
        <v>2112</v>
      </c>
      <c r="D85" s="1291"/>
      <c r="E85" s="786">
        <f t="shared" si="18"/>
        <v>0</v>
      </c>
      <c r="F85" s="786">
        <f t="shared" si="19"/>
        <v>864870</v>
      </c>
      <c r="G85" s="116"/>
      <c r="H85" s="116"/>
      <c r="I85" s="116"/>
      <c r="J85" s="116"/>
      <c r="K85" s="116"/>
      <c r="L85" s="116"/>
      <c r="M85" s="116"/>
      <c r="N85" s="67">
        <v>681000</v>
      </c>
      <c r="O85" s="1443"/>
      <c r="P85" s="116"/>
      <c r="Q85" s="116"/>
      <c r="R85" s="116"/>
      <c r="S85" s="116"/>
      <c r="T85" s="67">
        <v>183870</v>
      </c>
      <c r="U85" s="1261">
        <f t="shared" si="20"/>
        <v>864870</v>
      </c>
      <c r="V85" s="364"/>
      <c r="W85" s="364"/>
      <c r="X85" s="364"/>
      <c r="Y85" s="364"/>
      <c r="Z85" s="67" t="s">
        <v>228</v>
      </c>
      <c r="AB85" s="129"/>
      <c r="AC85" s="129"/>
      <c r="AD85" s="14"/>
    </row>
    <row r="86" spans="1:30" ht="24.75" customHeight="1" x14ac:dyDescent="0.2">
      <c r="A86" s="365" t="s">
        <v>1837</v>
      </c>
      <c r="B86" s="367" t="s">
        <v>1838</v>
      </c>
      <c r="C86" s="1490" t="s">
        <v>3296</v>
      </c>
      <c r="D86" s="1291"/>
      <c r="E86" s="786">
        <f t="shared" si="18"/>
        <v>0</v>
      </c>
      <c r="F86" s="786">
        <f t="shared" si="19"/>
        <v>34549</v>
      </c>
      <c r="G86" s="116"/>
      <c r="H86" s="116"/>
      <c r="I86" s="116"/>
      <c r="J86" s="116"/>
      <c r="K86" s="116"/>
      <c r="L86" s="116"/>
      <c r="M86" s="116"/>
      <c r="N86" s="67">
        <v>27204</v>
      </c>
      <c r="O86" s="1443"/>
      <c r="P86" s="116"/>
      <c r="Q86" s="116"/>
      <c r="R86" s="116"/>
      <c r="S86" s="116"/>
      <c r="T86" s="67">
        <v>7345</v>
      </c>
      <c r="U86" s="1261">
        <f>+F86</f>
        <v>34549</v>
      </c>
      <c r="V86" s="364"/>
      <c r="W86" s="364"/>
      <c r="X86" s="364"/>
      <c r="Y86" s="364"/>
      <c r="Z86" s="67" t="s">
        <v>228</v>
      </c>
      <c r="AB86" s="129"/>
      <c r="AC86" s="129"/>
      <c r="AD86" s="14"/>
    </row>
    <row r="87" spans="1:30" ht="24.75" customHeight="1" x14ac:dyDescent="0.2">
      <c r="A87" s="363" t="s">
        <v>605</v>
      </c>
      <c r="B87" s="367" t="s">
        <v>607</v>
      </c>
      <c r="C87" s="1490" t="s">
        <v>606</v>
      </c>
      <c r="D87" s="156"/>
      <c r="E87" s="786">
        <f t="shared" si="18"/>
        <v>3000000</v>
      </c>
      <c r="F87" s="786">
        <f t="shared" si="19"/>
        <v>1989933</v>
      </c>
      <c r="G87" s="116"/>
      <c r="H87" s="116"/>
      <c r="I87" s="116"/>
      <c r="J87" s="116"/>
      <c r="K87" s="116"/>
      <c r="L87" s="116"/>
      <c r="M87" s="116">
        <v>2362205</v>
      </c>
      <c r="N87" s="67">
        <f>2362205-188000-426000-218157</f>
        <v>1530048</v>
      </c>
      <c r="O87" s="1443"/>
      <c r="P87" s="116"/>
      <c r="Q87" s="116"/>
      <c r="R87" s="116"/>
      <c r="S87" s="116">
        <v>637795</v>
      </c>
      <c r="T87" s="67">
        <f>637795-50760-68248-58902</f>
        <v>459885</v>
      </c>
      <c r="U87" s="1261">
        <f t="shared" si="20"/>
        <v>1989933</v>
      </c>
      <c r="V87" s="364"/>
      <c r="W87" s="364"/>
      <c r="X87" s="364"/>
      <c r="Y87" s="364"/>
      <c r="Z87" s="67" t="s">
        <v>228</v>
      </c>
      <c r="AB87" s="129"/>
      <c r="AC87" s="129"/>
      <c r="AD87" s="14"/>
    </row>
    <row r="88" spans="1:30" ht="24.75" customHeight="1" x14ac:dyDescent="0.2">
      <c r="A88" s="363" t="s">
        <v>1865</v>
      </c>
      <c r="B88" s="367" t="s">
        <v>130</v>
      </c>
      <c r="C88" s="1490" t="s">
        <v>2687</v>
      </c>
      <c r="D88" s="156"/>
      <c r="E88" s="786">
        <f t="shared" si="18"/>
        <v>0</v>
      </c>
      <c r="F88" s="786">
        <f t="shared" si="19"/>
        <v>270000</v>
      </c>
      <c r="G88" s="116"/>
      <c r="H88" s="116"/>
      <c r="I88" s="116"/>
      <c r="J88" s="116"/>
      <c r="K88" s="116"/>
      <c r="L88" s="116"/>
      <c r="M88" s="116"/>
      <c r="N88" s="67">
        <v>212598</v>
      </c>
      <c r="O88" s="1443"/>
      <c r="P88" s="116"/>
      <c r="Q88" s="116"/>
      <c r="R88" s="116"/>
      <c r="S88" s="116"/>
      <c r="T88" s="67">
        <v>57402</v>
      </c>
      <c r="U88" s="1261">
        <f t="shared" ref="U88:U95" si="21">+F88</f>
        <v>270000</v>
      </c>
      <c r="V88" s="364"/>
      <c r="W88" s="364"/>
      <c r="X88" s="364"/>
      <c r="Y88" s="364"/>
      <c r="Z88" s="67" t="s">
        <v>228</v>
      </c>
      <c r="AB88" s="129"/>
      <c r="AC88" s="129"/>
      <c r="AD88" s="14"/>
    </row>
    <row r="89" spans="1:30" ht="24.75" customHeight="1" x14ac:dyDescent="0.2">
      <c r="A89" s="365" t="s">
        <v>843</v>
      </c>
      <c r="B89" s="367" t="s">
        <v>844</v>
      </c>
      <c r="C89" s="725" t="s">
        <v>862</v>
      </c>
      <c r="D89" s="712"/>
      <c r="E89" s="786">
        <f t="shared" si="18"/>
        <v>5000000</v>
      </c>
      <c r="F89" s="786">
        <f t="shared" si="19"/>
        <v>0</v>
      </c>
      <c r="G89" s="116"/>
      <c r="H89" s="116"/>
      <c r="I89" s="116">
        <v>3937008</v>
      </c>
      <c r="J89" s="116">
        <f>3937008-1306800-2630208</f>
        <v>0</v>
      </c>
      <c r="K89" s="116"/>
      <c r="L89" s="116"/>
      <c r="M89" s="116"/>
      <c r="N89" s="67"/>
      <c r="O89" s="1443"/>
      <c r="P89" s="116"/>
      <c r="Q89" s="116"/>
      <c r="R89" s="116"/>
      <c r="S89" s="116">
        <v>1062992</v>
      </c>
      <c r="T89" s="67">
        <f>1062992-352836-710156</f>
        <v>0</v>
      </c>
      <c r="U89" s="1261">
        <f t="shared" si="21"/>
        <v>0</v>
      </c>
      <c r="V89" s="364"/>
      <c r="W89" s="364"/>
      <c r="X89" s="364"/>
      <c r="Y89" s="364">
        <v>5000000</v>
      </c>
      <c r="Z89" s="69" t="s">
        <v>228</v>
      </c>
      <c r="AB89" s="129"/>
      <c r="AC89" s="129"/>
      <c r="AD89" s="14"/>
    </row>
    <row r="90" spans="1:30" ht="24.75" customHeight="1" x14ac:dyDescent="0.2">
      <c r="A90" s="365" t="s">
        <v>843</v>
      </c>
      <c r="B90" s="367" t="s">
        <v>844</v>
      </c>
      <c r="C90" s="725" t="s">
        <v>2692</v>
      </c>
      <c r="D90" s="712"/>
      <c r="E90" s="786">
        <f t="shared" si="18"/>
        <v>0</v>
      </c>
      <c r="F90" s="786">
        <f t="shared" si="19"/>
        <v>3675380</v>
      </c>
      <c r="G90" s="116"/>
      <c r="H90" s="116"/>
      <c r="I90" s="116"/>
      <c r="J90" s="116"/>
      <c r="K90" s="116"/>
      <c r="L90" s="116"/>
      <c r="M90" s="116"/>
      <c r="N90" s="67">
        <f>2630208+263792</f>
        <v>2894000</v>
      </c>
      <c r="O90" s="1443"/>
      <c r="P90" s="116"/>
      <c r="Q90" s="116"/>
      <c r="R90" s="116"/>
      <c r="S90" s="116"/>
      <c r="T90" s="67">
        <f>710156+71224</f>
        <v>781380</v>
      </c>
      <c r="U90" s="1261">
        <f t="shared" si="21"/>
        <v>3675380</v>
      </c>
      <c r="V90" s="364"/>
      <c r="W90" s="364"/>
      <c r="X90" s="364"/>
      <c r="Y90" s="364"/>
      <c r="Z90" s="69" t="s">
        <v>228</v>
      </c>
      <c r="AB90" s="129"/>
      <c r="AC90" s="129"/>
      <c r="AD90" s="14"/>
    </row>
    <row r="91" spans="1:30" ht="24.75" customHeight="1" x14ac:dyDescent="0.2">
      <c r="A91" s="365" t="s">
        <v>843</v>
      </c>
      <c r="B91" s="367" t="s">
        <v>844</v>
      </c>
      <c r="C91" s="725" t="s">
        <v>2373</v>
      </c>
      <c r="D91" s="712"/>
      <c r="E91" s="786">
        <f t="shared" si="18"/>
        <v>0</v>
      </c>
      <c r="F91" s="786">
        <f t="shared" si="19"/>
        <v>944880</v>
      </c>
      <c r="G91" s="116"/>
      <c r="H91" s="116"/>
      <c r="I91" s="116"/>
      <c r="J91" s="116">
        <f>699265+44735</f>
        <v>744000</v>
      </c>
      <c r="K91" s="116"/>
      <c r="L91" s="116"/>
      <c r="M91" s="116"/>
      <c r="N91" s="67"/>
      <c r="O91" s="1443"/>
      <c r="P91" s="116"/>
      <c r="Q91" s="116"/>
      <c r="R91" s="116"/>
      <c r="S91" s="116"/>
      <c r="T91" s="67">
        <f>188801+12079</f>
        <v>200880</v>
      </c>
      <c r="U91" s="1261">
        <f t="shared" si="21"/>
        <v>944880</v>
      </c>
      <c r="V91" s="364"/>
      <c r="W91" s="364"/>
      <c r="X91" s="364"/>
      <c r="Y91" s="364"/>
      <c r="Z91" s="69" t="s">
        <v>228</v>
      </c>
      <c r="AB91" s="129"/>
      <c r="AC91" s="129"/>
      <c r="AD91" s="14"/>
    </row>
    <row r="92" spans="1:30" ht="24.75" customHeight="1" x14ac:dyDescent="0.2">
      <c r="A92" s="365" t="s">
        <v>843</v>
      </c>
      <c r="B92" s="367" t="s">
        <v>844</v>
      </c>
      <c r="C92" s="725" t="s">
        <v>1305</v>
      </c>
      <c r="D92" s="712"/>
      <c r="E92" s="786">
        <f t="shared" si="18"/>
        <v>5000000</v>
      </c>
      <c r="F92" s="786">
        <f t="shared" si="19"/>
        <v>5306886</v>
      </c>
      <c r="G92" s="116"/>
      <c r="H92" s="116"/>
      <c r="I92" s="116">
        <v>3937008</v>
      </c>
      <c r="J92" s="116">
        <f>3937008-263792+263792-46500-69446+1574803-5395865</f>
        <v>0</v>
      </c>
      <c r="K92" s="116"/>
      <c r="L92" s="116"/>
      <c r="M92" s="116"/>
      <c r="N92" s="67">
        <f>5395865-1586000+368785</f>
        <v>4178650</v>
      </c>
      <c r="O92" s="1443"/>
      <c r="P92" s="116"/>
      <c r="Q92" s="116"/>
      <c r="R92" s="116"/>
      <c r="S92" s="116">
        <v>1062992</v>
      </c>
      <c r="T92" s="67">
        <f>1062992-71224+71224-12555-13756-4995+425197-428220+99573</f>
        <v>1128236</v>
      </c>
      <c r="U92" s="1261">
        <f t="shared" si="21"/>
        <v>5306886</v>
      </c>
      <c r="V92" s="364"/>
      <c r="W92" s="364"/>
      <c r="X92" s="364"/>
      <c r="Y92" s="364">
        <v>5000000</v>
      </c>
      <c r="Z92" s="69" t="s">
        <v>228</v>
      </c>
      <c r="AB92" s="129"/>
      <c r="AC92" s="129"/>
      <c r="AD92" s="14"/>
    </row>
    <row r="93" spans="1:30" ht="24.75" customHeight="1" x14ac:dyDescent="0.2">
      <c r="A93" s="365" t="s">
        <v>843</v>
      </c>
      <c r="B93" s="367" t="s">
        <v>844</v>
      </c>
      <c r="C93" s="725" t="s">
        <v>1338</v>
      </c>
      <c r="D93" s="712"/>
      <c r="E93" s="786">
        <f t="shared" si="18"/>
        <v>5000000</v>
      </c>
      <c r="F93" s="786">
        <f t="shared" si="19"/>
        <v>5016500</v>
      </c>
      <c r="G93" s="116"/>
      <c r="H93" s="116"/>
      <c r="I93" s="116">
        <v>3937008</v>
      </c>
      <c r="J93" s="116">
        <f>3937008+12992</f>
        <v>3950000</v>
      </c>
      <c r="K93" s="116"/>
      <c r="L93" s="116"/>
      <c r="M93" s="116"/>
      <c r="N93" s="67"/>
      <c r="O93" s="1443"/>
      <c r="P93" s="116"/>
      <c r="Q93" s="116"/>
      <c r="R93" s="116"/>
      <c r="S93" s="116">
        <v>1062992</v>
      </c>
      <c r="T93" s="67">
        <f>1062992+3508</f>
        <v>1066500</v>
      </c>
      <c r="U93" s="1261">
        <f t="shared" si="21"/>
        <v>5016500</v>
      </c>
      <c r="V93" s="364"/>
      <c r="W93" s="364"/>
      <c r="X93" s="364"/>
      <c r="Y93" s="364"/>
      <c r="Z93" s="69" t="s">
        <v>228</v>
      </c>
      <c r="AB93" s="129"/>
      <c r="AC93" s="129"/>
      <c r="AD93" s="14"/>
    </row>
    <row r="94" spans="1:30" ht="24.75" customHeight="1" x14ac:dyDescent="0.2">
      <c r="A94" s="365" t="s">
        <v>843</v>
      </c>
      <c r="B94" s="367" t="s">
        <v>844</v>
      </c>
      <c r="C94" s="725" t="s">
        <v>2690</v>
      </c>
      <c r="D94" s="712"/>
      <c r="E94" s="786">
        <f t="shared" si="18"/>
        <v>0</v>
      </c>
      <c r="F94" s="786">
        <f t="shared" si="19"/>
        <v>59055</v>
      </c>
      <c r="G94" s="116"/>
      <c r="H94" s="116"/>
      <c r="I94" s="116"/>
      <c r="J94" s="116">
        <v>46500</v>
      </c>
      <c r="K94" s="116"/>
      <c r="L94" s="116"/>
      <c r="M94" s="116"/>
      <c r="N94" s="67"/>
      <c r="O94" s="1443"/>
      <c r="P94" s="116"/>
      <c r="Q94" s="116"/>
      <c r="R94" s="116"/>
      <c r="S94" s="116"/>
      <c r="T94" s="67">
        <v>12555</v>
      </c>
      <c r="U94" s="1261">
        <f t="shared" si="21"/>
        <v>59055</v>
      </c>
      <c r="V94" s="364"/>
      <c r="W94" s="364"/>
      <c r="X94" s="364"/>
      <c r="Y94" s="364"/>
      <c r="Z94" s="69" t="s">
        <v>228</v>
      </c>
      <c r="AB94" s="129"/>
      <c r="AC94" s="129"/>
      <c r="AD94" s="14"/>
    </row>
    <row r="95" spans="1:30" ht="24.75" customHeight="1" x14ac:dyDescent="0.2">
      <c r="A95" s="365" t="s">
        <v>843</v>
      </c>
      <c r="B95" s="367" t="s">
        <v>844</v>
      </c>
      <c r="C95" s="725" t="s">
        <v>2691</v>
      </c>
      <c r="D95" s="712"/>
      <c r="E95" s="786">
        <f t="shared" si="18"/>
        <v>0</v>
      </c>
      <c r="F95" s="786">
        <f t="shared" si="19"/>
        <v>23495</v>
      </c>
      <c r="G95" s="116"/>
      <c r="H95" s="116"/>
      <c r="I95" s="116"/>
      <c r="J95" s="116"/>
      <c r="K95" s="116"/>
      <c r="L95" s="116"/>
      <c r="M95" s="116"/>
      <c r="N95" s="67">
        <v>18500</v>
      </c>
      <c r="O95" s="1443"/>
      <c r="P95" s="116"/>
      <c r="Q95" s="116"/>
      <c r="R95" s="116"/>
      <c r="S95" s="116"/>
      <c r="T95" s="67">
        <v>4995</v>
      </c>
      <c r="U95" s="1261">
        <f t="shared" si="21"/>
        <v>23495</v>
      </c>
      <c r="V95" s="364"/>
      <c r="W95" s="364"/>
      <c r="X95" s="364"/>
      <c r="Y95" s="364"/>
      <c r="Z95" s="69" t="s">
        <v>228</v>
      </c>
      <c r="AB95" s="129"/>
      <c r="AC95" s="129"/>
      <c r="AD95" s="14"/>
    </row>
    <row r="96" spans="1:30" ht="24.75" customHeight="1" x14ac:dyDescent="0.2">
      <c r="A96" s="365" t="s">
        <v>843</v>
      </c>
      <c r="B96" s="367" t="s">
        <v>844</v>
      </c>
      <c r="C96" s="725" t="s">
        <v>2760</v>
      </c>
      <c r="D96" s="712"/>
      <c r="E96" s="786">
        <f t="shared" si="18"/>
        <v>0</v>
      </c>
      <c r="F96" s="786">
        <f t="shared" si="19"/>
        <v>3581400</v>
      </c>
      <c r="G96" s="116"/>
      <c r="H96" s="116"/>
      <c r="I96" s="116"/>
      <c r="J96" s="116">
        <v>2820000</v>
      </c>
      <c r="K96" s="116"/>
      <c r="L96" s="116"/>
      <c r="M96" s="116"/>
      <c r="N96" s="67"/>
      <c r="O96" s="1443"/>
      <c r="P96" s="116"/>
      <c r="Q96" s="116"/>
      <c r="R96" s="116"/>
      <c r="S96" s="116"/>
      <c r="T96" s="67">
        <v>761400</v>
      </c>
      <c r="U96" s="1261">
        <f>+F96</f>
        <v>3581400</v>
      </c>
      <c r="V96" s="364"/>
      <c r="W96" s="364"/>
      <c r="X96" s="364"/>
      <c r="Y96" s="364"/>
      <c r="Z96" s="69" t="s">
        <v>228</v>
      </c>
      <c r="AB96" s="129"/>
      <c r="AC96" s="129"/>
      <c r="AD96" s="14"/>
    </row>
    <row r="97" spans="1:30" ht="24.75" customHeight="1" x14ac:dyDescent="0.2">
      <c r="A97" s="365" t="s">
        <v>888</v>
      </c>
      <c r="B97" s="367" t="s">
        <v>889</v>
      </c>
      <c r="C97" s="725" t="s">
        <v>1402</v>
      </c>
      <c r="D97" s="712"/>
      <c r="E97" s="786">
        <f t="shared" si="18"/>
        <v>1409700</v>
      </c>
      <c r="F97" s="786">
        <f t="shared" si="19"/>
        <v>1409700</v>
      </c>
      <c r="G97" s="116">
        <v>1110000</v>
      </c>
      <c r="H97" s="116">
        <v>1110000</v>
      </c>
      <c r="I97" s="116"/>
      <c r="J97" s="116"/>
      <c r="K97" s="116"/>
      <c r="L97" s="116"/>
      <c r="M97" s="116"/>
      <c r="N97" s="67"/>
      <c r="O97" s="1443"/>
      <c r="P97" s="116"/>
      <c r="Q97" s="116"/>
      <c r="R97" s="116"/>
      <c r="S97" s="116">
        <v>299700</v>
      </c>
      <c r="T97" s="67">
        <v>299700</v>
      </c>
      <c r="U97" s="1261">
        <f>+F97</f>
        <v>1409700</v>
      </c>
      <c r="V97" s="364"/>
      <c r="W97" s="364"/>
      <c r="X97" s="364"/>
      <c r="Y97" s="364"/>
      <c r="Z97" s="67" t="s">
        <v>228</v>
      </c>
      <c r="AB97" s="129"/>
      <c r="AC97" s="129"/>
      <c r="AD97" s="14"/>
    </row>
    <row r="98" spans="1:30" ht="24.75" customHeight="1" x14ac:dyDescent="0.2">
      <c r="A98" s="363" t="s">
        <v>455</v>
      </c>
      <c r="B98" s="367" t="s">
        <v>609</v>
      </c>
      <c r="C98" s="1490" t="s">
        <v>608</v>
      </c>
      <c r="D98" s="712"/>
      <c r="E98" s="786">
        <f t="shared" si="18"/>
        <v>254000</v>
      </c>
      <c r="F98" s="786">
        <f t="shared" si="19"/>
        <v>254000</v>
      </c>
      <c r="G98" s="116"/>
      <c r="H98" s="116"/>
      <c r="I98" s="116"/>
      <c r="J98" s="116"/>
      <c r="K98" s="116"/>
      <c r="L98" s="116"/>
      <c r="M98" s="116">
        <v>200000</v>
      </c>
      <c r="N98" s="67">
        <v>200000</v>
      </c>
      <c r="O98" s="1443"/>
      <c r="P98" s="116"/>
      <c r="Q98" s="116"/>
      <c r="R98" s="116"/>
      <c r="S98" s="116">
        <v>54000</v>
      </c>
      <c r="T98" s="67">
        <v>54000</v>
      </c>
      <c r="U98" s="1261">
        <f>+F98</f>
        <v>254000</v>
      </c>
      <c r="V98" s="364"/>
      <c r="W98" s="364"/>
      <c r="X98" s="364"/>
      <c r="Y98" s="364"/>
      <c r="Z98" s="67" t="s">
        <v>228</v>
      </c>
      <c r="AB98" s="129">
        <f>SUM(U98:Y98)</f>
        <v>254000</v>
      </c>
      <c r="AC98" s="129">
        <f>+AB98-E98</f>
        <v>0</v>
      </c>
      <c r="AD98" s="14"/>
    </row>
    <row r="99" spans="1:30" ht="24.75" customHeight="1" x14ac:dyDescent="0.2">
      <c r="A99" s="363" t="s">
        <v>455</v>
      </c>
      <c r="B99" s="367" t="s">
        <v>609</v>
      </c>
      <c r="C99" s="1490" t="s">
        <v>1330</v>
      </c>
      <c r="D99" s="712"/>
      <c r="E99" s="786">
        <f t="shared" si="18"/>
        <v>0</v>
      </c>
      <c r="F99" s="786">
        <f t="shared" si="19"/>
        <v>0</v>
      </c>
      <c r="G99" s="116"/>
      <c r="H99" s="116"/>
      <c r="I99" s="116"/>
      <c r="J99" s="116"/>
      <c r="K99" s="116"/>
      <c r="L99" s="116"/>
      <c r="M99" s="116"/>
      <c r="N99" s="67"/>
      <c r="O99" s="1443"/>
      <c r="P99" s="116"/>
      <c r="Q99" s="116"/>
      <c r="R99" s="116"/>
      <c r="S99" s="116"/>
      <c r="T99" s="67"/>
      <c r="U99" s="1261">
        <f>+E99</f>
        <v>0</v>
      </c>
      <c r="V99" s="364"/>
      <c r="W99" s="364"/>
      <c r="X99" s="364"/>
      <c r="Y99" s="364">
        <v>20000000</v>
      </c>
      <c r="Z99" s="67" t="s">
        <v>228</v>
      </c>
      <c r="AB99" s="129"/>
      <c r="AC99" s="129"/>
      <c r="AD99" s="14"/>
    </row>
    <row r="100" spans="1:30" ht="24.75" customHeight="1" x14ac:dyDescent="0.2">
      <c r="A100" s="365" t="s">
        <v>135</v>
      </c>
      <c r="B100" s="367" t="s">
        <v>648</v>
      </c>
      <c r="C100" s="1490" t="s">
        <v>1336</v>
      </c>
      <c r="D100" s="712"/>
      <c r="E100" s="786">
        <f t="shared" si="18"/>
        <v>6000000</v>
      </c>
      <c r="F100" s="786">
        <f t="shared" si="19"/>
        <v>5755070</v>
      </c>
      <c r="G100" s="116"/>
      <c r="H100" s="116"/>
      <c r="I100" s="116"/>
      <c r="J100" s="116"/>
      <c r="K100" s="116"/>
      <c r="L100" s="116"/>
      <c r="M100" s="116">
        <v>4724409</v>
      </c>
      <c r="N100" s="67">
        <f>4724409-192858</f>
        <v>4531551</v>
      </c>
      <c r="O100" s="1443"/>
      <c r="P100" s="116"/>
      <c r="Q100" s="116"/>
      <c r="R100" s="116"/>
      <c r="S100" s="116">
        <v>1275591</v>
      </c>
      <c r="T100" s="67">
        <f>1275591-52072</f>
        <v>1223519</v>
      </c>
      <c r="U100" s="1261">
        <f t="shared" ref="U100:U118" si="22">+F100</f>
        <v>5755070</v>
      </c>
      <c r="V100" s="364"/>
      <c r="W100" s="364"/>
      <c r="X100" s="364"/>
      <c r="Y100" s="364"/>
      <c r="Z100" s="67" t="s">
        <v>228</v>
      </c>
      <c r="AB100" s="129"/>
      <c r="AC100" s="129"/>
      <c r="AD100" s="14"/>
    </row>
    <row r="101" spans="1:30" ht="24.75" customHeight="1" x14ac:dyDescent="0.2">
      <c r="A101" s="365" t="s">
        <v>135</v>
      </c>
      <c r="B101" s="367" t="s">
        <v>648</v>
      </c>
      <c r="C101" s="1490" t="s">
        <v>2084</v>
      </c>
      <c r="D101" s="712"/>
      <c r="E101" s="786">
        <f t="shared" si="18"/>
        <v>0</v>
      </c>
      <c r="F101" s="786">
        <f t="shared" si="19"/>
        <v>0</v>
      </c>
      <c r="G101" s="116"/>
      <c r="H101" s="116"/>
      <c r="I101" s="116"/>
      <c r="J101" s="116"/>
      <c r="K101" s="116"/>
      <c r="L101" s="116"/>
      <c r="M101" s="116"/>
      <c r="N101" s="67"/>
      <c r="O101" s="1443"/>
      <c r="P101" s="116"/>
      <c r="Q101" s="116"/>
      <c r="R101" s="116"/>
      <c r="S101" s="116"/>
      <c r="T101" s="67"/>
      <c r="U101" s="1261">
        <f t="shared" si="22"/>
        <v>0</v>
      </c>
      <c r="V101" s="364"/>
      <c r="W101" s="364"/>
      <c r="X101" s="364"/>
      <c r="Y101" s="364"/>
      <c r="Z101" s="67" t="s">
        <v>228</v>
      </c>
      <c r="AB101" s="129"/>
      <c r="AC101" s="129"/>
      <c r="AD101" s="14"/>
    </row>
    <row r="102" spans="1:30" ht="24.75" customHeight="1" x14ac:dyDescent="0.2">
      <c r="A102" s="365" t="s">
        <v>2649</v>
      </c>
      <c r="B102" s="367" t="s">
        <v>648</v>
      </c>
      <c r="C102" s="1490" t="s">
        <v>2650</v>
      </c>
      <c r="D102" s="712"/>
      <c r="E102" s="786">
        <f t="shared" si="18"/>
        <v>0</v>
      </c>
      <c r="F102" s="786">
        <f t="shared" si="19"/>
        <v>54990</v>
      </c>
      <c r="G102" s="116"/>
      <c r="H102" s="116"/>
      <c r="I102" s="116"/>
      <c r="J102" s="116"/>
      <c r="K102" s="116"/>
      <c r="L102" s="116">
        <v>43299</v>
      </c>
      <c r="M102" s="116"/>
      <c r="N102" s="67"/>
      <c r="O102" s="1443"/>
      <c r="P102" s="116"/>
      <c r="Q102" s="116"/>
      <c r="R102" s="116"/>
      <c r="S102" s="116"/>
      <c r="T102" s="67">
        <v>11691</v>
      </c>
      <c r="U102" s="1261">
        <f t="shared" si="22"/>
        <v>54990</v>
      </c>
      <c r="V102" s="364"/>
      <c r="W102" s="364"/>
      <c r="X102" s="364"/>
      <c r="Y102" s="364"/>
      <c r="Z102" s="67" t="s">
        <v>228</v>
      </c>
      <c r="AB102" s="129"/>
      <c r="AC102" s="129"/>
      <c r="AD102" s="14"/>
    </row>
    <row r="103" spans="1:30" ht="24.75" customHeight="1" x14ac:dyDescent="0.2">
      <c r="A103" s="363" t="s">
        <v>460</v>
      </c>
      <c r="B103" s="367" t="s">
        <v>557</v>
      </c>
      <c r="C103" s="1490" t="s">
        <v>859</v>
      </c>
      <c r="D103" s="712"/>
      <c r="E103" s="786">
        <f t="shared" si="18"/>
        <v>635000</v>
      </c>
      <c r="F103" s="786">
        <f t="shared" si="19"/>
        <v>511260</v>
      </c>
      <c r="G103" s="116"/>
      <c r="H103" s="116"/>
      <c r="I103" s="116"/>
      <c r="J103" s="116"/>
      <c r="K103" s="116"/>
      <c r="L103" s="116"/>
      <c r="M103" s="116">
        <v>500000</v>
      </c>
      <c r="N103" s="67">
        <f>500000-243000+174123</f>
        <v>431123</v>
      </c>
      <c r="O103" s="1443"/>
      <c r="P103" s="116"/>
      <c r="Q103" s="116"/>
      <c r="R103" s="116"/>
      <c r="S103" s="116">
        <v>135000</v>
      </c>
      <c r="T103" s="67">
        <f>135000-65610+10747</f>
        <v>80137</v>
      </c>
      <c r="U103" s="1261">
        <f t="shared" si="22"/>
        <v>511260</v>
      </c>
      <c r="V103" s="364"/>
      <c r="W103" s="364"/>
      <c r="X103" s="364"/>
      <c r="Y103" s="364"/>
      <c r="Z103" s="67" t="s">
        <v>228</v>
      </c>
      <c r="AB103" s="129">
        <f>SUM(U103:Y103)</f>
        <v>511260</v>
      </c>
      <c r="AC103" s="129">
        <f>+AB103-E103</f>
        <v>-123740</v>
      </c>
      <c r="AD103" s="14"/>
    </row>
    <row r="104" spans="1:30" ht="24.75" customHeight="1" x14ac:dyDescent="0.2">
      <c r="A104" s="363" t="s">
        <v>460</v>
      </c>
      <c r="B104" s="367" t="s">
        <v>557</v>
      </c>
      <c r="C104" s="1490" t="s">
        <v>2625</v>
      </c>
      <c r="D104" s="712"/>
      <c r="E104" s="786">
        <f t="shared" si="18"/>
        <v>0</v>
      </c>
      <c r="F104" s="786">
        <f t="shared" si="19"/>
        <v>562610</v>
      </c>
      <c r="G104" s="116"/>
      <c r="H104" s="116"/>
      <c r="I104" s="116"/>
      <c r="J104" s="116"/>
      <c r="K104" s="116"/>
      <c r="L104" s="116"/>
      <c r="M104" s="116"/>
      <c r="N104" s="67">
        <f>200000+243000</f>
        <v>443000</v>
      </c>
      <c r="O104" s="1443"/>
      <c r="P104" s="116"/>
      <c r="Q104" s="116"/>
      <c r="R104" s="116"/>
      <c r="S104" s="116"/>
      <c r="T104" s="67">
        <f>54000+65610</f>
        <v>119610</v>
      </c>
      <c r="U104" s="1261">
        <f t="shared" si="22"/>
        <v>562610</v>
      </c>
      <c r="V104" s="364"/>
      <c r="W104" s="364"/>
      <c r="X104" s="364"/>
      <c r="Y104" s="364"/>
      <c r="Z104" s="67" t="s">
        <v>228</v>
      </c>
      <c r="AB104" s="129"/>
      <c r="AC104" s="129"/>
      <c r="AD104" s="14"/>
    </row>
    <row r="105" spans="1:30" ht="24.75" customHeight="1" x14ac:dyDescent="0.2">
      <c r="A105" s="363" t="s">
        <v>462</v>
      </c>
      <c r="B105" s="367" t="s">
        <v>557</v>
      </c>
      <c r="C105" s="1490" t="s">
        <v>610</v>
      </c>
      <c r="D105" s="712"/>
      <c r="E105" s="786">
        <f t="shared" si="18"/>
        <v>889000</v>
      </c>
      <c r="F105" s="786">
        <f t="shared" si="19"/>
        <v>935142</v>
      </c>
      <c r="G105" s="116"/>
      <c r="H105" s="116"/>
      <c r="I105" s="116"/>
      <c r="J105" s="116"/>
      <c r="K105" s="116">
        <v>100000</v>
      </c>
      <c r="L105" s="116">
        <f>100000+46142</f>
        <v>146142</v>
      </c>
      <c r="M105" s="116">
        <v>600000</v>
      </c>
      <c r="N105" s="67">
        <v>600000</v>
      </c>
      <c r="O105" s="1443"/>
      <c r="P105" s="116"/>
      <c r="Q105" s="116"/>
      <c r="R105" s="116"/>
      <c r="S105" s="116">
        <v>189000</v>
      </c>
      <c r="T105" s="67">
        <v>189000</v>
      </c>
      <c r="U105" s="1261">
        <f t="shared" si="22"/>
        <v>935142</v>
      </c>
      <c r="V105" s="364"/>
      <c r="W105" s="364"/>
      <c r="X105" s="364"/>
      <c r="Y105" s="364"/>
      <c r="Z105" s="69" t="s">
        <v>228</v>
      </c>
      <c r="AB105" s="129"/>
      <c r="AC105" s="129"/>
      <c r="AD105" s="14"/>
    </row>
    <row r="106" spans="1:30" ht="24.75" customHeight="1" x14ac:dyDescent="0.2">
      <c r="A106" s="363" t="s">
        <v>462</v>
      </c>
      <c r="B106" s="367" t="s">
        <v>557</v>
      </c>
      <c r="C106" s="1490" t="s">
        <v>914</v>
      </c>
      <c r="D106" s="712"/>
      <c r="E106" s="786">
        <f t="shared" si="18"/>
        <v>13970000</v>
      </c>
      <c r="F106" s="786">
        <f t="shared" si="19"/>
        <v>13970000</v>
      </c>
      <c r="G106" s="116"/>
      <c r="H106" s="116"/>
      <c r="I106" s="116"/>
      <c r="J106" s="116"/>
      <c r="K106" s="116"/>
      <c r="L106" s="116"/>
      <c r="M106" s="116">
        <v>11000000</v>
      </c>
      <c r="N106" s="67">
        <v>11000000</v>
      </c>
      <c r="O106" s="1443"/>
      <c r="P106" s="116"/>
      <c r="Q106" s="116"/>
      <c r="R106" s="116"/>
      <c r="S106" s="116">
        <v>2970000</v>
      </c>
      <c r="T106" s="67">
        <v>2970000</v>
      </c>
      <c r="U106" s="1261">
        <f t="shared" si="22"/>
        <v>13970000</v>
      </c>
      <c r="V106" s="364"/>
      <c r="W106" s="364"/>
      <c r="X106" s="364"/>
      <c r="Y106" s="364"/>
      <c r="Z106" s="69" t="s">
        <v>228</v>
      </c>
      <c r="AB106" s="129"/>
      <c r="AC106" s="129"/>
      <c r="AD106" s="14"/>
    </row>
    <row r="107" spans="1:30" ht="24.75" customHeight="1" x14ac:dyDescent="0.2">
      <c r="A107" s="363" t="s">
        <v>462</v>
      </c>
      <c r="B107" s="367" t="s">
        <v>557</v>
      </c>
      <c r="C107" s="1490" t="s">
        <v>1409</v>
      </c>
      <c r="D107" s="712"/>
      <c r="E107" s="786">
        <f t="shared" si="18"/>
        <v>2730500</v>
      </c>
      <c r="F107" s="786">
        <f t="shared" si="19"/>
        <v>2730500</v>
      </c>
      <c r="G107" s="116"/>
      <c r="H107" s="116"/>
      <c r="I107" s="116"/>
      <c r="J107" s="116"/>
      <c r="K107" s="116"/>
      <c r="L107" s="116"/>
      <c r="M107" s="116">
        <v>2150000</v>
      </c>
      <c r="N107" s="67">
        <v>2150000</v>
      </c>
      <c r="O107" s="1443"/>
      <c r="P107" s="116"/>
      <c r="Q107" s="116"/>
      <c r="R107" s="116"/>
      <c r="S107" s="116">
        <v>580500</v>
      </c>
      <c r="T107" s="67">
        <v>580500</v>
      </c>
      <c r="U107" s="1261">
        <f t="shared" si="22"/>
        <v>2730500</v>
      </c>
      <c r="V107" s="364"/>
      <c r="W107" s="364"/>
      <c r="X107" s="364"/>
      <c r="Y107" s="364"/>
      <c r="Z107" s="69" t="s">
        <v>228</v>
      </c>
      <c r="AB107" s="129"/>
      <c r="AC107" s="129"/>
      <c r="AD107" s="14"/>
    </row>
    <row r="108" spans="1:30" ht="24.75" customHeight="1" x14ac:dyDescent="0.2">
      <c r="A108" s="363" t="s">
        <v>462</v>
      </c>
      <c r="B108" s="367" t="s">
        <v>557</v>
      </c>
      <c r="C108" s="1490" t="s">
        <v>2255</v>
      </c>
      <c r="D108" s="712"/>
      <c r="E108" s="786">
        <f t="shared" ref="E108:E142" si="23">+G108+I108+K108+M108+O108+Q108+S108</f>
        <v>0</v>
      </c>
      <c r="F108" s="786">
        <f t="shared" ref="F108:F142" si="24">+H108+J108+L108+N108+P108+R108+T108</f>
        <v>6584950</v>
      </c>
      <c r="G108" s="116"/>
      <c r="H108" s="116"/>
      <c r="I108" s="116"/>
      <c r="J108" s="116">
        <v>5185000</v>
      </c>
      <c r="K108" s="116"/>
      <c r="L108" s="116"/>
      <c r="M108" s="116"/>
      <c r="N108" s="67"/>
      <c r="O108" s="1443"/>
      <c r="P108" s="116"/>
      <c r="Q108" s="116"/>
      <c r="R108" s="116"/>
      <c r="S108" s="116"/>
      <c r="T108" s="67">
        <v>1399950</v>
      </c>
      <c r="U108" s="1261">
        <f t="shared" si="22"/>
        <v>6584950</v>
      </c>
      <c r="V108" s="364"/>
      <c r="W108" s="364"/>
      <c r="X108" s="364"/>
      <c r="Y108" s="364"/>
      <c r="Z108" s="69" t="s">
        <v>228</v>
      </c>
      <c r="AB108" s="129"/>
      <c r="AC108" s="129"/>
      <c r="AD108" s="14"/>
    </row>
    <row r="109" spans="1:30" ht="24.75" customHeight="1" x14ac:dyDescent="0.2">
      <c r="A109" s="363" t="s">
        <v>462</v>
      </c>
      <c r="B109" s="367" t="s">
        <v>557</v>
      </c>
      <c r="C109" s="1490" t="s">
        <v>2626</v>
      </c>
      <c r="D109" s="712"/>
      <c r="E109" s="786">
        <f t="shared" si="23"/>
        <v>0</v>
      </c>
      <c r="F109" s="786">
        <f t="shared" si="24"/>
        <v>562610</v>
      </c>
      <c r="G109" s="116"/>
      <c r="H109" s="116"/>
      <c r="I109" s="116"/>
      <c r="J109" s="116"/>
      <c r="K109" s="116"/>
      <c r="L109" s="116"/>
      <c r="M109" s="116"/>
      <c r="N109" s="67">
        <v>443000</v>
      </c>
      <c r="O109" s="1443"/>
      <c r="P109" s="116"/>
      <c r="Q109" s="116"/>
      <c r="R109" s="116"/>
      <c r="S109" s="116"/>
      <c r="T109" s="67">
        <v>119610</v>
      </c>
      <c r="U109" s="1261">
        <f t="shared" si="22"/>
        <v>562610</v>
      </c>
      <c r="V109" s="364"/>
      <c r="W109" s="364"/>
      <c r="X109" s="364"/>
      <c r="Y109" s="364"/>
      <c r="Z109" s="69" t="s">
        <v>228</v>
      </c>
      <c r="AB109" s="129"/>
      <c r="AC109" s="129"/>
      <c r="AD109" s="14"/>
    </row>
    <row r="110" spans="1:30" ht="24.75" customHeight="1" x14ac:dyDescent="0.2">
      <c r="A110" s="363" t="s">
        <v>857</v>
      </c>
      <c r="B110" s="367" t="s">
        <v>602</v>
      </c>
      <c r="C110" s="1490" t="s">
        <v>858</v>
      </c>
      <c r="D110" s="712"/>
      <c r="E110" s="786">
        <f t="shared" si="23"/>
        <v>0</v>
      </c>
      <c r="F110" s="786">
        <f t="shared" si="24"/>
        <v>244930</v>
      </c>
      <c r="G110" s="116"/>
      <c r="H110" s="116"/>
      <c r="I110" s="116"/>
      <c r="J110" s="116"/>
      <c r="K110" s="116"/>
      <c r="L110" s="116"/>
      <c r="M110" s="116"/>
      <c r="N110" s="67">
        <v>192858</v>
      </c>
      <c r="O110" s="1443"/>
      <c r="P110" s="116"/>
      <c r="Q110" s="116"/>
      <c r="R110" s="116"/>
      <c r="S110" s="116"/>
      <c r="T110" s="67">
        <v>52072</v>
      </c>
      <c r="U110" s="1261">
        <f t="shared" si="22"/>
        <v>244930</v>
      </c>
      <c r="V110" s="364"/>
      <c r="W110" s="364"/>
      <c r="X110" s="364"/>
      <c r="Y110" s="131"/>
      <c r="Z110" s="67" t="s">
        <v>228</v>
      </c>
      <c r="AB110" s="129"/>
      <c r="AC110" s="129"/>
      <c r="AD110" s="14"/>
    </row>
    <row r="111" spans="1:30" ht="24.75" customHeight="1" x14ac:dyDescent="0.2">
      <c r="A111" s="363" t="s">
        <v>541</v>
      </c>
      <c r="B111" s="367" t="s">
        <v>62</v>
      </c>
      <c r="C111" s="1490" t="s">
        <v>1414</v>
      </c>
      <c r="D111" s="712"/>
      <c r="E111" s="786">
        <f t="shared" si="23"/>
        <v>635000</v>
      </c>
      <c r="F111" s="786">
        <f t="shared" si="24"/>
        <v>635000</v>
      </c>
      <c r="G111" s="116"/>
      <c r="H111" s="116"/>
      <c r="I111" s="116"/>
      <c r="J111" s="116"/>
      <c r="K111" s="116"/>
      <c r="L111" s="116"/>
      <c r="M111" s="116">
        <f>500000</f>
        <v>500000</v>
      </c>
      <c r="N111" s="67">
        <f>500000</f>
        <v>500000</v>
      </c>
      <c r="O111" s="1443"/>
      <c r="P111" s="116"/>
      <c r="Q111" s="116"/>
      <c r="R111" s="116"/>
      <c r="S111" s="116">
        <f>135000</f>
        <v>135000</v>
      </c>
      <c r="T111" s="67">
        <f>135000</f>
        <v>135000</v>
      </c>
      <c r="U111" s="1261">
        <f t="shared" si="22"/>
        <v>635000</v>
      </c>
      <c r="V111" s="364"/>
      <c r="W111" s="364"/>
      <c r="X111" s="364"/>
      <c r="Y111" s="131"/>
      <c r="Z111" s="69" t="s">
        <v>229</v>
      </c>
      <c r="AB111" s="129"/>
      <c r="AC111" s="129"/>
      <c r="AD111" s="14"/>
    </row>
    <row r="112" spans="1:30" ht="30.75" customHeight="1" x14ac:dyDescent="0.2">
      <c r="A112" s="363" t="s">
        <v>541</v>
      </c>
      <c r="B112" s="367" t="s">
        <v>62</v>
      </c>
      <c r="C112" s="1490" t="s">
        <v>2734</v>
      </c>
      <c r="D112" s="712"/>
      <c r="E112" s="786">
        <f t="shared" si="23"/>
        <v>2509520</v>
      </c>
      <c r="F112" s="786">
        <f t="shared" si="24"/>
        <v>2782189</v>
      </c>
      <c r="G112" s="116"/>
      <c r="H112" s="116"/>
      <c r="I112" s="116">
        <v>1976000</v>
      </c>
      <c r="J112" s="116">
        <f>1976000+176000+38700</f>
        <v>2190700</v>
      </c>
      <c r="K112" s="116"/>
      <c r="L112" s="116"/>
      <c r="M112" s="116"/>
      <c r="N112" s="67"/>
      <c r="O112" s="1443"/>
      <c r="P112" s="116"/>
      <c r="Q112" s="116"/>
      <c r="R112" s="116"/>
      <c r="S112" s="116">
        <v>533520</v>
      </c>
      <c r="T112" s="67">
        <f>533520+47520+10449</f>
        <v>591489</v>
      </c>
      <c r="U112" s="1261">
        <f t="shared" si="22"/>
        <v>2782189</v>
      </c>
      <c r="V112" s="364"/>
      <c r="W112" s="364"/>
      <c r="X112" s="364"/>
      <c r="Y112" s="131"/>
      <c r="Z112" s="69" t="s">
        <v>229</v>
      </c>
      <c r="AB112" s="129"/>
      <c r="AC112" s="129"/>
      <c r="AD112" s="14"/>
    </row>
    <row r="113" spans="1:30" ht="24.75" customHeight="1" x14ac:dyDescent="0.2">
      <c r="A113" s="363" t="s">
        <v>541</v>
      </c>
      <c r="B113" s="367" t="s">
        <v>62</v>
      </c>
      <c r="C113" s="1490" t="s">
        <v>1415</v>
      </c>
      <c r="D113" s="712"/>
      <c r="E113" s="786">
        <f t="shared" si="23"/>
        <v>1438783</v>
      </c>
      <c r="F113" s="786">
        <f t="shared" si="24"/>
        <v>1438783</v>
      </c>
      <c r="G113" s="116"/>
      <c r="H113" s="116"/>
      <c r="I113" s="116"/>
      <c r="J113" s="116"/>
      <c r="K113" s="116"/>
      <c r="L113" s="116"/>
      <c r="M113" s="116">
        <v>1132900</v>
      </c>
      <c r="N113" s="67">
        <v>1132900</v>
      </c>
      <c r="O113" s="1443"/>
      <c r="P113" s="116"/>
      <c r="Q113" s="116"/>
      <c r="R113" s="116"/>
      <c r="S113" s="116">
        <v>305883</v>
      </c>
      <c r="T113" s="67">
        <v>305883</v>
      </c>
      <c r="U113" s="1261">
        <f t="shared" si="22"/>
        <v>1438783</v>
      </c>
      <c r="V113" s="364"/>
      <c r="W113" s="364"/>
      <c r="X113" s="364"/>
      <c r="Y113" s="131"/>
      <c r="Z113" s="69" t="s">
        <v>229</v>
      </c>
      <c r="AB113" s="129"/>
      <c r="AC113" s="129"/>
      <c r="AD113" s="14"/>
    </row>
    <row r="114" spans="1:30" ht="24.75" customHeight="1" x14ac:dyDescent="0.2">
      <c r="A114" s="363" t="s">
        <v>541</v>
      </c>
      <c r="B114" s="367" t="s">
        <v>62</v>
      </c>
      <c r="C114" s="1490" t="s">
        <v>3312</v>
      </c>
      <c r="D114" s="712"/>
      <c r="E114" s="786">
        <f t="shared" si="23"/>
        <v>0</v>
      </c>
      <c r="F114" s="786">
        <f t="shared" si="24"/>
        <v>33905500</v>
      </c>
      <c r="G114" s="116"/>
      <c r="H114" s="116"/>
      <c r="I114" s="116"/>
      <c r="J114" s="116">
        <f>4650000+17322835+4724409</f>
        <v>26697244</v>
      </c>
      <c r="K114" s="116"/>
      <c r="L114" s="116"/>
      <c r="M114" s="116"/>
      <c r="N114" s="67"/>
      <c r="O114" s="1443"/>
      <c r="P114" s="116"/>
      <c r="Q114" s="116"/>
      <c r="R114" s="116"/>
      <c r="S114" s="116"/>
      <c r="T114" s="67">
        <f>1255500+4677165+1275591</f>
        <v>7208256</v>
      </c>
      <c r="U114" s="1261">
        <f t="shared" si="22"/>
        <v>33905500</v>
      </c>
      <c r="V114" s="364"/>
      <c r="W114" s="364"/>
      <c r="X114" s="364"/>
      <c r="Y114" s="131"/>
      <c r="Z114" s="69" t="s">
        <v>229</v>
      </c>
      <c r="AB114" s="129"/>
      <c r="AC114" s="129"/>
      <c r="AD114" s="14"/>
    </row>
    <row r="115" spans="1:30" ht="24.75" customHeight="1" x14ac:dyDescent="0.2">
      <c r="A115" s="363" t="s">
        <v>541</v>
      </c>
      <c r="B115" s="367" t="s">
        <v>62</v>
      </c>
      <c r="C115" s="1490" t="s">
        <v>2564</v>
      </c>
      <c r="D115" s="712"/>
      <c r="E115" s="786">
        <f t="shared" si="23"/>
        <v>0</v>
      </c>
      <c r="F115" s="786">
        <f t="shared" si="24"/>
        <v>4099179</v>
      </c>
      <c r="G115" s="116"/>
      <c r="H115" s="116"/>
      <c r="I115" s="116"/>
      <c r="J115" s="116">
        <f>2800000+427700</f>
        <v>3227700</v>
      </c>
      <c r="K115" s="116"/>
      <c r="L115" s="116"/>
      <c r="M115" s="116"/>
      <c r="N115" s="67"/>
      <c r="O115" s="1443"/>
      <c r="P115" s="116"/>
      <c r="Q115" s="116"/>
      <c r="R115" s="116"/>
      <c r="S115" s="116"/>
      <c r="T115" s="67">
        <f>756000+115479</f>
        <v>871479</v>
      </c>
      <c r="U115" s="1261">
        <f t="shared" si="22"/>
        <v>4099179</v>
      </c>
      <c r="V115" s="364"/>
      <c r="W115" s="364"/>
      <c r="X115" s="364"/>
      <c r="Y115" s="131"/>
      <c r="Z115" s="69" t="s">
        <v>229</v>
      </c>
      <c r="AB115" s="129"/>
      <c r="AC115" s="129"/>
      <c r="AD115" s="14"/>
    </row>
    <row r="116" spans="1:30" ht="24.75" customHeight="1" x14ac:dyDescent="0.2">
      <c r="A116" s="363" t="s">
        <v>541</v>
      </c>
      <c r="B116" s="367" t="s">
        <v>62</v>
      </c>
      <c r="C116" s="1490" t="s">
        <v>2735</v>
      </c>
      <c r="D116" s="712"/>
      <c r="E116" s="786">
        <f t="shared" si="23"/>
        <v>0</v>
      </c>
      <c r="F116" s="786">
        <f t="shared" si="24"/>
        <v>10160</v>
      </c>
      <c r="G116" s="116"/>
      <c r="H116" s="116"/>
      <c r="I116" s="116"/>
      <c r="J116" s="116"/>
      <c r="K116" s="116"/>
      <c r="L116" s="116"/>
      <c r="M116" s="116"/>
      <c r="N116" s="67">
        <v>8000</v>
      </c>
      <c r="O116" s="1443"/>
      <c r="P116" s="116"/>
      <c r="Q116" s="116"/>
      <c r="R116" s="116"/>
      <c r="S116" s="116"/>
      <c r="T116" s="67">
        <v>2160</v>
      </c>
      <c r="U116" s="1261">
        <f t="shared" si="22"/>
        <v>10160</v>
      </c>
      <c r="V116" s="364"/>
      <c r="W116" s="364"/>
      <c r="X116" s="364"/>
      <c r="Y116" s="131"/>
      <c r="Z116" s="69" t="s">
        <v>229</v>
      </c>
      <c r="AB116" s="129"/>
      <c r="AC116" s="129"/>
      <c r="AD116" s="14"/>
    </row>
    <row r="117" spans="1:30" ht="24.75" customHeight="1" x14ac:dyDescent="0.2">
      <c r="A117" s="363" t="s">
        <v>3014</v>
      </c>
      <c r="B117" s="367" t="s">
        <v>844</v>
      </c>
      <c r="C117" s="1490" t="s">
        <v>3015</v>
      </c>
      <c r="D117" s="712"/>
      <c r="E117" s="786">
        <f t="shared" si="23"/>
        <v>0</v>
      </c>
      <c r="F117" s="786">
        <f t="shared" si="24"/>
        <v>2014220</v>
      </c>
      <c r="G117" s="116"/>
      <c r="H117" s="116"/>
      <c r="I117" s="116"/>
      <c r="J117" s="116">
        <f>1586000-1586000</f>
        <v>0</v>
      </c>
      <c r="K117" s="116"/>
      <c r="L117" s="116"/>
      <c r="M117" s="116"/>
      <c r="N117" s="67">
        <v>1586000</v>
      </c>
      <c r="O117" s="1443"/>
      <c r="P117" s="116"/>
      <c r="Q117" s="116"/>
      <c r="R117" s="116"/>
      <c r="S117" s="116"/>
      <c r="T117" s="67">
        <v>428220</v>
      </c>
      <c r="U117" s="1261">
        <f t="shared" si="22"/>
        <v>2014220</v>
      </c>
      <c r="V117" s="364"/>
      <c r="W117" s="364"/>
      <c r="X117" s="364"/>
      <c r="Y117" s="131"/>
      <c r="Z117" s="69" t="s">
        <v>229</v>
      </c>
      <c r="AB117" s="129"/>
      <c r="AC117" s="129"/>
      <c r="AD117" s="14"/>
    </row>
    <row r="118" spans="1:30" ht="24.75" customHeight="1" x14ac:dyDescent="0.2">
      <c r="A118" s="365" t="s">
        <v>1331</v>
      </c>
      <c r="B118" s="367" t="s">
        <v>844</v>
      </c>
      <c r="C118" s="1490" t="s">
        <v>1902</v>
      </c>
      <c r="D118" s="712"/>
      <c r="E118" s="786">
        <f t="shared" si="23"/>
        <v>1200000</v>
      </c>
      <c r="F118" s="786">
        <f t="shared" si="24"/>
        <v>1200000</v>
      </c>
      <c r="G118" s="116"/>
      <c r="H118" s="116"/>
      <c r="I118" s="116">
        <v>944882</v>
      </c>
      <c r="J118" s="116">
        <v>944882</v>
      </c>
      <c r="K118" s="116"/>
      <c r="L118" s="116"/>
      <c r="M118" s="116"/>
      <c r="N118" s="67"/>
      <c r="O118" s="1443"/>
      <c r="P118" s="116"/>
      <c r="Q118" s="116"/>
      <c r="R118" s="116"/>
      <c r="S118" s="116">
        <v>255118</v>
      </c>
      <c r="T118" s="67">
        <v>255118</v>
      </c>
      <c r="U118" s="1261">
        <f t="shared" si="22"/>
        <v>1200000</v>
      </c>
      <c r="V118" s="364"/>
      <c r="W118" s="364"/>
      <c r="X118" s="364"/>
      <c r="Y118" s="364"/>
      <c r="Z118" s="69" t="s">
        <v>229</v>
      </c>
      <c r="AB118" s="129"/>
      <c r="AC118" s="129"/>
      <c r="AD118" s="14"/>
    </row>
    <row r="119" spans="1:30" ht="24.75" customHeight="1" x14ac:dyDescent="0.2">
      <c r="A119" s="365" t="s">
        <v>2566</v>
      </c>
      <c r="B119" s="367" t="s">
        <v>167</v>
      </c>
      <c r="C119" s="1490" t="s">
        <v>2568</v>
      </c>
      <c r="D119" s="712"/>
      <c r="E119" s="786">
        <f t="shared" si="23"/>
        <v>0</v>
      </c>
      <c r="F119" s="786">
        <f t="shared" si="24"/>
        <v>772160</v>
      </c>
      <c r="G119" s="116"/>
      <c r="H119" s="116"/>
      <c r="I119" s="116"/>
      <c r="J119" s="116">
        <v>608000</v>
      </c>
      <c r="K119" s="116"/>
      <c r="L119" s="116"/>
      <c r="M119" s="116"/>
      <c r="N119" s="67"/>
      <c r="O119" s="1443"/>
      <c r="P119" s="116"/>
      <c r="Q119" s="116"/>
      <c r="R119" s="116"/>
      <c r="S119" s="116"/>
      <c r="T119" s="67">
        <v>164160</v>
      </c>
      <c r="U119" s="1261">
        <f t="shared" ref="U119:U124" si="25">+F119</f>
        <v>772160</v>
      </c>
      <c r="V119" s="364"/>
      <c r="W119" s="364"/>
      <c r="X119" s="364"/>
      <c r="Y119" s="364"/>
      <c r="Z119" s="69" t="s">
        <v>228</v>
      </c>
      <c r="AB119" s="129"/>
      <c r="AC119" s="129"/>
      <c r="AD119" s="14"/>
    </row>
    <row r="120" spans="1:30" ht="24.75" customHeight="1" x14ac:dyDescent="0.2">
      <c r="A120" s="365" t="s">
        <v>2566</v>
      </c>
      <c r="B120" s="367" t="s">
        <v>167</v>
      </c>
      <c r="C120" s="1490" t="s">
        <v>2600</v>
      </c>
      <c r="D120" s="712"/>
      <c r="E120" s="786">
        <f t="shared" si="23"/>
        <v>0</v>
      </c>
      <c r="F120" s="786">
        <f t="shared" si="24"/>
        <v>75311</v>
      </c>
      <c r="G120" s="116"/>
      <c r="H120" s="116"/>
      <c r="I120" s="116"/>
      <c r="J120" s="116"/>
      <c r="K120" s="116"/>
      <c r="L120" s="116"/>
      <c r="M120" s="116"/>
      <c r="N120" s="67">
        <v>59300</v>
      </c>
      <c r="O120" s="1443"/>
      <c r="P120" s="116"/>
      <c r="Q120" s="116"/>
      <c r="R120" s="116"/>
      <c r="S120" s="116"/>
      <c r="T120" s="67">
        <v>16011</v>
      </c>
      <c r="U120" s="1261">
        <f t="shared" si="25"/>
        <v>75311</v>
      </c>
      <c r="V120" s="364"/>
      <c r="W120" s="364"/>
      <c r="X120" s="364"/>
      <c r="Y120" s="364"/>
      <c r="Z120" s="69" t="s">
        <v>228</v>
      </c>
      <c r="AB120" s="129"/>
      <c r="AC120" s="129"/>
      <c r="AD120" s="14"/>
    </row>
    <row r="121" spans="1:30" ht="24.75" customHeight="1" x14ac:dyDescent="0.2">
      <c r="A121" s="365" t="s">
        <v>2566</v>
      </c>
      <c r="B121" s="367" t="s">
        <v>167</v>
      </c>
      <c r="C121" s="1490" t="s">
        <v>3315</v>
      </c>
      <c r="D121" s="712"/>
      <c r="E121" s="786">
        <f t="shared" si="23"/>
        <v>0</v>
      </c>
      <c r="F121" s="786">
        <f t="shared" si="24"/>
        <v>28000000</v>
      </c>
      <c r="G121" s="116"/>
      <c r="H121" s="116"/>
      <c r="I121" s="116"/>
      <c r="J121" s="116">
        <v>22047244</v>
      </c>
      <c r="K121" s="116"/>
      <c r="L121" s="116"/>
      <c r="M121" s="116"/>
      <c r="N121" s="67"/>
      <c r="O121" s="1443"/>
      <c r="P121" s="116"/>
      <c r="Q121" s="116"/>
      <c r="R121" s="116"/>
      <c r="S121" s="116"/>
      <c r="T121" s="67">
        <v>5952756</v>
      </c>
      <c r="U121" s="1261">
        <f t="shared" si="25"/>
        <v>28000000</v>
      </c>
      <c r="V121" s="364"/>
      <c r="W121" s="364"/>
      <c r="X121" s="364"/>
      <c r="Y121" s="364"/>
      <c r="Z121" s="69" t="s">
        <v>228</v>
      </c>
      <c r="AB121" s="129"/>
      <c r="AC121" s="129"/>
      <c r="AD121" s="14"/>
    </row>
    <row r="122" spans="1:30" ht="30.75" customHeight="1" x14ac:dyDescent="0.2">
      <c r="A122" s="365" t="s">
        <v>2204</v>
      </c>
      <c r="B122" s="367" t="s">
        <v>561</v>
      </c>
      <c r="C122" s="1490" t="s">
        <v>2211</v>
      </c>
      <c r="D122" s="712"/>
      <c r="E122" s="786">
        <f t="shared" si="23"/>
        <v>0</v>
      </c>
      <c r="F122" s="786">
        <f t="shared" si="24"/>
        <v>2870200</v>
      </c>
      <c r="G122" s="116"/>
      <c r="H122" s="116"/>
      <c r="I122" s="116"/>
      <c r="J122" s="116">
        <v>2260000</v>
      </c>
      <c r="K122" s="116"/>
      <c r="L122" s="116"/>
      <c r="M122" s="116"/>
      <c r="N122" s="67"/>
      <c r="O122" s="1443"/>
      <c r="P122" s="116"/>
      <c r="Q122" s="116"/>
      <c r="R122" s="116"/>
      <c r="S122" s="116"/>
      <c r="T122" s="67">
        <v>610200</v>
      </c>
      <c r="U122" s="1261">
        <f t="shared" si="25"/>
        <v>2870200</v>
      </c>
      <c r="V122" s="364"/>
      <c r="W122" s="364"/>
      <c r="X122" s="364"/>
      <c r="Y122" s="364"/>
      <c r="Z122" s="69" t="s">
        <v>228</v>
      </c>
      <c r="AB122" s="129"/>
      <c r="AC122" s="129"/>
      <c r="AD122" s="14"/>
    </row>
    <row r="123" spans="1:30" ht="30.75" customHeight="1" x14ac:dyDescent="0.2">
      <c r="A123" s="365" t="s">
        <v>2204</v>
      </c>
      <c r="B123" s="367" t="s">
        <v>561</v>
      </c>
      <c r="C123" s="1490" t="s">
        <v>2301</v>
      </c>
      <c r="D123" s="712"/>
      <c r="E123" s="786">
        <f t="shared" si="23"/>
        <v>0</v>
      </c>
      <c r="F123" s="786">
        <f t="shared" si="24"/>
        <v>1938655</v>
      </c>
      <c r="G123" s="116"/>
      <c r="H123" s="116"/>
      <c r="I123" s="116"/>
      <c r="J123" s="116">
        <v>1526500</v>
      </c>
      <c r="K123" s="116"/>
      <c r="L123" s="116"/>
      <c r="M123" s="116"/>
      <c r="N123" s="67"/>
      <c r="O123" s="1443"/>
      <c r="P123" s="116"/>
      <c r="Q123" s="116"/>
      <c r="R123" s="116"/>
      <c r="S123" s="116"/>
      <c r="T123" s="67">
        <v>412155</v>
      </c>
      <c r="U123" s="1261">
        <f t="shared" si="25"/>
        <v>1938655</v>
      </c>
      <c r="V123" s="364"/>
      <c r="W123" s="364"/>
      <c r="X123" s="364"/>
      <c r="Y123" s="364"/>
      <c r="Z123" s="69" t="s">
        <v>228</v>
      </c>
      <c r="AB123" s="129"/>
      <c r="AC123" s="129"/>
      <c r="AD123" s="14"/>
    </row>
    <row r="124" spans="1:30" ht="26.25" customHeight="1" x14ac:dyDescent="0.2">
      <c r="A124" s="365" t="s">
        <v>2204</v>
      </c>
      <c r="B124" s="367" t="s">
        <v>561</v>
      </c>
      <c r="C124" s="1490" t="s">
        <v>2610</v>
      </c>
      <c r="D124" s="712"/>
      <c r="E124" s="786">
        <f t="shared" si="23"/>
        <v>0</v>
      </c>
      <c r="F124" s="786">
        <f t="shared" si="24"/>
        <v>2663622</v>
      </c>
      <c r="G124" s="116"/>
      <c r="H124" s="116"/>
      <c r="I124" s="116"/>
      <c r="J124" s="116">
        <f>1427340+670000</f>
        <v>2097340</v>
      </c>
      <c r="K124" s="116"/>
      <c r="L124" s="116"/>
      <c r="M124" s="116"/>
      <c r="N124" s="67"/>
      <c r="O124" s="1443"/>
      <c r="P124" s="116"/>
      <c r="Q124" s="116"/>
      <c r="R124" s="116"/>
      <c r="S124" s="116"/>
      <c r="T124" s="67">
        <f>385382+180900</f>
        <v>566282</v>
      </c>
      <c r="U124" s="1261">
        <f t="shared" si="25"/>
        <v>2663622</v>
      </c>
      <c r="V124" s="364"/>
      <c r="W124" s="364"/>
      <c r="X124" s="364"/>
      <c r="Y124" s="364"/>
      <c r="Z124" s="69" t="s">
        <v>228</v>
      </c>
      <c r="AB124" s="129"/>
      <c r="AC124" s="129"/>
      <c r="AD124" s="14"/>
    </row>
    <row r="125" spans="1:30" ht="28.5" customHeight="1" x14ac:dyDescent="0.2">
      <c r="A125" s="365" t="s">
        <v>739</v>
      </c>
      <c r="B125" s="367" t="s">
        <v>575</v>
      </c>
      <c r="C125" s="1490" t="s">
        <v>1445</v>
      </c>
      <c r="D125" s="712"/>
      <c r="E125" s="786">
        <f t="shared" si="23"/>
        <v>228600</v>
      </c>
      <c r="F125" s="786">
        <f t="shared" si="24"/>
        <v>228600</v>
      </c>
      <c r="G125" s="1490"/>
      <c r="H125" s="1490"/>
      <c r="I125" s="116">
        <v>180000</v>
      </c>
      <c r="J125" s="116">
        <v>180000</v>
      </c>
      <c r="K125" s="1490"/>
      <c r="L125" s="1490"/>
      <c r="M125" s="1490"/>
      <c r="N125" s="1447"/>
      <c r="O125" s="1446"/>
      <c r="P125" s="1490"/>
      <c r="Q125" s="1490"/>
      <c r="R125" s="1490"/>
      <c r="S125" s="116">
        <v>48600</v>
      </c>
      <c r="T125" s="67">
        <v>48600</v>
      </c>
      <c r="U125" s="1261">
        <f t="shared" ref="U125:U130" si="26">+F125</f>
        <v>228600</v>
      </c>
      <c r="V125" s="1490"/>
      <c r="W125" s="1490"/>
      <c r="X125" s="1490"/>
      <c r="Y125" s="1490"/>
      <c r="Z125" s="69" t="s">
        <v>228</v>
      </c>
      <c r="AB125" s="129"/>
      <c r="AC125" s="129"/>
      <c r="AD125" s="14"/>
    </row>
    <row r="126" spans="1:30" ht="30.75" customHeight="1" x14ac:dyDescent="0.2">
      <c r="A126" s="365" t="s">
        <v>739</v>
      </c>
      <c r="B126" s="367" t="s">
        <v>575</v>
      </c>
      <c r="C126" s="1490" t="s">
        <v>3217</v>
      </c>
      <c r="D126" s="712"/>
      <c r="E126" s="786">
        <f t="shared" si="23"/>
        <v>0</v>
      </c>
      <c r="F126" s="786">
        <f t="shared" si="24"/>
        <v>561965</v>
      </c>
      <c r="G126" s="1490"/>
      <c r="H126" s="1490"/>
      <c r="I126" s="116"/>
      <c r="J126" s="116">
        <v>442492</v>
      </c>
      <c r="K126" s="1490"/>
      <c r="L126" s="1490"/>
      <c r="M126" s="1490"/>
      <c r="N126" s="1447"/>
      <c r="O126" s="1446"/>
      <c r="P126" s="1490"/>
      <c r="Q126" s="1490"/>
      <c r="R126" s="1490"/>
      <c r="S126" s="116"/>
      <c r="T126" s="67">
        <v>119473</v>
      </c>
      <c r="U126" s="1261">
        <f t="shared" si="26"/>
        <v>561965</v>
      </c>
      <c r="V126" s="1490"/>
      <c r="W126" s="1490"/>
      <c r="X126" s="1490"/>
      <c r="Y126" s="1490"/>
      <c r="Z126" s="69" t="s">
        <v>228</v>
      </c>
      <c r="AB126" s="129"/>
      <c r="AC126" s="129"/>
      <c r="AD126" s="14"/>
    </row>
    <row r="127" spans="1:30" ht="28.5" customHeight="1" x14ac:dyDescent="0.2">
      <c r="A127" s="365" t="s">
        <v>1412</v>
      </c>
      <c r="B127" s="367" t="s">
        <v>1368</v>
      </c>
      <c r="C127" s="1490" t="s">
        <v>2355</v>
      </c>
      <c r="D127" s="712"/>
      <c r="E127" s="786">
        <f t="shared" si="23"/>
        <v>0</v>
      </c>
      <c r="F127" s="786">
        <f t="shared" si="24"/>
        <v>118958</v>
      </c>
      <c r="G127" s="1490"/>
      <c r="H127" s="1490"/>
      <c r="I127" s="116"/>
      <c r="J127" s="116">
        <f>87332+6336</f>
        <v>93668</v>
      </c>
      <c r="K127" s="1490"/>
      <c r="L127" s="1490"/>
      <c r="M127" s="1490"/>
      <c r="N127" s="1447"/>
      <c r="O127" s="1446"/>
      <c r="P127" s="1490"/>
      <c r="Q127" s="1490"/>
      <c r="R127" s="1490"/>
      <c r="S127" s="116"/>
      <c r="T127" s="67">
        <f>23579+1711</f>
        <v>25290</v>
      </c>
      <c r="U127" s="1261">
        <f t="shared" si="26"/>
        <v>118958</v>
      </c>
      <c r="V127" s="1490"/>
      <c r="W127" s="1490"/>
      <c r="X127" s="1490"/>
      <c r="Y127" s="1490"/>
      <c r="Z127" s="69" t="s">
        <v>228</v>
      </c>
      <c r="AB127" s="129"/>
      <c r="AC127" s="129"/>
      <c r="AD127" s="14"/>
    </row>
    <row r="128" spans="1:30" ht="28.5" customHeight="1" x14ac:dyDescent="0.2">
      <c r="A128" s="365" t="s">
        <v>1412</v>
      </c>
      <c r="B128" s="367" t="s">
        <v>1368</v>
      </c>
      <c r="C128" s="1490" t="s">
        <v>2486</v>
      </c>
      <c r="D128" s="712"/>
      <c r="E128" s="786">
        <f t="shared" si="23"/>
        <v>0</v>
      </c>
      <c r="F128" s="786">
        <f t="shared" si="24"/>
        <v>138113</v>
      </c>
      <c r="G128" s="1490"/>
      <c r="H128" s="1490"/>
      <c r="I128" s="116"/>
      <c r="J128" s="116">
        <v>108750</v>
      </c>
      <c r="K128" s="1490"/>
      <c r="L128" s="1490"/>
      <c r="M128" s="1490"/>
      <c r="N128" s="1447"/>
      <c r="O128" s="1446"/>
      <c r="P128" s="1490"/>
      <c r="Q128" s="1490"/>
      <c r="R128" s="1490"/>
      <c r="S128" s="116"/>
      <c r="T128" s="67">
        <v>29363</v>
      </c>
      <c r="U128" s="1261">
        <f t="shared" si="26"/>
        <v>138113</v>
      </c>
      <c r="V128" s="1490"/>
      <c r="W128" s="1490"/>
      <c r="X128" s="1490"/>
      <c r="Y128" s="1490"/>
      <c r="Z128" s="69" t="s">
        <v>228</v>
      </c>
      <c r="AB128" s="129"/>
      <c r="AC128" s="129"/>
      <c r="AD128" s="14"/>
    </row>
    <row r="129" spans="1:30" ht="32.25" customHeight="1" x14ac:dyDescent="0.2">
      <c r="A129" s="365" t="s">
        <v>1412</v>
      </c>
      <c r="B129" s="367" t="s">
        <v>1368</v>
      </c>
      <c r="C129" s="1490" t="s">
        <v>3222</v>
      </c>
      <c r="D129" s="712"/>
      <c r="E129" s="786">
        <f t="shared" si="23"/>
        <v>0</v>
      </c>
      <c r="F129" s="786">
        <f t="shared" si="24"/>
        <v>1652397</v>
      </c>
      <c r="G129" s="1490"/>
      <c r="H129" s="1490"/>
      <c r="I129" s="116"/>
      <c r="J129" s="116">
        <f>1102200+198900</f>
        <v>1301100</v>
      </c>
      <c r="K129" s="1490"/>
      <c r="L129" s="1490"/>
      <c r="M129" s="1490"/>
      <c r="N129" s="1447"/>
      <c r="O129" s="1446"/>
      <c r="P129" s="1490"/>
      <c r="Q129" s="1490"/>
      <c r="R129" s="1490"/>
      <c r="S129" s="116"/>
      <c r="T129" s="67">
        <f>297594+53703</f>
        <v>351297</v>
      </c>
      <c r="U129" s="1261">
        <f t="shared" si="26"/>
        <v>1652397</v>
      </c>
      <c r="V129" s="1490"/>
      <c r="W129" s="1490"/>
      <c r="X129" s="1490"/>
      <c r="Y129" s="1490"/>
      <c r="Z129" s="69" t="s">
        <v>228</v>
      </c>
      <c r="AB129" s="129"/>
      <c r="AC129" s="129"/>
      <c r="AD129" s="14"/>
    </row>
    <row r="130" spans="1:30" ht="31.5" customHeight="1" x14ac:dyDescent="0.2">
      <c r="A130" s="366" t="s">
        <v>1412</v>
      </c>
      <c r="B130" s="152" t="s">
        <v>1368</v>
      </c>
      <c r="C130" s="1270" t="s">
        <v>3035</v>
      </c>
      <c r="D130" s="711"/>
      <c r="E130" s="786">
        <f t="shared" si="23"/>
        <v>0</v>
      </c>
      <c r="F130" s="786">
        <f t="shared" si="24"/>
        <v>1121359</v>
      </c>
      <c r="G130" s="1490"/>
      <c r="H130" s="1490"/>
      <c r="I130" s="116"/>
      <c r="J130" s="116">
        <v>882960</v>
      </c>
      <c r="K130" s="1490"/>
      <c r="L130" s="1490"/>
      <c r="M130" s="1490"/>
      <c r="N130" s="1447"/>
      <c r="O130" s="1446"/>
      <c r="P130" s="1490"/>
      <c r="Q130" s="1490"/>
      <c r="R130" s="1490"/>
      <c r="S130" s="116"/>
      <c r="T130" s="67">
        <v>238399</v>
      </c>
      <c r="U130" s="1261">
        <f t="shared" si="26"/>
        <v>1121359</v>
      </c>
      <c r="V130" s="1490"/>
      <c r="W130" s="1490"/>
      <c r="X130" s="1490"/>
      <c r="Y130" s="1490"/>
      <c r="Z130" s="69" t="s">
        <v>228</v>
      </c>
      <c r="AB130" s="129"/>
      <c r="AC130" s="129"/>
      <c r="AD130" s="14"/>
    </row>
    <row r="131" spans="1:30" ht="61.5" customHeight="1" x14ac:dyDescent="0.2">
      <c r="A131" s="670" t="s">
        <v>866</v>
      </c>
      <c r="B131" s="390" t="s">
        <v>561</v>
      </c>
      <c r="C131" s="1271" t="s">
        <v>3099</v>
      </c>
      <c r="D131" s="713"/>
      <c r="E131" s="786">
        <f t="shared" si="23"/>
        <v>665896057</v>
      </c>
      <c r="F131" s="786">
        <f t="shared" si="24"/>
        <v>562836618</v>
      </c>
      <c r="G131" s="116"/>
      <c r="H131" s="116"/>
      <c r="I131" s="116">
        <f>377952756+157668108-11293260</f>
        <v>524327604</v>
      </c>
      <c r="J131" s="116">
        <f>377952756+157668108-11293260+10050000+35000+4900000</f>
        <v>539312604</v>
      </c>
      <c r="K131" s="116"/>
      <c r="L131" s="116"/>
      <c r="M131" s="116"/>
      <c r="N131" s="67"/>
      <c r="O131" s="1443"/>
      <c r="P131" s="116"/>
      <c r="Q131" s="116"/>
      <c r="R131" s="116"/>
      <c r="S131" s="116">
        <f>102047244+42570389-3049180</f>
        <v>141568453</v>
      </c>
      <c r="T131" s="67">
        <f>102047244+42570389-3049180+2713500+9450-120767389</f>
        <v>23524014</v>
      </c>
      <c r="U131" s="1261">
        <f>+F131-(V131+W131+X131)</f>
        <v>184883862</v>
      </c>
      <c r="V131" s="364"/>
      <c r="W131" s="131">
        <v>377952756</v>
      </c>
      <c r="X131" s="364"/>
      <c r="Y131" s="364"/>
      <c r="Z131" s="67" t="s">
        <v>228</v>
      </c>
      <c r="AB131" s="129"/>
      <c r="AC131" s="129"/>
      <c r="AD131" s="14"/>
    </row>
    <row r="132" spans="1:30" ht="36.75" customHeight="1" x14ac:dyDescent="0.2">
      <c r="A132" s="363" t="s">
        <v>867</v>
      </c>
      <c r="B132" s="367" t="s">
        <v>561</v>
      </c>
      <c r="C132" s="1490" t="s">
        <v>1289</v>
      </c>
      <c r="D132" s="712"/>
      <c r="E132" s="786">
        <f t="shared" si="23"/>
        <v>0</v>
      </c>
      <c r="F132" s="786">
        <f t="shared" si="24"/>
        <v>8475667</v>
      </c>
      <c r="G132" s="116"/>
      <c r="H132" s="116"/>
      <c r="I132" s="116"/>
      <c r="J132" s="116">
        <f>2052814+40000+725575+160000+1519476+51181+300000+1800000+234340</f>
        <v>6883386</v>
      </c>
      <c r="K132" s="116"/>
      <c r="L132" s="116"/>
      <c r="M132" s="116"/>
      <c r="N132" s="67"/>
      <c r="O132" s="1443"/>
      <c r="P132" s="116"/>
      <c r="Q132" s="116"/>
      <c r="R132" s="116"/>
      <c r="S132" s="116"/>
      <c r="T132" s="67">
        <f>554260+21471+43200+410259+13819+486000+63272</f>
        <v>1592281</v>
      </c>
      <c r="U132" s="1261">
        <f>+F132</f>
        <v>8475667</v>
      </c>
      <c r="V132" s="364"/>
      <c r="W132" s="364"/>
      <c r="X132" s="364"/>
      <c r="Y132" s="364"/>
      <c r="Z132" s="67" t="s">
        <v>228</v>
      </c>
      <c r="AB132" s="129"/>
      <c r="AC132" s="129"/>
      <c r="AD132" s="14"/>
    </row>
    <row r="133" spans="1:30" ht="41.25" customHeight="1" x14ac:dyDescent="0.2">
      <c r="A133" s="363" t="s">
        <v>1312</v>
      </c>
      <c r="B133" s="367" t="s">
        <v>844</v>
      </c>
      <c r="C133" s="1490" t="s">
        <v>3367</v>
      </c>
      <c r="D133" s="712"/>
      <c r="E133" s="786">
        <f t="shared" si="23"/>
        <v>497685262</v>
      </c>
      <c r="F133" s="786">
        <f t="shared" si="24"/>
        <v>387941151</v>
      </c>
      <c r="G133" s="116"/>
      <c r="H133" s="116"/>
      <c r="I133" s="116">
        <f>128104452+3937008+259836699</f>
        <v>391878159</v>
      </c>
      <c r="J133" s="116">
        <f>128104452+3937008+259836699-3937008-128104452+128104452-19288162</f>
        <v>368652989</v>
      </c>
      <c r="K133" s="116"/>
      <c r="L133" s="116"/>
      <c r="M133" s="116"/>
      <c r="N133" s="67">
        <v>19288162</v>
      </c>
      <c r="O133" s="1443"/>
      <c r="P133" s="116"/>
      <c r="Q133" s="116"/>
      <c r="R133" s="116"/>
      <c r="S133" s="116">
        <f>34588202+1062992+70155909</f>
        <v>105807103</v>
      </c>
      <c r="T133" s="67">
        <f>34588202+1062992+70155909-1062992-104744111</f>
        <v>0</v>
      </c>
      <c r="U133" s="1261">
        <f>+F133-W133</f>
        <v>162692654</v>
      </c>
      <c r="V133" s="364"/>
      <c r="W133" s="131">
        <v>225248497</v>
      </c>
      <c r="X133" s="364"/>
      <c r="Y133" s="364"/>
      <c r="Z133" s="69" t="s">
        <v>229</v>
      </c>
      <c r="AB133" s="129"/>
      <c r="AC133" s="129"/>
      <c r="AD133" s="14"/>
    </row>
    <row r="134" spans="1:30" ht="29.25" customHeight="1" x14ac:dyDescent="0.2">
      <c r="A134" s="363" t="s">
        <v>1802</v>
      </c>
      <c r="B134" s="367" t="s">
        <v>844</v>
      </c>
      <c r="C134" s="1490" t="s">
        <v>3366</v>
      </c>
      <c r="D134" s="712"/>
      <c r="E134" s="786">
        <f t="shared" si="23"/>
        <v>0</v>
      </c>
      <c r="F134" s="786">
        <f t="shared" si="24"/>
        <v>17529027</v>
      </c>
      <c r="G134" s="116"/>
      <c r="H134" s="116"/>
      <c r="I134" s="116"/>
      <c r="J134" s="116">
        <f>3937008+3862992+128104452+1050000+782360+256693+1306800-782360+227110-128104452</f>
        <v>10640603</v>
      </c>
      <c r="K134" s="116"/>
      <c r="L134" s="116"/>
      <c r="M134" s="116"/>
      <c r="N134" s="67">
        <f>50780+3111000</f>
        <v>3161780</v>
      </c>
      <c r="O134" s="1443"/>
      <c r="P134" s="116"/>
      <c r="Q134" s="116"/>
      <c r="R134" s="116"/>
      <c r="S134" s="116"/>
      <c r="T134" s="67">
        <f>1062992+1043008+13711+283500+211237+69307+352836-211237+61320+839970</f>
        <v>3726644</v>
      </c>
      <c r="U134" s="1261">
        <f>+F134</f>
        <v>17529027</v>
      </c>
      <c r="V134" s="364"/>
      <c r="W134" s="131"/>
      <c r="X134" s="364"/>
      <c r="Y134" s="364"/>
      <c r="Z134" s="69" t="s">
        <v>229</v>
      </c>
      <c r="AB134" s="129"/>
      <c r="AC134" s="129"/>
      <c r="AD134" s="14"/>
    </row>
    <row r="135" spans="1:30" ht="30" customHeight="1" x14ac:dyDescent="0.2">
      <c r="A135" s="363" t="s">
        <v>1802</v>
      </c>
      <c r="B135" s="367" t="s">
        <v>844</v>
      </c>
      <c r="C135" s="1490" t="s">
        <v>2961</v>
      </c>
      <c r="D135" s="712"/>
      <c r="E135" s="786">
        <f t="shared" si="23"/>
        <v>0</v>
      </c>
      <c r="F135" s="786">
        <f t="shared" si="24"/>
        <v>5000000</v>
      </c>
      <c r="G135" s="116"/>
      <c r="H135" s="116"/>
      <c r="I135" s="116"/>
      <c r="J135" s="116"/>
      <c r="K135" s="116"/>
      <c r="L135" s="116"/>
      <c r="M135" s="116"/>
      <c r="N135" s="67">
        <v>3937008</v>
      </c>
      <c r="O135" s="1443"/>
      <c r="P135" s="116"/>
      <c r="Q135" s="116"/>
      <c r="R135" s="116"/>
      <c r="S135" s="116"/>
      <c r="T135" s="67">
        <v>1062992</v>
      </c>
      <c r="U135" s="1261">
        <f>+F135</f>
        <v>5000000</v>
      </c>
      <c r="V135" s="364"/>
      <c r="W135" s="131"/>
      <c r="X135" s="364"/>
      <c r="Y135" s="364"/>
      <c r="Z135" s="69" t="s">
        <v>229</v>
      </c>
      <c r="AB135" s="129"/>
      <c r="AC135" s="129"/>
      <c r="AD135" s="14"/>
    </row>
    <row r="136" spans="1:30" ht="33.75" customHeight="1" x14ac:dyDescent="0.2">
      <c r="A136" s="363" t="s">
        <v>1347</v>
      </c>
      <c r="B136" s="367" t="s">
        <v>1368</v>
      </c>
      <c r="C136" s="1490" t="s">
        <v>1348</v>
      </c>
      <c r="D136" s="712"/>
      <c r="E136" s="786">
        <f t="shared" si="23"/>
        <v>9000000</v>
      </c>
      <c r="F136" s="786">
        <f t="shared" si="24"/>
        <v>5000000</v>
      </c>
      <c r="G136" s="116"/>
      <c r="H136" s="116"/>
      <c r="I136" s="116">
        <v>7086614</v>
      </c>
      <c r="J136" s="116">
        <f>7086614-4000000</f>
        <v>3086614</v>
      </c>
      <c r="K136" s="116"/>
      <c r="L136" s="116"/>
      <c r="M136" s="116"/>
      <c r="N136" s="67"/>
      <c r="O136" s="1443"/>
      <c r="P136" s="116"/>
      <c r="Q136" s="116"/>
      <c r="R136" s="116"/>
      <c r="S136" s="116">
        <v>1913386</v>
      </c>
      <c r="T136" s="67">
        <v>1913386</v>
      </c>
      <c r="U136" s="1261">
        <f>+F136</f>
        <v>5000000</v>
      </c>
      <c r="V136" s="364"/>
      <c r="W136" s="364"/>
      <c r="X136" s="364"/>
      <c r="Y136" s="364"/>
      <c r="Z136" s="69" t="s">
        <v>228</v>
      </c>
      <c r="AB136" s="129"/>
      <c r="AC136" s="129"/>
      <c r="AD136" s="14"/>
    </row>
    <row r="137" spans="1:30" ht="31.5" customHeight="1" x14ac:dyDescent="0.2">
      <c r="A137" s="662" t="s">
        <v>1369</v>
      </c>
      <c r="B137" s="663" t="s">
        <v>844</v>
      </c>
      <c r="C137" s="1490" t="s">
        <v>3464</v>
      </c>
      <c r="D137" s="712"/>
      <c r="E137" s="786">
        <f t="shared" si="23"/>
        <v>43997512</v>
      </c>
      <c r="F137" s="786">
        <f t="shared" si="24"/>
        <v>48997508</v>
      </c>
      <c r="G137" s="116"/>
      <c r="H137" s="116"/>
      <c r="I137" s="116">
        <v>34643710</v>
      </c>
      <c r="J137" s="116">
        <f>34643710+3038365</f>
        <v>37682075</v>
      </c>
      <c r="K137" s="116"/>
      <c r="L137" s="116"/>
      <c r="M137" s="116"/>
      <c r="N137" s="67">
        <v>898640</v>
      </c>
      <c r="O137" s="1443"/>
      <c r="P137" s="116"/>
      <c r="Q137" s="116"/>
      <c r="R137" s="116"/>
      <c r="S137" s="116">
        <v>9353802</v>
      </c>
      <c r="T137" s="67">
        <f>9353802+1062991</f>
        <v>10416793</v>
      </c>
      <c r="U137" s="1262">
        <f>+F137-W137</f>
        <v>4999996</v>
      </c>
      <c r="V137" s="364"/>
      <c r="W137" s="131">
        <v>43997512</v>
      </c>
      <c r="X137" s="364"/>
      <c r="Y137" s="364"/>
      <c r="Z137" s="67" t="s">
        <v>229</v>
      </c>
      <c r="AB137" s="129"/>
      <c r="AC137" s="129"/>
      <c r="AD137" s="14"/>
    </row>
    <row r="138" spans="1:30" ht="33" customHeight="1" x14ac:dyDescent="0.2">
      <c r="A138" s="662" t="s">
        <v>1385</v>
      </c>
      <c r="B138" s="663" t="s">
        <v>844</v>
      </c>
      <c r="C138" s="1490" t="s">
        <v>1386</v>
      </c>
      <c r="D138" s="712"/>
      <c r="E138" s="786">
        <f t="shared" si="23"/>
        <v>5000000</v>
      </c>
      <c r="F138" s="786">
        <f t="shared" si="24"/>
        <v>500004</v>
      </c>
      <c r="G138" s="116"/>
      <c r="H138" s="116"/>
      <c r="I138" s="116">
        <v>3937008</v>
      </c>
      <c r="J138" s="116">
        <f>3937008+500000-3937005</f>
        <v>500003</v>
      </c>
      <c r="K138" s="116"/>
      <c r="L138" s="116"/>
      <c r="M138" s="116"/>
      <c r="N138" s="67"/>
      <c r="O138" s="1443"/>
      <c r="P138" s="116"/>
      <c r="Q138" s="116"/>
      <c r="R138" s="116"/>
      <c r="S138" s="116">
        <v>1062992</v>
      </c>
      <c r="T138" s="67">
        <f>1062992-1062991</f>
        <v>1</v>
      </c>
      <c r="U138" s="1262">
        <f>+F138</f>
        <v>500004</v>
      </c>
      <c r="V138" s="364"/>
      <c r="W138" s="131"/>
      <c r="X138" s="364"/>
      <c r="Y138" s="364"/>
      <c r="Z138" s="67" t="s">
        <v>229</v>
      </c>
      <c r="AB138" s="129"/>
      <c r="AC138" s="129"/>
      <c r="AD138" s="14"/>
    </row>
    <row r="139" spans="1:30" ht="41.25" customHeight="1" x14ac:dyDescent="0.2">
      <c r="A139" s="662" t="s">
        <v>1891</v>
      </c>
      <c r="B139" s="663" t="s">
        <v>844</v>
      </c>
      <c r="C139" s="1490" t="s">
        <v>1919</v>
      </c>
      <c r="D139" s="712"/>
      <c r="E139" s="786">
        <f t="shared" si="23"/>
        <v>0</v>
      </c>
      <c r="F139" s="786">
        <f t="shared" si="24"/>
        <v>5461000</v>
      </c>
      <c r="G139" s="116"/>
      <c r="H139" s="116"/>
      <c r="I139" s="116"/>
      <c r="J139" s="116">
        <f>4300000+450000-450000</f>
        <v>4300000</v>
      </c>
      <c r="K139" s="116"/>
      <c r="L139" s="116"/>
      <c r="M139" s="116"/>
      <c r="N139" s="67"/>
      <c r="O139" s="1443"/>
      <c r="P139" s="116"/>
      <c r="Q139" s="116"/>
      <c r="R139" s="116"/>
      <c r="S139" s="116"/>
      <c r="T139" s="67">
        <f>1161000+121500-121500</f>
        <v>1161000</v>
      </c>
      <c r="U139" s="1262">
        <f>+F139</f>
        <v>5461000</v>
      </c>
      <c r="V139" s="364"/>
      <c r="W139" s="131"/>
      <c r="X139" s="364"/>
      <c r="Y139" s="364"/>
      <c r="Z139" s="67" t="s">
        <v>229</v>
      </c>
      <c r="AB139" s="129"/>
      <c r="AC139" s="129"/>
      <c r="AD139" s="14"/>
    </row>
    <row r="140" spans="1:30" ht="31.5" customHeight="1" x14ac:dyDescent="0.2">
      <c r="A140" s="662" t="s">
        <v>2400</v>
      </c>
      <c r="B140" s="663" t="s">
        <v>844</v>
      </c>
      <c r="C140" s="1490" t="s">
        <v>2401</v>
      </c>
      <c r="D140" s="712"/>
      <c r="E140" s="786">
        <f t="shared" si="23"/>
        <v>0</v>
      </c>
      <c r="F140" s="786">
        <f t="shared" si="24"/>
        <v>80000</v>
      </c>
      <c r="G140" s="116"/>
      <c r="H140" s="116"/>
      <c r="I140" s="116"/>
      <c r="J140" s="116">
        <v>80000</v>
      </c>
      <c r="K140" s="116"/>
      <c r="L140" s="116"/>
      <c r="M140" s="116"/>
      <c r="N140" s="67"/>
      <c r="O140" s="1443"/>
      <c r="P140" s="116"/>
      <c r="Q140" s="116"/>
      <c r="R140" s="116"/>
      <c r="S140" s="116"/>
      <c r="T140" s="67"/>
      <c r="U140" s="1262">
        <f>+F140</f>
        <v>80000</v>
      </c>
      <c r="V140" s="364"/>
      <c r="W140" s="131"/>
      <c r="X140" s="364"/>
      <c r="Y140" s="364"/>
      <c r="Z140" s="67" t="s">
        <v>229</v>
      </c>
      <c r="AB140" s="129"/>
      <c r="AC140" s="129"/>
      <c r="AD140" s="14"/>
    </row>
    <row r="141" spans="1:30" ht="31.5" customHeight="1" x14ac:dyDescent="0.2">
      <c r="A141" s="662" t="s">
        <v>1913</v>
      </c>
      <c r="B141" s="663" t="s">
        <v>164</v>
      </c>
      <c r="C141" s="1490" t="s">
        <v>1917</v>
      </c>
      <c r="D141" s="712"/>
      <c r="E141" s="786">
        <f t="shared" si="23"/>
        <v>0</v>
      </c>
      <c r="F141" s="786">
        <f t="shared" si="24"/>
        <v>8826500</v>
      </c>
      <c r="G141" s="116"/>
      <c r="H141" s="116"/>
      <c r="I141" s="116"/>
      <c r="J141" s="116">
        <f>3937008+3012992+800000-800000</f>
        <v>6950000</v>
      </c>
      <c r="K141" s="116"/>
      <c r="L141" s="116"/>
      <c r="M141" s="116"/>
      <c r="N141" s="67"/>
      <c r="O141" s="1443"/>
      <c r="P141" s="116"/>
      <c r="Q141" s="116"/>
      <c r="R141" s="116"/>
      <c r="S141" s="116"/>
      <c r="T141" s="67">
        <f>1062992+813508</f>
        <v>1876500</v>
      </c>
      <c r="U141" s="1262">
        <f>+F141</f>
        <v>8826500</v>
      </c>
      <c r="V141" s="364"/>
      <c r="W141" s="131"/>
      <c r="X141" s="364"/>
      <c r="Y141" s="364"/>
      <c r="Z141" s="67" t="s">
        <v>228</v>
      </c>
      <c r="AB141" s="129"/>
      <c r="AC141" s="129"/>
      <c r="AD141" s="14"/>
    </row>
    <row r="142" spans="1:30" ht="33" customHeight="1" x14ac:dyDescent="0.2">
      <c r="A142" s="1462" t="s">
        <v>1408</v>
      </c>
      <c r="B142" s="1463" t="s">
        <v>74</v>
      </c>
      <c r="C142" s="1270" t="s">
        <v>2121</v>
      </c>
      <c r="D142" s="711"/>
      <c r="E142" s="1457">
        <f t="shared" si="23"/>
        <v>3000000</v>
      </c>
      <c r="F142" s="1457">
        <f t="shared" si="24"/>
        <v>3000000</v>
      </c>
      <c r="G142" s="117"/>
      <c r="H142" s="117"/>
      <c r="I142" s="117"/>
      <c r="J142" s="117"/>
      <c r="K142" s="117"/>
      <c r="L142" s="117"/>
      <c r="M142" s="117">
        <v>2362205</v>
      </c>
      <c r="N142" s="65">
        <v>2362205</v>
      </c>
      <c r="O142" s="1444"/>
      <c r="P142" s="117"/>
      <c r="Q142" s="117"/>
      <c r="R142" s="117"/>
      <c r="S142" s="117">
        <v>637795</v>
      </c>
      <c r="T142" s="65">
        <v>637795</v>
      </c>
      <c r="U142" s="1458">
        <f>+F142</f>
        <v>3000000</v>
      </c>
      <c r="V142" s="336"/>
      <c r="W142" s="151"/>
      <c r="X142" s="336"/>
      <c r="Y142" s="336"/>
      <c r="Z142" s="173" t="s">
        <v>228</v>
      </c>
      <c r="AB142" s="129"/>
      <c r="AC142" s="129"/>
      <c r="AD142" s="14"/>
    </row>
    <row r="143" spans="1:30" ht="22.15" customHeight="1" x14ac:dyDescent="0.2">
      <c r="A143" s="783" t="s">
        <v>27</v>
      </c>
      <c r="B143" s="1465"/>
      <c r="C143" s="1465"/>
      <c r="D143" s="715"/>
      <c r="E143" s="329">
        <f t="shared" ref="E143:Y143" si="27">+E75+E60+E56+E28+E10+E7</f>
        <v>1773589535</v>
      </c>
      <c r="F143" s="329">
        <f t="shared" si="27"/>
        <v>1963786912</v>
      </c>
      <c r="G143" s="329">
        <f t="shared" si="27"/>
        <v>1110000</v>
      </c>
      <c r="H143" s="329">
        <f t="shared" si="27"/>
        <v>1110000</v>
      </c>
      <c r="I143" s="329">
        <f t="shared" si="27"/>
        <v>1383876810</v>
      </c>
      <c r="J143" s="329">
        <f t="shared" si="27"/>
        <v>1727981380</v>
      </c>
      <c r="K143" s="329">
        <f t="shared" si="27"/>
        <v>500000</v>
      </c>
      <c r="L143" s="329">
        <f t="shared" si="27"/>
        <v>589441</v>
      </c>
      <c r="M143" s="329">
        <f t="shared" si="27"/>
        <v>25931719</v>
      </c>
      <c r="N143" s="639">
        <f t="shared" si="27"/>
        <v>62867527</v>
      </c>
      <c r="O143" s="636">
        <f t="shared" si="27"/>
        <v>0</v>
      </c>
      <c r="P143" s="329">
        <f t="shared" si="27"/>
        <v>0</v>
      </c>
      <c r="Q143" s="329">
        <f t="shared" si="27"/>
        <v>0</v>
      </c>
      <c r="R143" s="329">
        <f t="shared" si="27"/>
        <v>0</v>
      </c>
      <c r="S143" s="329">
        <f t="shared" si="27"/>
        <v>362171006</v>
      </c>
      <c r="T143" s="329">
        <f t="shared" si="27"/>
        <v>171238564</v>
      </c>
      <c r="U143" s="329">
        <f t="shared" si="27"/>
        <v>1275169883</v>
      </c>
      <c r="V143" s="329">
        <f t="shared" si="27"/>
        <v>41418264</v>
      </c>
      <c r="W143" s="329">
        <f t="shared" si="27"/>
        <v>647198765</v>
      </c>
      <c r="X143" s="329">
        <f t="shared" si="27"/>
        <v>0</v>
      </c>
      <c r="Y143" s="329">
        <f t="shared" si="27"/>
        <v>885879500</v>
      </c>
      <c r="Z143" s="95"/>
      <c r="AA143" s="9" t="e">
        <f>+U143+V143+X143+#REF!</f>
        <v>#REF!</v>
      </c>
      <c r="AB143" s="129">
        <f t="shared" ref="AB143:AB157" si="28">SUM(U143:Y143)</f>
        <v>2849666412</v>
      </c>
      <c r="AC143" s="129">
        <f t="shared" ref="AC143:AC179" si="29">+AB143-E143</f>
        <v>1076076877</v>
      </c>
      <c r="AD143" s="14">
        <f>+AC143-E144</f>
        <v>1015217862</v>
      </c>
    </row>
    <row r="144" spans="1:30" s="10" customFormat="1" ht="19.899999999999999" customHeight="1" x14ac:dyDescent="0.2">
      <c r="A144" s="783" t="s">
        <v>22</v>
      </c>
      <c r="B144" s="1465"/>
      <c r="C144" s="1465"/>
      <c r="D144" s="1466"/>
      <c r="E144" s="329">
        <f>SUM(E145:E182)</f>
        <v>60859015</v>
      </c>
      <c r="F144" s="329">
        <f t="shared" ref="F144:Y144" si="30">SUM(F145:F182)</f>
        <v>93657133</v>
      </c>
      <c r="G144" s="329">
        <f t="shared" si="30"/>
        <v>1525000</v>
      </c>
      <c r="H144" s="329">
        <f t="shared" si="30"/>
        <v>1477422</v>
      </c>
      <c r="I144" s="329">
        <f t="shared" si="30"/>
        <v>0</v>
      </c>
      <c r="J144" s="329">
        <f t="shared" si="30"/>
        <v>0</v>
      </c>
      <c r="K144" s="329">
        <f t="shared" si="30"/>
        <v>13292132</v>
      </c>
      <c r="L144" s="329">
        <f t="shared" si="30"/>
        <v>13444328</v>
      </c>
      <c r="M144" s="329">
        <f t="shared" si="30"/>
        <v>33252171</v>
      </c>
      <c r="N144" s="639">
        <f t="shared" si="30"/>
        <v>59112548</v>
      </c>
      <c r="O144" s="636">
        <f t="shared" si="30"/>
        <v>0</v>
      </c>
      <c r="P144" s="329">
        <f t="shared" si="30"/>
        <v>0</v>
      </c>
      <c r="Q144" s="329">
        <f t="shared" si="30"/>
        <v>0</v>
      </c>
      <c r="R144" s="329">
        <f t="shared" si="30"/>
        <v>0</v>
      </c>
      <c r="S144" s="329">
        <f t="shared" si="30"/>
        <v>12789712</v>
      </c>
      <c r="T144" s="329">
        <f t="shared" si="30"/>
        <v>19622835</v>
      </c>
      <c r="U144" s="329">
        <f t="shared" si="30"/>
        <v>93657133</v>
      </c>
      <c r="V144" s="329">
        <f t="shared" si="30"/>
        <v>0</v>
      </c>
      <c r="W144" s="329">
        <f t="shared" si="30"/>
        <v>0</v>
      </c>
      <c r="X144" s="329">
        <f t="shared" si="30"/>
        <v>0</v>
      </c>
      <c r="Y144" s="329">
        <f t="shared" si="30"/>
        <v>0</v>
      </c>
      <c r="Z144" s="95"/>
      <c r="AA144" s="10" t="e">
        <f>+U144+V144+X144+#REF!</f>
        <v>#REF!</v>
      </c>
      <c r="AB144" s="129">
        <f t="shared" si="28"/>
        <v>93657133</v>
      </c>
      <c r="AC144" s="129">
        <f t="shared" si="29"/>
        <v>32798118</v>
      </c>
    </row>
    <row r="145" spans="1:29" ht="24" customHeight="1" x14ac:dyDescent="0.2">
      <c r="A145" s="670" t="s">
        <v>90</v>
      </c>
      <c r="B145" s="145" t="s">
        <v>73</v>
      </c>
      <c r="C145" s="1464" t="s">
        <v>159</v>
      </c>
      <c r="D145" s="713"/>
      <c r="E145" s="1459">
        <f>+G145+I145+K145+M145+O145+Q145+S145</f>
        <v>20066000</v>
      </c>
      <c r="F145" s="1459">
        <f>+H145+J145+L145+N145+P145+R145+T145</f>
        <v>33302695</v>
      </c>
      <c r="G145" s="1460">
        <v>1300000</v>
      </c>
      <c r="H145" s="1460">
        <v>1300000</v>
      </c>
      <c r="I145" s="1460"/>
      <c r="J145" s="1460"/>
      <c r="K145" s="1460">
        <v>5000000</v>
      </c>
      <c r="L145" s="1460">
        <f>5000000+10000</f>
        <v>5010000</v>
      </c>
      <c r="M145" s="1460">
        <v>9500000</v>
      </c>
      <c r="N145" s="1461">
        <f>9500000+1638189-3304414+160472+11781600+15000+5000</f>
        <v>19795847</v>
      </c>
      <c r="O145" s="370"/>
      <c r="P145" s="1460"/>
      <c r="Q145" s="1460"/>
      <c r="R145" s="1460"/>
      <c r="S145" s="1460">
        <v>4266000</v>
      </c>
      <c r="T145" s="1461">
        <f>4266000+442311-735823+43328+3181032</f>
        <v>7196848</v>
      </c>
      <c r="U145" s="370">
        <f>+F145</f>
        <v>33302695</v>
      </c>
      <c r="V145" s="132"/>
      <c r="W145" s="132"/>
      <c r="X145" s="132"/>
      <c r="Y145" s="132"/>
      <c r="Z145" s="66" t="s">
        <v>228</v>
      </c>
      <c r="AA145" s="9" t="e">
        <f>+U145+V145+X145+#REF!</f>
        <v>#REF!</v>
      </c>
      <c r="AB145" s="129">
        <f t="shared" si="28"/>
        <v>33302695</v>
      </c>
      <c r="AC145" s="129">
        <f t="shared" si="29"/>
        <v>13236695</v>
      </c>
    </row>
    <row r="146" spans="1:29" ht="24" customHeight="1" x14ac:dyDescent="0.2">
      <c r="A146" s="363" t="s">
        <v>131</v>
      </c>
      <c r="B146" s="118" t="s">
        <v>161</v>
      </c>
      <c r="C146" s="76" t="s">
        <v>160</v>
      </c>
      <c r="D146" s="712"/>
      <c r="E146" s="779">
        <f t="shared" ref="E146:E182" si="31">+G146+I146+K146+M146+O146+Q146+S146</f>
        <v>5780000</v>
      </c>
      <c r="F146" s="779">
        <f t="shared" ref="F146:F182" si="32">+H146+J146+L146+N146+P146+R146+T146</f>
        <v>5780000</v>
      </c>
      <c r="G146" s="131"/>
      <c r="H146" s="131"/>
      <c r="I146" s="131"/>
      <c r="J146" s="131"/>
      <c r="K146" s="131">
        <v>700000</v>
      </c>
      <c r="L146" s="131">
        <v>700000</v>
      </c>
      <c r="M146" s="131">
        <v>4000000</v>
      </c>
      <c r="N146" s="386">
        <v>4000000</v>
      </c>
      <c r="O146" s="317"/>
      <c r="P146" s="131"/>
      <c r="Q146" s="131"/>
      <c r="R146" s="131"/>
      <c r="S146" s="131">
        <v>1080000</v>
      </c>
      <c r="T146" s="386">
        <v>1080000</v>
      </c>
      <c r="U146" s="317">
        <f>+E146</f>
        <v>5780000</v>
      </c>
      <c r="V146" s="364"/>
      <c r="W146" s="364"/>
      <c r="X146" s="364"/>
      <c r="Y146" s="364"/>
      <c r="Z146" s="69" t="s">
        <v>230</v>
      </c>
      <c r="AA146" s="9" t="e">
        <f>+U146+V146+X146+#REF!</f>
        <v>#REF!</v>
      </c>
      <c r="AB146" s="129">
        <f t="shared" si="28"/>
        <v>5780000</v>
      </c>
      <c r="AC146" s="129">
        <f t="shared" si="29"/>
        <v>0</v>
      </c>
    </row>
    <row r="147" spans="1:29" ht="24" customHeight="1" x14ac:dyDescent="0.2">
      <c r="A147" s="363" t="s">
        <v>150</v>
      </c>
      <c r="B147" s="118" t="s">
        <v>523</v>
      </c>
      <c r="C147" s="76" t="s">
        <v>524</v>
      </c>
      <c r="D147" s="712"/>
      <c r="E147" s="779">
        <f t="shared" si="31"/>
        <v>1460500</v>
      </c>
      <c r="F147" s="779">
        <f t="shared" si="32"/>
        <v>5500737</v>
      </c>
      <c r="G147" s="131"/>
      <c r="H147" s="131"/>
      <c r="I147" s="131"/>
      <c r="J147" s="131"/>
      <c r="K147" s="131">
        <v>650000</v>
      </c>
      <c r="L147" s="131">
        <f>650000-70850-11980</f>
        <v>567170</v>
      </c>
      <c r="M147" s="131">
        <v>500000</v>
      </c>
      <c r="N147" s="386">
        <f>500000+70850+3304414+9433</f>
        <v>3884697</v>
      </c>
      <c r="O147" s="317"/>
      <c r="P147" s="131"/>
      <c r="Q147" s="131"/>
      <c r="R147" s="131"/>
      <c r="S147" s="131">
        <v>310500</v>
      </c>
      <c r="T147" s="386">
        <f>310500+735823+2547</f>
        <v>1048870</v>
      </c>
      <c r="U147" s="317">
        <f>+F147</f>
        <v>5500737</v>
      </c>
      <c r="V147" s="364"/>
      <c r="W147" s="364"/>
      <c r="X147" s="364"/>
      <c r="Y147" s="364"/>
      <c r="Z147" s="69" t="s">
        <v>230</v>
      </c>
      <c r="AB147" s="129">
        <f t="shared" si="28"/>
        <v>5500737</v>
      </c>
      <c r="AC147" s="129">
        <f t="shared" si="29"/>
        <v>4040237</v>
      </c>
    </row>
    <row r="148" spans="1:29" ht="24" customHeight="1" x14ac:dyDescent="0.2">
      <c r="A148" s="365" t="s">
        <v>133</v>
      </c>
      <c r="B148" s="118" t="s">
        <v>73</v>
      </c>
      <c r="C148" s="76" t="s">
        <v>1903</v>
      </c>
      <c r="D148" s="712"/>
      <c r="E148" s="779">
        <f t="shared" si="31"/>
        <v>6731000</v>
      </c>
      <c r="F148" s="779">
        <f t="shared" si="32"/>
        <v>6731000</v>
      </c>
      <c r="G148" s="131"/>
      <c r="H148" s="131"/>
      <c r="I148" s="131"/>
      <c r="J148" s="131"/>
      <c r="K148" s="131">
        <v>1300000</v>
      </c>
      <c r="L148" s="131">
        <v>1300000</v>
      </c>
      <c r="M148" s="131">
        <v>4000000</v>
      </c>
      <c r="N148" s="386">
        <v>4000000</v>
      </c>
      <c r="O148" s="317"/>
      <c r="P148" s="131"/>
      <c r="Q148" s="131"/>
      <c r="R148" s="131"/>
      <c r="S148" s="131">
        <v>1431000</v>
      </c>
      <c r="T148" s="386">
        <v>1431000</v>
      </c>
      <c r="U148" s="317">
        <f>+E148</f>
        <v>6731000</v>
      </c>
      <c r="V148" s="364"/>
      <c r="W148" s="364"/>
      <c r="X148" s="364"/>
      <c r="Y148" s="364"/>
      <c r="Z148" s="67" t="s">
        <v>228</v>
      </c>
      <c r="AB148" s="129">
        <f t="shared" si="28"/>
        <v>6731000</v>
      </c>
      <c r="AC148" s="129">
        <f t="shared" si="29"/>
        <v>0</v>
      </c>
    </row>
    <row r="149" spans="1:29" ht="24" customHeight="1" x14ac:dyDescent="0.2">
      <c r="A149" s="363" t="s">
        <v>90</v>
      </c>
      <c r="B149" s="118" t="s">
        <v>571</v>
      </c>
      <c r="C149" s="76" t="s">
        <v>23</v>
      </c>
      <c r="D149" s="712"/>
      <c r="E149" s="779">
        <f t="shared" si="31"/>
        <v>381000</v>
      </c>
      <c r="F149" s="779">
        <f t="shared" si="32"/>
        <v>381000</v>
      </c>
      <c r="G149" s="131"/>
      <c r="H149" s="131"/>
      <c r="I149" s="131"/>
      <c r="J149" s="131"/>
      <c r="K149" s="131"/>
      <c r="L149" s="131"/>
      <c r="M149" s="131">
        <v>300000</v>
      </c>
      <c r="N149" s="386">
        <v>300000</v>
      </c>
      <c r="O149" s="317"/>
      <c r="P149" s="131"/>
      <c r="Q149" s="131"/>
      <c r="R149" s="131"/>
      <c r="S149" s="131">
        <v>81000</v>
      </c>
      <c r="T149" s="386">
        <v>81000</v>
      </c>
      <c r="U149" s="317">
        <f>+E149</f>
        <v>381000</v>
      </c>
      <c r="V149" s="364"/>
      <c r="W149" s="364"/>
      <c r="X149" s="364"/>
      <c r="Y149" s="364"/>
      <c r="Z149" s="67" t="s">
        <v>228</v>
      </c>
      <c r="AA149" s="9" t="e">
        <f>+U149+V149+X149+#REF!</f>
        <v>#REF!</v>
      </c>
      <c r="AB149" s="129">
        <f t="shared" si="28"/>
        <v>381000</v>
      </c>
      <c r="AC149" s="129">
        <f t="shared" si="29"/>
        <v>0</v>
      </c>
    </row>
    <row r="150" spans="1:29" ht="24" customHeight="1" x14ac:dyDescent="0.2">
      <c r="A150" s="363" t="s">
        <v>131</v>
      </c>
      <c r="B150" s="118" t="s">
        <v>561</v>
      </c>
      <c r="C150" s="76" t="s">
        <v>23</v>
      </c>
      <c r="D150" s="712"/>
      <c r="E150" s="779">
        <f t="shared" si="31"/>
        <v>858520</v>
      </c>
      <c r="F150" s="779">
        <f t="shared" si="32"/>
        <v>2188720</v>
      </c>
      <c r="G150" s="131"/>
      <c r="H150" s="131"/>
      <c r="I150" s="131"/>
      <c r="J150" s="131"/>
      <c r="K150" s="131">
        <v>276000</v>
      </c>
      <c r="L150" s="131">
        <v>276000</v>
      </c>
      <c r="M150" s="131">
        <v>400000</v>
      </c>
      <c r="N150" s="386">
        <f>400000+1047402</f>
        <v>1447402</v>
      </c>
      <c r="O150" s="317"/>
      <c r="P150" s="131"/>
      <c r="Q150" s="131"/>
      <c r="R150" s="131"/>
      <c r="S150" s="131">
        <v>182520</v>
      </c>
      <c r="T150" s="386">
        <f>182520+282798</f>
        <v>465318</v>
      </c>
      <c r="U150" s="317">
        <f t="shared" ref="U150:U157" si="33">+F150</f>
        <v>2188720</v>
      </c>
      <c r="V150" s="364"/>
      <c r="W150" s="364"/>
      <c r="X150" s="364"/>
      <c r="Y150" s="364"/>
      <c r="Z150" s="67" t="s">
        <v>228</v>
      </c>
      <c r="AA150" s="9" t="e">
        <f>+U150+V150+X150+#REF!</f>
        <v>#REF!</v>
      </c>
      <c r="AB150" s="129">
        <f t="shared" si="28"/>
        <v>2188720</v>
      </c>
      <c r="AC150" s="129">
        <f t="shared" si="29"/>
        <v>1330200</v>
      </c>
    </row>
    <row r="151" spans="1:29" ht="24" customHeight="1" x14ac:dyDescent="0.2">
      <c r="A151" s="365" t="s">
        <v>150</v>
      </c>
      <c r="B151" s="118" t="s">
        <v>561</v>
      </c>
      <c r="C151" s="76" t="s">
        <v>23</v>
      </c>
      <c r="D151" s="712"/>
      <c r="E151" s="779">
        <f t="shared" si="31"/>
        <v>635000</v>
      </c>
      <c r="F151" s="779">
        <f t="shared" si="32"/>
        <v>2932748</v>
      </c>
      <c r="G151" s="131"/>
      <c r="H151" s="131"/>
      <c r="I151" s="131"/>
      <c r="J151" s="131"/>
      <c r="K151" s="131">
        <v>200000</v>
      </c>
      <c r="L151" s="131">
        <v>200000</v>
      </c>
      <c r="M151" s="131">
        <v>300000</v>
      </c>
      <c r="N151" s="386">
        <f>300000+1809250</f>
        <v>2109250</v>
      </c>
      <c r="O151" s="317"/>
      <c r="P151" s="131"/>
      <c r="Q151" s="131"/>
      <c r="R151" s="131"/>
      <c r="S151" s="131">
        <v>135000</v>
      </c>
      <c r="T151" s="386">
        <f>135000+488498</f>
        <v>623498</v>
      </c>
      <c r="U151" s="317">
        <f t="shared" si="33"/>
        <v>2932748</v>
      </c>
      <c r="V151" s="364"/>
      <c r="W151" s="364"/>
      <c r="X151" s="364"/>
      <c r="Y151" s="364"/>
      <c r="Z151" s="67" t="s">
        <v>228</v>
      </c>
      <c r="AB151" s="129">
        <f t="shared" si="28"/>
        <v>2932748</v>
      </c>
      <c r="AC151" s="129">
        <f t="shared" si="29"/>
        <v>2297748</v>
      </c>
    </row>
    <row r="152" spans="1:29" ht="24" customHeight="1" x14ac:dyDescent="0.2">
      <c r="A152" s="363" t="s">
        <v>90</v>
      </c>
      <c r="B152" s="118" t="s">
        <v>162</v>
      </c>
      <c r="C152" s="76" t="s">
        <v>163</v>
      </c>
      <c r="D152" s="712"/>
      <c r="E152" s="779">
        <f t="shared" si="31"/>
        <v>1315720</v>
      </c>
      <c r="F152" s="779">
        <f t="shared" si="32"/>
        <v>6120524</v>
      </c>
      <c r="G152" s="131"/>
      <c r="H152" s="131"/>
      <c r="I152" s="131"/>
      <c r="J152" s="131"/>
      <c r="K152" s="131">
        <v>636000</v>
      </c>
      <c r="L152" s="131">
        <v>636000</v>
      </c>
      <c r="M152" s="131">
        <v>400000</v>
      </c>
      <c r="N152" s="386">
        <f>400000+50000+244094+2816772+200000+292370+200000</f>
        <v>4203236</v>
      </c>
      <c r="O152" s="317"/>
      <c r="P152" s="131"/>
      <c r="Q152" s="131"/>
      <c r="R152" s="131"/>
      <c r="S152" s="131">
        <v>279720</v>
      </c>
      <c r="T152" s="386">
        <f>279720+65906+760529+54000+67133+54000</f>
        <v>1281288</v>
      </c>
      <c r="U152" s="317">
        <f t="shared" si="33"/>
        <v>6120524</v>
      </c>
      <c r="V152" s="364"/>
      <c r="W152" s="364"/>
      <c r="X152" s="364"/>
      <c r="Y152" s="364"/>
      <c r="Z152" s="67" t="s">
        <v>228</v>
      </c>
      <c r="AA152" s="9" t="e">
        <f>+U152+V152+X152+#REF!</f>
        <v>#REF!</v>
      </c>
      <c r="AB152" s="129">
        <f t="shared" si="28"/>
        <v>6120524</v>
      </c>
      <c r="AC152" s="129">
        <f t="shared" si="29"/>
        <v>4804804</v>
      </c>
    </row>
    <row r="153" spans="1:29" ht="24" customHeight="1" x14ac:dyDescent="0.2">
      <c r="A153" s="365" t="s">
        <v>131</v>
      </c>
      <c r="B153" s="367" t="s">
        <v>790</v>
      </c>
      <c r="C153" s="76" t="s">
        <v>842</v>
      </c>
      <c r="D153" s="712"/>
      <c r="E153" s="779">
        <f t="shared" si="31"/>
        <v>127000</v>
      </c>
      <c r="F153" s="779">
        <f t="shared" si="32"/>
        <v>924000</v>
      </c>
      <c r="G153" s="131"/>
      <c r="H153" s="131"/>
      <c r="I153" s="131"/>
      <c r="J153" s="131"/>
      <c r="K153" s="131"/>
      <c r="L153" s="131"/>
      <c r="M153" s="131">
        <v>100000</v>
      </c>
      <c r="N153" s="386">
        <f>100000+627559</f>
        <v>727559</v>
      </c>
      <c r="O153" s="317"/>
      <c r="P153" s="131"/>
      <c r="Q153" s="131"/>
      <c r="R153" s="131"/>
      <c r="S153" s="131">
        <v>27000</v>
      </c>
      <c r="T153" s="386">
        <f>27000+169441</f>
        <v>196441</v>
      </c>
      <c r="U153" s="317">
        <f t="shared" si="33"/>
        <v>924000</v>
      </c>
      <c r="V153" s="364"/>
      <c r="W153" s="364"/>
      <c r="X153" s="364"/>
      <c r="Y153" s="364"/>
      <c r="Z153" s="67" t="s">
        <v>228</v>
      </c>
      <c r="AB153" s="129">
        <f t="shared" si="28"/>
        <v>924000</v>
      </c>
      <c r="AC153" s="129">
        <f t="shared" si="29"/>
        <v>797000</v>
      </c>
    </row>
    <row r="154" spans="1:29" ht="24" customHeight="1" x14ac:dyDescent="0.2">
      <c r="A154" s="363" t="s">
        <v>90</v>
      </c>
      <c r="B154" s="118" t="s">
        <v>162</v>
      </c>
      <c r="C154" s="76" t="s">
        <v>612</v>
      </c>
      <c r="D154" s="712"/>
      <c r="E154" s="779">
        <f t="shared" si="31"/>
        <v>604520</v>
      </c>
      <c r="F154" s="779">
        <f t="shared" si="32"/>
        <v>2895772</v>
      </c>
      <c r="G154" s="131"/>
      <c r="H154" s="131"/>
      <c r="I154" s="131"/>
      <c r="J154" s="131"/>
      <c r="K154" s="131">
        <v>276000</v>
      </c>
      <c r="L154" s="131">
        <f>276000-18700-50000-44000+191503</f>
        <v>354803</v>
      </c>
      <c r="M154" s="131">
        <v>200000</v>
      </c>
      <c r="N154" s="386">
        <f>200000+18700+275762+157476+1000000+50000+124252+44000+5535+50000</f>
        <v>1925725</v>
      </c>
      <c r="O154" s="317"/>
      <c r="P154" s="131"/>
      <c r="Q154" s="131"/>
      <c r="R154" s="131"/>
      <c r="S154" s="131">
        <v>128520</v>
      </c>
      <c r="T154" s="386">
        <f>128520+74456+42519+270000+33548+53201+13000</f>
        <v>615244</v>
      </c>
      <c r="U154" s="317">
        <f t="shared" si="33"/>
        <v>2895772</v>
      </c>
      <c r="V154" s="364"/>
      <c r="W154" s="364"/>
      <c r="X154" s="364"/>
      <c r="Y154" s="364"/>
      <c r="Z154" s="67" t="s">
        <v>228</v>
      </c>
      <c r="AA154" s="9" t="e">
        <f>+U154+V154+X154+#REF!</f>
        <v>#REF!</v>
      </c>
      <c r="AB154" s="129">
        <f t="shared" si="28"/>
        <v>2895772</v>
      </c>
      <c r="AC154" s="129">
        <f t="shared" si="29"/>
        <v>2291252</v>
      </c>
    </row>
    <row r="155" spans="1:29" ht="24" customHeight="1" x14ac:dyDescent="0.2">
      <c r="A155" s="363" t="s">
        <v>131</v>
      </c>
      <c r="B155" s="118" t="s">
        <v>162</v>
      </c>
      <c r="C155" s="76" t="s">
        <v>613</v>
      </c>
      <c r="D155" s="712"/>
      <c r="E155" s="779">
        <f t="shared" si="31"/>
        <v>381000</v>
      </c>
      <c r="F155" s="779">
        <f t="shared" si="32"/>
        <v>388290</v>
      </c>
      <c r="G155" s="131"/>
      <c r="H155" s="131"/>
      <c r="I155" s="131"/>
      <c r="J155" s="131"/>
      <c r="K155" s="131">
        <v>200000</v>
      </c>
      <c r="L155" s="131">
        <f>200000-41189</f>
        <v>158811</v>
      </c>
      <c r="M155" s="131">
        <v>100000</v>
      </c>
      <c r="N155" s="386">
        <f>100000+41189+5740</f>
        <v>146929</v>
      </c>
      <c r="O155" s="317"/>
      <c r="P155" s="131"/>
      <c r="Q155" s="131"/>
      <c r="R155" s="131"/>
      <c r="S155" s="131">
        <v>81000</v>
      </c>
      <c r="T155" s="386">
        <f>81000+1550</f>
        <v>82550</v>
      </c>
      <c r="U155" s="317">
        <f t="shared" si="33"/>
        <v>388290</v>
      </c>
      <c r="V155" s="364"/>
      <c r="W155" s="364"/>
      <c r="X155" s="364"/>
      <c r="Y155" s="364"/>
      <c r="Z155" s="67" t="s">
        <v>228</v>
      </c>
      <c r="AA155" s="9" t="e">
        <f>+U155+V155+X155+#REF!</f>
        <v>#REF!</v>
      </c>
      <c r="AB155" s="129">
        <f t="shared" si="28"/>
        <v>388290</v>
      </c>
      <c r="AC155" s="129">
        <f t="shared" si="29"/>
        <v>7290</v>
      </c>
    </row>
    <row r="156" spans="1:29" ht="24" customHeight="1" x14ac:dyDescent="0.2">
      <c r="A156" s="363" t="s">
        <v>90</v>
      </c>
      <c r="B156" s="118" t="s">
        <v>162</v>
      </c>
      <c r="C156" s="76" t="s">
        <v>629</v>
      </c>
      <c r="D156" s="712"/>
      <c r="E156" s="779">
        <f t="shared" si="31"/>
        <v>1176020</v>
      </c>
      <c r="F156" s="779">
        <f t="shared" si="32"/>
        <v>4379720</v>
      </c>
      <c r="G156" s="131"/>
      <c r="H156" s="131"/>
      <c r="I156" s="131"/>
      <c r="J156" s="131"/>
      <c r="K156" s="131">
        <v>526000</v>
      </c>
      <c r="L156" s="131">
        <v>526000</v>
      </c>
      <c r="M156" s="131">
        <v>400000</v>
      </c>
      <c r="N156" s="386">
        <f>400000+360000+2239134</f>
        <v>2999134</v>
      </c>
      <c r="O156" s="317"/>
      <c r="P156" s="131"/>
      <c r="Q156" s="131"/>
      <c r="R156" s="131"/>
      <c r="S156" s="131">
        <v>250020</v>
      </c>
      <c r="T156" s="386">
        <f>250020+604566</f>
        <v>854586</v>
      </c>
      <c r="U156" s="317">
        <f t="shared" si="33"/>
        <v>4379720</v>
      </c>
      <c r="V156" s="364"/>
      <c r="W156" s="364"/>
      <c r="X156" s="364"/>
      <c r="Y156" s="364"/>
      <c r="Z156" s="67" t="s">
        <v>228</v>
      </c>
      <c r="AA156" s="9" t="e">
        <f>+U156+V156+X156+#REF!</f>
        <v>#REF!</v>
      </c>
      <c r="AB156" s="129">
        <f t="shared" si="28"/>
        <v>4379720</v>
      </c>
      <c r="AC156" s="129">
        <f t="shared" si="29"/>
        <v>3203700</v>
      </c>
    </row>
    <row r="157" spans="1:29" ht="24" customHeight="1" x14ac:dyDescent="0.2">
      <c r="A157" s="363" t="s">
        <v>131</v>
      </c>
      <c r="B157" s="118" t="s">
        <v>162</v>
      </c>
      <c r="C157" s="76" t="s">
        <v>630</v>
      </c>
      <c r="D157" s="712"/>
      <c r="E157" s="779">
        <f t="shared" si="31"/>
        <v>406400</v>
      </c>
      <c r="F157" s="779">
        <f t="shared" si="32"/>
        <v>976467</v>
      </c>
      <c r="G157" s="131"/>
      <c r="H157" s="131"/>
      <c r="I157" s="131"/>
      <c r="J157" s="131"/>
      <c r="K157" s="131">
        <v>220000</v>
      </c>
      <c r="L157" s="131">
        <f>220000-111340</f>
        <v>108660</v>
      </c>
      <c r="M157" s="131">
        <v>100000</v>
      </c>
      <c r="N157" s="386">
        <f>100000+280559+87669+118921+96163</f>
        <v>683312</v>
      </c>
      <c r="O157" s="317"/>
      <c r="P157" s="131"/>
      <c r="Q157" s="131"/>
      <c r="R157" s="131"/>
      <c r="S157" s="131">
        <v>86400</v>
      </c>
      <c r="T157" s="386">
        <f>86400+16351+23671+32109+25964</f>
        <v>184495</v>
      </c>
      <c r="U157" s="317">
        <f t="shared" si="33"/>
        <v>976467</v>
      </c>
      <c r="V157" s="364"/>
      <c r="W157" s="364"/>
      <c r="X157" s="364"/>
      <c r="Y157" s="364"/>
      <c r="Z157" s="67" t="s">
        <v>228</v>
      </c>
      <c r="AA157" s="9" t="e">
        <f>+U157+V157+X157+#REF!</f>
        <v>#REF!</v>
      </c>
      <c r="AB157" s="129">
        <f t="shared" si="28"/>
        <v>976467</v>
      </c>
      <c r="AC157" s="129">
        <f t="shared" si="29"/>
        <v>570067</v>
      </c>
    </row>
    <row r="158" spans="1:29" ht="24" customHeight="1" x14ac:dyDescent="0.2">
      <c r="A158" s="665" t="s">
        <v>150</v>
      </c>
      <c r="B158" s="666" t="s">
        <v>790</v>
      </c>
      <c r="C158" s="77" t="s">
        <v>853</v>
      </c>
      <c r="D158" s="714"/>
      <c r="E158" s="779">
        <f t="shared" si="31"/>
        <v>100000</v>
      </c>
      <c r="F158" s="779">
        <f t="shared" si="32"/>
        <v>100000</v>
      </c>
      <c r="G158" s="131"/>
      <c r="H158" s="131"/>
      <c r="I158" s="131"/>
      <c r="J158" s="131"/>
      <c r="K158" s="131"/>
      <c r="L158" s="131"/>
      <c r="M158" s="131">
        <v>78740</v>
      </c>
      <c r="N158" s="386">
        <v>78740</v>
      </c>
      <c r="O158" s="317"/>
      <c r="P158" s="131"/>
      <c r="Q158" s="131"/>
      <c r="R158" s="131"/>
      <c r="S158" s="131">
        <v>21260</v>
      </c>
      <c r="T158" s="386">
        <v>21260</v>
      </c>
      <c r="U158" s="317">
        <f>+E158</f>
        <v>100000</v>
      </c>
      <c r="V158" s="364"/>
      <c r="W158" s="364"/>
      <c r="X158" s="364"/>
      <c r="Y158" s="364"/>
      <c r="Z158" s="67" t="s">
        <v>228</v>
      </c>
      <c r="AB158" s="129"/>
      <c r="AC158" s="129"/>
    </row>
    <row r="159" spans="1:29" ht="28.5" customHeight="1" x14ac:dyDescent="0.2">
      <c r="A159" s="670" t="s">
        <v>90</v>
      </c>
      <c r="B159" s="145" t="s">
        <v>572</v>
      </c>
      <c r="C159" s="1273" t="s">
        <v>403</v>
      </c>
      <c r="D159" s="713"/>
      <c r="E159" s="779">
        <f t="shared" si="31"/>
        <v>5190490</v>
      </c>
      <c r="F159" s="779">
        <f t="shared" si="32"/>
        <v>3290490</v>
      </c>
      <c r="G159" s="131"/>
      <c r="H159" s="131"/>
      <c r="I159" s="131"/>
      <c r="J159" s="131"/>
      <c r="K159" s="131">
        <v>150000</v>
      </c>
      <c r="L159" s="131">
        <f>150000+88575</f>
        <v>238575</v>
      </c>
      <c r="M159" s="131">
        <v>3937000</v>
      </c>
      <c r="N159" s="386">
        <f>3937000-88575-500000+5000-1000000</f>
        <v>2353425</v>
      </c>
      <c r="O159" s="317"/>
      <c r="P159" s="131"/>
      <c r="Q159" s="131"/>
      <c r="R159" s="131"/>
      <c r="S159" s="131">
        <v>1103490</v>
      </c>
      <c r="T159" s="386">
        <f>1103490-135000-270000</f>
        <v>698490</v>
      </c>
      <c r="U159" s="317">
        <f>+F159</f>
        <v>3290490</v>
      </c>
      <c r="V159" s="364"/>
      <c r="W159" s="364"/>
      <c r="X159" s="364"/>
      <c r="Y159" s="364"/>
      <c r="Z159" s="67" t="s">
        <v>228</v>
      </c>
      <c r="AA159" s="9" t="e">
        <f>+U159+V159+X159+#REF!</f>
        <v>#REF!</v>
      </c>
      <c r="AB159" s="129">
        <f t="shared" ref="AB159:AB165" si="34">SUM(U159:Y159)</f>
        <v>3290490</v>
      </c>
      <c r="AC159" s="129">
        <f t="shared" si="29"/>
        <v>-1900000</v>
      </c>
    </row>
    <row r="160" spans="1:29" ht="24.75" customHeight="1" x14ac:dyDescent="0.2">
      <c r="A160" s="363" t="s">
        <v>131</v>
      </c>
      <c r="B160" s="118" t="s">
        <v>525</v>
      </c>
      <c r="C160" s="754" t="s">
        <v>526</v>
      </c>
      <c r="D160" s="712"/>
      <c r="E160" s="779">
        <f t="shared" si="31"/>
        <v>381000</v>
      </c>
      <c r="F160" s="779">
        <f t="shared" si="32"/>
        <v>381000</v>
      </c>
      <c r="G160" s="131"/>
      <c r="H160" s="131"/>
      <c r="I160" s="131"/>
      <c r="J160" s="131"/>
      <c r="K160" s="131"/>
      <c r="L160" s="131"/>
      <c r="M160" s="131">
        <v>300000</v>
      </c>
      <c r="N160" s="386">
        <v>300000</v>
      </c>
      <c r="O160" s="317"/>
      <c r="P160" s="131"/>
      <c r="Q160" s="131"/>
      <c r="R160" s="131"/>
      <c r="S160" s="131">
        <v>81000</v>
      </c>
      <c r="T160" s="386">
        <v>81000</v>
      </c>
      <c r="U160" s="317">
        <f t="shared" ref="U160:U178" si="35">+E160</f>
        <v>381000</v>
      </c>
      <c r="V160" s="364"/>
      <c r="W160" s="364"/>
      <c r="X160" s="364"/>
      <c r="Y160" s="364"/>
      <c r="Z160" s="67" t="s">
        <v>228</v>
      </c>
      <c r="AB160" s="129">
        <f t="shared" si="34"/>
        <v>381000</v>
      </c>
      <c r="AC160" s="129">
        <f t="shared" si="29"/>
        <v>0</v>
      </c>
    </row>
    <row r="161" spans="1:29" ht="21.75" customHeight="1" x14ac:dyDescent="0.2">
      <c r="A161" s="363" t="s">
        <v>150</v>
      </c>
      <c r="B161" s="118" t="s">
        <v>402</v>
      </c>
      <c r="C161" s="754" t="s">
        <v>404</v>
      </c>
      <c r="D161" s="712"/>
      <c r="E161" s="779">
        <f t="shared" si="31"/>
        <v>254000</v>
      </c>
      <c r="F161" s="779">
        <f t="shared" si="32"/>
        <v>254000</v>
      </c>
      <c r="G161" s="131"/>
      <c r="H161" s="131"/>
      <c r="I161" s="131"/>
      <c r="J161" s="131"/>
      <c r="K161" s="131"/>
      <c r="L161" s="131"/>
      <c r="M161" s="131">
        <v>200000</v>
      </c>
      <c r="N161" s="386">
        <v>200000</v>
      </c>
      <c r="O161" s="317"/>
      <c r="P161" s="131"/>
      <c r="Q161" s="131"/>
      <c r="R161" s="131"/>
      <c r="S161" s="131">
        <v>54000</v>
      </c>
      <c r="T161" s="386">
        <v>54000</v>
      </c>
      <c r="U161" s="317">
        <f t="shared" si="35"/>
        <v>254000</v>
      </c>
      <c r="V161" s="364"/>
      <c r="W161" s="364"/>
      <c r="X161" s="364"/>
      <c r="Y161" s="364"/>
      <c r="Z161" s="67" t="s">
        <v>229</v>
      </c>
      <c r="AB161" s="129">
        <f t="shared" si="34"/>
        <v>254000</v>
      </c>
      <c r="AC161" s="129">
        <f t="shared" si="29"/>
        <v>0</v>
      </c>
    </row>
    <row r="162" spans="1:29" ht="24" customHeight="1" x14ac:dyDescent="0.2">
      <c r="A162" s="363" t="s">
        <v>151</v>
      </c>
      <c r="B162" s="118" t="s">
        <v>166</v>
      </c>
      <c r="C162" s="754" t="s">
        <v>171</v>
      </c>
      <c r="D162" s="712"/>
      <c r="E162" s="779">
        <f t="shared" si="31"/>
        <v>63500</v>
      </c>
      <c r="F162" s="779">
        <f t="shared" si="32"/>
        <v>63500</v>
      </c>
      <c r="G162" s="131"/>
      <c r="H162" s="131"/>
      <c r="I162" s="131"/>
      <c r="J162" s="131"/>
      <c r="K162" s="131"/>
      <c r="L162" s="131"/>
      <c r="M162" s="131">
        <v>50000</v>
      </c>
      <c r="N162" s="386">
        <v>50000</v>
      </c>
      <c r="O162" s="317"/>
      <c r="P162" s="131"/>
      <c r="Q162" s="131"/>
      <c r="R162" s="131"/>
      <c r="S162" s="131">
        <v>13500</v>
      </c>
      <c r="T162" s="386">
        <v>13500</v>
      </c>
      <c r="U162" s="317">
        <f t="shared" si="35"/>
        <v>63500</v>
      </c>
      <c r="V162" s="364"/>
      <c r="W162" s="364"/>
      <c r="X162" s="364"/>
      <c r="Y162" s="364"/>
      <c r="Z162" s="67" t="s">
        <v>229</v>
      </c>
      <c r="AA162" s="9" t="e">
        <f>+U162+V162+X162+#REF!</f>
        <v>#REF!</v>
      </c>
      <c r="AB162" s="129">
        <f t="shared" si="34"/>
        <v>63500</v>
      </c>
      <c r="AC162" s="129">
        <f t="shared" si="29"/>
        <v>0</v>
      </c>
    </row>
    <row r="163" spans="1:29" ht="24" customHeight="1" x14ac:dyDescent="0.2">
      <c r="A163" s="363" t="s">
        <v>132</v>
      </c>
      <c r="B163" s="118" t="s">
        <v>167</v>
      </c>
      <c r="C163" s="754" t="s">
        <v>527</v>
      </c>
      <c r="D163" s="712"/>
      <c r="E163" s="779">
        <f t="shared" si="31"/>
        <v>635000</v>
      </c>
      <c r="F163" s="779">
        <f t="shared" si="32"/>
        <v>801366</v>
      </c>
      <c r="G163" s="131"/>
      <c r="H163" s="131"/>
      <c r="I163" s="131"/>
      <c r="J163" s="131"/>
      <c r="K163" s="131"/>
      <c r="L163" s="131"/>
      <c r="M163" s="131">
        <v>500000</v>
      </c>
      <c r="N163" s="386">
        <f>500000+130997</f>
        <v>630997</v>
      </c>
      <c r="O163" s="317"/>
      <c r="P163" s="131"/>
      <c r="Q163" s="131"/>
      <c r="R163" s="131"/>
      <c r="S163" s="131">
        <v>135000</v>
      </c>
      <c r="T163" s="386">
        <f>135000+35369</f>
        <v>170369</v>
      </c>
      <c r="U163" s="317">
        <f>+F163</f>
        <v>801366</v>
      </c>
      <c r="V163" s="364"/>
      <c r="W163" s="364"/>
      <c r="X163" s="364"/>
      <c r="Y163" s="364"/>
      <c r="Z163" s="67" t="s">
        <v>228</v>
      </c>
      <c r="AB163" s="129">
        <f t="shared" si="34"/>
        <v>801366</v>
      </c>
      <c r="AC163" s="129">
        <f t="shared" si="29"/>
        <v>166366</v>
      </c>
    </row>
    <row r="164" spans="1:29" ht="32.25" customHeight="1" x14ac:dyDescent="0.2">
      <c r="A164" s="363" t="s">
        <v>133</v>
      </c>
      <c r="B164" s="118" t="s">
        <v>167</v>
      </c>
      <c r="C164" s="754" t="s">
        <v>528</v>
      </c>
      <c r="D164" s="712"/>
      <c r="E164" s="779">
        <f t="shared" si="31"/>
        <v>254000</v>
      </c>
      <c r="F164" s="779">
        <f t="shared" si="32"/>
        <v>364730</v>
      </c>
      <c r="G164" s="131"/>
      <c r="H164" s="131"/>
      <c r="I164" s="131"/>
      <c r="J164" s="131"/>
      <c r="K164" s="131"/>
      <c r="L164" s="131"/>
      <c r="M164" s="131">
        <v>200000</v>
      </c>
      <c r="N164" s="386">
        <f>200000+87189</f>
        <v>287189</v>
      </c>
      <c r="O164" s="317"/>
      <c r="P164" s="131"/>
      <c r="Q164" s="131"/>
      <c r="R164" s="131"/>
      <c r="S164" s="131">
        <v>54000</v>
      </c>
      <c r="T164" s="386">
        <f>54000+23541</f>
        <v>77541</v>
      </c>
      <c r="U164" s="317">
        <f>+F164</f>
        <v>364730</v>
      </c>
      <c r="V164" s="364"/>
      <c r="W164" s="364"/>
      <c r="X164" s="364"/>
      <c r="Y164" s="364"/>
      <c r="Z164" s="67" t="s">
        <v>228</v>
      </c>
      <c r="AA164" s="9" t="e">
        <f>+U164+V164+X164+#REF!</f>
        <v>#REF!</v>
      </c>
      <c r="AB164" s="129">
        <f t="shared" si="34"/>
        <v>364730</v>
      </c>
      <c r="AC164" s="129">
        <f t="shared" si="29"/>
        <v>110730</v>
      </c>
    </row>
    <row r="165" spans="1:29" ht="32.25" customHeight="1" x14ac:dyDescent="0.2">
      <c r="A165" s="365" t="s">
        <v>134</v>
      </c>
      <c r="B165" s="367" t="s">
        <v>791</v>
      </c>
      <c r="C165" s="754" t="s">
        <v>877</v>
      </c>
      <c r="D165" s="712"/>
      <c r="E165" s="779">
        <f t="shared" si="31"/>
        <v>635000</v>
      </c>
      <c r="F165" s="779">
        <f t="shared" si="32"/>
        <v>635000</v>
      </c>
      <c r="G165" s="131"/>
      <c r="H165" s="131"/>
      <c r="I165" s="131"/>
      <c r="J165" s="131"/>
      <c r="K165" s="131"/>
      <c r="L165" s="131"/>
      <c r="M165" s="131">
        <v>500000</v>
      </c>
      <c r="N165" s="386">
        <v>500000</v>
      </c>
      <c r="O165" s="317"/>
      <c r="P165" s="131"/>
      <c r="Q165" s="131"/>
      <c r="R165" s="131"/>
      <c r="S165" s="131">
        <v>135000</v>
      </c>
      <c r="T165" s="386">
        <v>135000</v>
      </c>
      <c r="U165" s="317">
        <f t="shared" si="35"/>
        <v>635000</v>
      </c>
      <c r="V165" s="364"/>
      <c r="W165" s="364"/>
      <c r="X165" s="364"/>
      <c r="Y165" s="364"/>
      <c r="Z165" s="67" t="s">
        <v>229</v>
      </c>
      <c r="AB165" s="129">
        <f t="shared" si="34"/>
        <v>635000</v>
      </c>
      <c r="AC165" s="129">
        <f t="shared" si="29"/>
        <v>0</v>
      </c>
    </row>
    <row r="166" spans="1:29" ht="24" customHeight="1" x14ac:dyDescent="0.2">
      <c r="A166" s="363" t="s">
        <v>479</v>
      </c>
      <c r="B166" s="118" t="s">
        <v>529</v>
      </c>
      <c r="C166" s="754" t="s">
        <v>530</v>
      </c>
      <c r="D166" s="712"/>
      <c r="E166" s="779">
        <f t="shared" si="31"/>
        <v>508000</v>
      </c>
      <c r="F166" s="779">
        <f t="shared" si="32"/>
        <v>508000</v>
      </c>
      <c r="G166" s="131"/>
      <c r="H166" s="131"/>
      <c r="I166" s="131"/>
      <c r="J166" s="131"/>
      <c r="K166" s="131">
        <v>200000</v>
      </c>
      <c r="L166" s="131">
        <v>200000</v>
      </c>
      <c r="M166" s="131">
        <v>200000</v>
      </c>
      <c r="N166" s="386">
        <v>200000</v>
      </c>
      <c r="O166" s="317"/>
      <c r="P166" s="131"/>
      <c r="Q166" s="131"/>
      <c r="R166" s="131"/>
      <c r="S166" s="131">
        <v>108000</v>
      </c>
      <c r="T166" s="386">
        <v>108000</v>
      </c>
      <c r="U166" s="317">
        <f t="shared" si="35"/>
        <v>508000</v>
      </c>
      <c r="V166" s="364"/>
      <c r="W166" s="364"/>
      <c r="X166" s="364"/>
      <c r="Y166" s="364"/>
      <c r="Z166" s="67" t="s">
        <v>229</v>
      </c>
      <c r="AB166" s="129">
        <f t="shared" ref="AB166:AB184" si="36">SUM(U166:Y166)</f>
        <v>508000</v>
      </c>
      <c r="AC166" s="129">
        <f t="shared" si="29"/>
        <v>0</v>
      </c>
    </row>
    <row r="167" spans="1:29" ht="24" customHeight="1" x14ac:dyDescent="0.2">
      <c r="A167" s="363" t="s">
        <v>481</v>
      </c>
      <c r="B167" s="118" t="s">
        <v>531</v>
      </c>
      <c r="C167" s="754" t="s">
        <v>532</v>
      </c>
      <c r="D167" s="712"/>
      <c r="E167" s="779">
        <f t="shared" si="31"/>
        <v>635000</v>
      </c>
      <c r="F167" s="779">
        <f t="shared" si="32"/>
        <v>635000</v>
      </c>
      <c r="G167" s="131"/>
      <c r="H167" s="131"/>
      <c r="I167" s="131"/>
      <c r="J167" s="131"/>
      <c r="K167" s="131">
        <v>500000</v>
      </c>
      <c r="L167" s="131">
        <v>500000</v>
      </c>
      <c r="M167" s="131"/>
      <c r="N167" s="386"/>
      <c r="O167" s="317"/>
      <c r="P167" s="131"/>
      <c r="Q167" s="131"/>
      <c r="R167" s="131"/>
      <c r="S167" s="131">
        <v>135000</v>
      </c>
      <c r="T167" s="386">
        <v>135000</v>
      </c>
      <c r="U167" s="317">
        <f t="shared" si="35"/>
        <v>635000</v>
      </c>
      <c r="V167" s="364"/>
      <c r="W167" s="364"/>
      <c r="X167" s="364"/>
      <c r="Y167" s="364"/>
      <c r="Z167" s="67" t="s">
        <v>229</v>
      </c>
      <c r="AB167" s="129">
        <f t="shared" si="36"/>
        <v>635000</v>
      </c>
      <c r="AC167" s="129">
        <f t="shared" si="29"/>
        <v>0</v>
      </c>
    </row>
    <row r="168" spans="1:29" ht="25.15" customHeight="1" x14ac:dyDescent="0.2">
      <c r="A168" s="363" t="s">
        <v>152</v>
      </c>
      <c r="B168" s="118" t="s">
        <v>168</v>
      </c>
      <c r="C168" s="754" t="s">
        <v>170</v>
      </c>
      <c r="D168" s="712"/>
      <c r="E168" s="779">
        <f t="shared" si="31"/>
        <v>698500</v>
      </c>
      <c r="F168" s="779">
        <f t="shared" si="32"/>
        <v>698500</v>
      </c>
      <c r="G168" s="131"/>
      <c r="H168" s="131"/>
      <c r="I168" s="131"/>
      <c r="J168" s="131"/>
      <c r="K168" s="131">
        <v>250000</v>
      </c>
      <c r="L168" s="131">
        <v>250000</v>
      </c>
      <c r="M168" s="131">
        <v>300000</v>
      </c>
      <c r="N168" s="386">
        <v>300000</v>
      </c>
      <c r="O168" s="317"/>
      <c r="P168" s="131"/>
      <c r="Q168" s="131"/>
      <c r="R168" s="131"/>
      <c r="S168" s="131">
        <v>148500</v>
      </c>
      <c r="T168" s="386">
        <v>148500</v>
      </c>
      <c r="U168" s="317">
        <f t="shared" si="35"/>
        <v>698500</v>
      </c>
      <c r="V168" s="364"/>
      <c r="W168" s="364"/>
      <c r="X168" s="364"/>
      <c r="Y168" s="364"/>
      <c r="Z168" s="67" t="s">
        <v>228</v>
      </c>
      <c r="AA168" s="9" t="e">
        <f>+U168+V168+X168+#REF!</f>
        <v>#REF!</v>
      </c>
      <c r="AB168" s="129">
        <f t="shared" si="36"/>
        <v>698500</v>
      </c>
      <c r="AC168" s="129">
        <f t="shared" si="29"/>
        <v>0</v>
      </c>
    </row>
    <row r="169" spans="1:29" ht="24.75" customHeight="1" x14ac:dyDescent="0.2">
      <c r="A169" s="363" t="s">
        <v>65</v>
      </c>
      <c r="B169" s="118" t="s">
        <v>169</v>
      </c>
      <c r="C169" s="754" t="s">
        <v>2312</v>
      </c>
      <c r="D169" s="712"/>
      <c r="E169" s="779">
        <f t="shared" si="31"/>
        <v>254000</v>
      </c>
      <c r="F169" s="779">
        <f t="shared" si="32"/>
        <v>346342</v>
      </c>
      <c r="G169" s="131"/>
      <c r="H169" s="131"/>
      <c r="I169" s="131"/>
      <c r="J169" s="131"/>
      <c r="K169" s="131"/>
      <c r="L169" s="131">
        <f>86606+16528</f>
        <v>103134</v>
      </c>
      <c r="M169" s="131">
        <v>200000</v>
      </c>
      <c r="N169" s="386">
        <f>200000-16528-1425</f>
        <v>182047</v>
      </c>
      <c r="O169" s="317"/>
      <c r="P169" s="131"/>
      <c r="Q169" s="131"/>
      <c r="R169" s="131"/>
      <c r="S169" s="131">
        <v>54000</v>
      </c>
      <c r="T169" s="386">
        <f>54000+5736+1425</f>
        <v>61161</v>
      </c>
      <c r="U169" s="317">
        <f>+F169</f>
        <v>346342</v>
      </c>
      <c r="V169" s="364"/>
      <c r="W169" s="364"/>
      <c r="X169" s="364"/>
      <c r="Y169" s="364"/>
      <c r="Z169" s="67" t="s">
        <v>228</v>
      </c>
      <c r="AA169" s="9" t="e">
        <f>+U169+V169+X169+#REF!</f>
        <v>#REF!</v>
      </c>
      <c r="AB169" s="129">
        <f t="shared" si="36"/>
        <v>346342</v>
      </c>
      <c r="AC169" s="129">
        <f t="shared" si="29"/>
        <v>92342</v>
      </c>
    </row>
    <row r="170" spans="1:29" ht="29.25" customHeight="1" x14ac:dyDescent="0.2">
      <c r="A170" s="363" t="s">
        <v>66</v>
      </c>
      <c r="B170" s="118" t="s">
        <v>573</v>
      </c>
      <c r="C170" s="754" t="s">
        <v>172</v>
      </c>
      <c r="D170" s="712"/>
      <c r="E170" s="779">
        <f t="shared" si="31"/>
        <v>0</v>
      </c>
      <c r="F170" s="779">
        <f t="shared" si="32"/>
        <v>0</v>
      </c>
      <c r="G170" s="131"/>
      <c r="H170" s="131"/>
      <c r="I170" s="131"/>
      <c r="J170" s="131"/>
      <c r="K170" s="131"/>
      <c r="L170" s="131"/>
      <c r="M170" s="131"/>
      <c r="N170" s="386"/>
      <c r="O170" s="317"/>
      <c r="P170" s="131"/>
      <c r="Q170" s="131"/>
      <c r="R170" s="131"/>
      <c r="S170" s="131"/>
      <c r="T170" s="386"/>
      <c r="U170" s="317">
        <f t="shared" si="35"/>
        <v>0</v>
      </c>
      <c r="V170" s="364"/>
      <c r="W170" s="364"/>
      <c r="X170" s="364"/>
      <c r="Y170" s="364"/>
      <c r="Z170" s="67" t="s">
        <v>228</v>
      </c>
      <c r="AA170" s="9" t="e">
        <f>+U170+V170+X170+#REF!</f>
        <v>#REF!</v>
      </c>
      <c r="AB170" s="129">
        <f t="shared" si="36"/>
        <v>0</v>
      </c>
      <c r="AC170" s="129">
        <f t="shared" si="29"/>
        <v>0</v>
      </c>
    </row>
    <row r="171" spans="1:29" ht="29.25" customHeight="1" x14ac:dyDescent="0.2">
      <c r="A171" s="363" t="s">
        <v>153</v>
      </c>
      <c r="B171" s="118" t="s">
        <v>573</v>
      </c>
      <c r="C171" s="754" t="s">
        <v>1269</v>
      </c>
      <c r="D171" s="712"/>
      <c r="E171" s="779">
        <f t="shared" si="31"/>
        <v>508000</v>
      </c>
      <c r="F171" s="779">
        <f t="shared" si="32"/>
        <v>716280</v>
      </c>
      <c r="G171" s="131"/>
      <c r="H171" s="131"/>
      <c r="I171" s="131"/>
      <c r="J171" s="131"/>
      <c r="K171" s="131"/>
      <c r="L171" s="131">
        <v>116528</v>
      </c>
      <c r="M171" s="131">
        <v>400000</v>
      </c>
      <c r="N171" s="386">
        <f>400000-116528+164000</f>
        <v>447472</v>
      </c>
      <c r="O171" s="317"/>
      <c r="P171" s="131"/>
      <c r="Q171" s="131"/>
      <c r="R171" s="131"/>
      <c r="S171" s="131">
        <v>108000</v>
      </c>
      <c r="T171" s="386">
        <f>108000+44280</f>
        <v>152280</v>
      </c>
      <c r="U171" s="317">
        <f>+F171</f>
        <v>716280</v>
      </c>
      <c r="V171" s="364"/>
      <c r="W171" s="364"/>
      <c r="X171" s="364"/>
      <c r="Y171" s="364"/>
      <c r="Z171" s="67" t="s">
        <v>228</v>
      </c>
      <c r="AA171" s="9" t="e">
        <f>+U171+V171+X171+#REF!</f>
        <v>#REF!</v>
      </c>
      <c r="AB171" s="129">
        <f t="shared" si="36"/>
        <v>716280</v>
      </c>
      <c r="AC171" s="129">
        <f t="shared" si="29"/>
        <v>208280</v>
      </c>
    </row>
    <row r="172" spans="1:29" ht="29.25" customHeight="1" x14ac:dyDescent="0.2">
      <c r="A172" s="363" t="s">
        <v>154</v>
      </c>
      <c r="B172" s="118" t="s">
        <v>573</v>
      </c>
      <c r="C172" s="754" t="s">
        <v>173</v>
      </c>
      <c r="D172" s="712"/>
      <c r="E172" s="779">
        <f t="shared" si="31"/>
        <v>0</v>
      </c>
      <c r="F172" s="779">
        <f t="shared" si="32"/>
        <v>0</v>
      </c>
      <c r="G172" s="131"/>
      <c r="H172" s="131"/>
      <c r="I172" s="131"/>
      <c r="J172" s="131"/>
      <c r="K172" s="131"/>
      <c r="L172" s="131"/>
      <c r="M172" s="131"/>
      <c r="N172" s="386"/>
      <c r="O172" s="317"/>
      <c r="P172" s="131"/>
      <c r="Q172" s="131"/>
      <c r="R172" s="131"/>
      <c r="S172" s="131"/>
      <c r="T172" s="386"/>
      <c r="U172" s="317">
        <f t="shared" si="35"/>
        <v>0</v>
      </c>
      <c r="V172" s="364"/>
      <c r="W172" s="364"/>
      <c r="X172" s="364"/>
      <c r="Y172" s="364"/>
      <c r="Z172" s="67" t="s">
        <v>228</v>
      </c>
      <c r="AA172" s="9" t="e">
        <f>+U172+V172+X172+#REF!</f>
        <v>#REF!</v>
      </c>
      <c r="AB172" s="129">
        <f t="shared" si="36"/>
        <v>0</v>
      </c>
      <c r="AC172" s="129">
        <f t="shared" si="29"/>
        <v>0</v>
      </c>
    </row>
    <row r="173" spans="1:29" ht="22.5" customHeight="1" x14ac:dyDescent="0.2">
      <c r="A173" s="363" t="s">
        <v>165</v>
      </c>
      <c r="B173" s="367" t="s">
        <v>574</v>
      </c>
      <c r="C173" s="754" t="s">
        <v>174</v>
      </c>
      <c r="D173" s="712"/>
      <c r="E173" s="779">
        <f t="shared" si="31"/>
        <v>0</v>
      </c>
      <c r="F173" s="779">
        <f t="shared" si="32"/>
        <v>0</v>
      </c>
      <c r="G173" s="131"/>
      <c r="H173" s="131"/>
      <c r="I173" s="131"/>
      <c r="J173" s="131"/>
      <c r="K173" s="131"/>
      <c r="L173" s="131"/>
      <c r="M173" s="131"/>
      <c r="N173" s="386"/>
      <c r="O173" s="317"/>
      <c r="P173" s="131"/>
      <c r="Q173" s="131"/>
      <c r="R173" s="131"/>
      <c r="S173" s="131"/>
      <c r="T173" s="386"/>
      <c r="U173" s="317">
        <f t="shared" si="35"/>
        <v>0</v>
      </c>
      <c r="V173" s="364"/>
      <c r="W173" s="364"/>
      <c r="X173" s="364"/>
      <c r="Y173" s="364"/>
      <c r="Z173" s="67" t="s">
        <v>228</v>
      </c>
      <c r="AA173" s="9" t="e">
        <f>+U173+V173+X173+#REF!</f>
        <v>#REF!</v>
      </c>
      <c r="AB173" s="129">
        <f t="shared" si="36"/>
        <v>0</v>
      </c>
      <c r="AC173" s="129">
        <f t="shared" si="29"/>
        <v>0</v>
      </c>
    </row>
    <row r="174" spans="1:29" ht="24.75" customHeight="1" x14ac:dyDescent="0.2">
      <c r="A174" s="363" t="s">
        <v>150</v>
      </c>
      <c r="B174" s="118" t="s">
        <v>175</v>
      </c>
      <c r="C174" s="754" t="s">
        <v>615</v>
      </c>
      <c r="D174" s="712"/>
      <c r="E174" s="779">
        <f t="shared" si="31"/>
        <v>2222500</v>
      </c>
      <c r="F174" s="779">
        <f t="shared" si="32"/>
        <v>2563288</v>
      </c>
      <c r="G174" s="131">
        <v>100000</v>
      </c>
      <c r="H174" s="131">
        <v>100000</v>
      </c>
      <c r="I174" s="131"/>
      <c r="J174" s="131"/>
      <c r="K174" s="131">
        <v>650000</v>
      </c>
      <c r="L174" s="131">
        <f>650000+149528-149528</f>
        <v>650000</v>
      </c>
      <c r="M174" s="131">
        <v>1000000</v>
      </c>
      <c r="N174" s="386">
        <f>1000000+106299-106299+268337</f>
        <v>1268337</v>
      </c>
      <c r="O174" s="317"/>
      <c r="P174" s="131"/>
      <c r="Q174" s="131"/>
      <c r="R174" s="131"/>
      <c r="S174" s="131">
        <v>472500</v>
      </c>
      <c r="T174" s="386">
        <f>472500+69074-69074+72451</f>
        <v>544951</v>
      </c>
      <c r="U174" s="317">
        <f>+F174</f>
        <v>2563288</v>
      </c>
      <c r="V174" s="364"/>
      <c r="W174" s="364"/>
      <c r="X174" s="364"/>
      <c r="Y174" s="364"/>
      <c r="Z174" s="67" t="s">
        <v>228</v>
      </c>
      <c r="AA174" s="9" t="e">
        <f>+U174+V174+X174+#REF!</f>
        <v>#REF!</v>
      </c>
      <c r="AB174" s="129">
        <f t="shared" si="36"/>
        <v>2563288</v>
      </c>
      <c r="AC174" s="129">
        <f t="shared" si="29"/>
        <v>340788</v>
      </c>
    </row>
    <row r="175" spans="1:29" ht="33" customHeight="1" x14ac:dyDescent="0.2">
      <c r="A175" s="363" t="s">
        <v>133</v>
      </c>
      <c r="B175" s="118" t="s">
        <v>1275</v>
      </c>
      <c r="C175" s="754" t="s">
        <v>1416</v>
      </c>
      <c r="D175" s="712"/>
      <c r="E175" s="779">
        <f t="shared" si="31"/>
        <v>340528</v>
      </c>
      <c r="F175" s="779">
        <f t="shared" si="32"/>
        <v>436247</v>
      </c>
      <c r="G175" s="131"/>
      <c r="H175" s="131"/>
      <c r="I175" s="131"/>
      <c r="J175" s="131"/>
      <c r="K175" s="131">
        <v>268132</v>
      </c>
      <c r="L175" s="131">
        <f>268132-255827+149528-1075-4</f>
        <v>160754</v>
      </c>
      <c r="M175" s="131"/>
      <c r="N175" s="386">
        <f>106299+78835</f>
        <v>185134</v>
      </c>
      <c r="O175" s="317"/>
      <c r="P175" s="131"/>
      <c r="Q175" s="131"/>
      <c r="R175" s="131"/>
      <c r="S175" s="131">
        <v>72396</v>
      </c>
      <c r="T175" s="386">
        <f>72396-69074+69074-290+18253</f>
        <v>90359</v>
      </c>
      <c r="U175" s="317">
        <f>+F175</f>
        <v>436247</v>
      </c>
      <c r="V175" s="364"/>
      <c r="W175" s="364"/>
      <c r="X175" s="364"/>
      <c r="Y175" s="364"/>
      <c r="Z175" s="67" t="s">
        <v>228</v>
      </c>
      <c r="AB175" s="129"/>
      <c r="AC175" s="129"/>
    </row>
    <row r="176" spans="1:29" ht="24.75" customHeight="1" x14ac:dyDescent="0.2">
      <c r="A176" s="363" t="s">
        <v>90</v>
      </c>
      <c r="B176" s="118" t="s">
        <v>575</v>
      </c>
      <c r="C176" s="754" t="s">
        <v>616</v>
      </c>
      <c r="D176" s="712"/>
      <c r="E176" s="779">
        <f t="shared" si="31"/>
        <v>1130300</v>
      </c>
      <c r="F176" s="779">
        <f t="shared" si="32"/>
        <v>2235200</v>
      </c>
      <c r="G176" s="131">
        <v>100000</v>
      </c>
      <c r="H176" s="131">
        <f>100000-27893</f>
        <v>72107</v>
      </c>
      <c r="I176" s="131"/>
      <c r="J176" s="131"/>
      <c r="K176" s="131">
        <v>440000</v>
      </c>
      <c r="L176" s="131">
        <f>440000-50744-71048</f>
        <v>318208</v>
      </c>
      <c r="M176" s="131">
        <v>350000</v>
      </c>
      <c r="N176" s="386">
        <f>350000+360000+50744+510000+27893+71048</f>
        <v>1369685</v>
      </c>
      <c r="O176" s="317"/>
      <c r="P176" s="131"/>
      <c r="Q176" s="131"/>
      <c r="R176" s="131"/>
      <c r="S176" s="131">
        <v>240300</v>
      </c>
      <c r="T176" s="386">
        <f>240300+97200+137700</f>
        <v>475200</v>
      </c>
      <c r="U176" s="317">
        <f>+F176</f>
        <v>2235200</v>
      </c>
      <c r="V176" s="364"/>
      <c r="W176" s="364"/>
      <c r="X176" s="364"/>
      <c r="Y176" s="364"/>
      <c r="Z176" s="67" t="s">
        <v>228</v>
      </c>
      <c r="AA176" s="9" t="e">
        <f>+U176+V176+X176+#REF!</f>
        <v>#REF!</v>
      </c>
      <c r="AB176" s="129">
        <f t="shared" si="36"/>
        <v>2235200</v>
      </c>
      <c r="AC176" s="129">
        <f t="shared" si="29"/>
        <v>1104900</v>
      </c>
    </row>
    <row r="177" spans="1:30" ht="31.5" customHeight="1" x14ac:dyDescent="0.2">
      <c r="A177" s="363" t="s">
        <v>131</v>
      </c>
      <c r="B177" s="118" t="s">
        <v>575</v>
      </c>
      <c r="C177" s="754" t="s">
        <v>1417</v>
      </c>
      <c r="D177" s="712"/>
      <c r="E177" s="779">
        <f t="shared" si="31"/>
        <v>5148517</v>
      </c>
      <c r="F177" s="779">
        <f t="shared" si="32"/>
        <v>5148517</v>
      </c>
      <c r="G177" s="131">
        <v>25000</v>
      </c>
      <c r="H177" s="131">
        <f>25000-19685</f>
        <v>5315</v>
      </c>
      <c r="I177" s="131"/>
      <c r="J177" s="131"/>
      <c r="K177" s="131">
        <v>150000</v>
      </c>
      <c r="L177" s="131">
        <f>150000+200000+19685</f>
        <v>369685</v>
      </c>
      <c r="M177" s="131">
        <f>+(1400000)+2478951</f>
        <v>3878951</v>
      </c>
      <c r="N177" s="386">
        <f>+(1400000)+2478951-200000</f>
        <v>3678951</v>
      </c>
      <c r="O177" s="317"/>
      <c r="P177" s="131"/>
      <c r="Q177" s="131"/>
      <c r="R177" s="131"/>
      <c r="S177" s="131">
        <f>+(425250)+669316</f>
        <v>1094566</v>
      </c>
      <c r="T177" s="386">
        <f>+(425250)+669316</f>
        <v>1094566</v>
      </c>
      <c r="U177" s="317">
        <f t="shared" si="35"/>
        <v>5148517</v>
      </c>
      <c r="V177" s="364"/>
      <c r="W177" s="364"/>
      <c r="X177" s="364"/>
      <c r="Y177" s="364"/>
      <c r="Z177" s="67" t="s">
        <v>228</v>
      </c>
      <c r="AB177" s="129">
        <f t="shared" si="36"/>
        <v>5148517</v>
      </c>
      <c r="AC177" s="129">
        <f t="shared" si="29"/>
        <v>0</v>
      </c>
    </row>
    <row r="178" spans="1:30" ht="25.5" customHeight="1" x14ac:dyDescent="0.2">
      <c r="A178" s="365" t="s">
        <v>150</v>
      </c>
      <c r="B178" s="367" t="s">
        <v>658</v>
      </c>
      <c r="C178" s="754" t="s">
        <v>659</v>
      </c>
      <c r="D178" s="712"/>
      <c r="E178" s="779">
        <f t="shared" si="31"/>
        <v>127000</v>
      </c>
      <c r="F178" s="779">
        <f t="shared" si="32"/>
        <v>127000</v>
      </c>
      <c r="G178" s="131"/>
      <c r="H178" s="131"/>
      <c r="I178" s="131"/>
      <c r="J178" s="131"/>
      <c r="K178" s="131"/>
      <c r="L178" s="131"/>
      <c r="M178" s="131">
        <v>100000</v>
      </c>
      <c r="N178" s="386">
        <v>100000</v>
      </c>
      <c r="O178" s="317"/>
      <c r="P178" s="131"/>
      <c r="Q178" s="131"/>
      <c r="R178" s="131"/>
      <c r="S178" s="131">
        <v>27000</v>
      </c>
      <c r="T178" s="386">
        <v>27000</v>
      </c>
      <c r="U178" s="317">
        <f t="shared" si="35"/>
        <v>127000</v>
      </c>
      <c r="V178" s="364"/>
      <c r="W178" s="364"/>
      <c r="X178" s="364"/>
      <c r="Y178" s="364"/>
      <c r="Z178" s="67" t="s">
        <v>229</v>
      </c>
      <c r="AB178" s="129">
        <f t="shared" si="36"/>
        <v>127000</v>
      </c>
      <c r="AC178" s="129">
        <f t="shared" si="29"/>
        <v>0</v>
      </c>
    </row>
    <row r="179" spans="1:30" ht="24.75" customHeight="1" x14ac:dyDescent="0.2">
      <c r="A179" s="363" t="s">
        <v>90</v>
      </c>
      <c r="B179" s="118" t="s">
        <v>164</v>
      </c>
      <c r="C179" s="754" t="s">
        <v>576</v>
      </c>
      <c r="D179" s="712"/>
      <c r="E179" s="779">
        <f t="shared" si="31"/>
        <v>1524000</v>
      </c>
      <c r="F179" s="779">
        <f t="shared" si="32"/>
        <v>1524000</v>
      </c>
      <c r="G179" s="131"/>
      <c r="H179" s="131"/>
      <c r="I179" s="131"/>
      <c r="J179" s="131"/>
      <c r="K179" s="131">
        <v>700000</v>
      </c>
      <c r="L179" s="131">
        <v>700000</v>
      </c>
      <c r="M179" s="131">
        <v>500000</v>
      </c>
      <c r="N179" s="386">
        <v>500000</v>
      </c>
      <c r="O179" s="317"/>
      <c r="P179" s="131"/>
      <c r="Q179" s="131"/>
      <c r="R179" s="131"/>
      <c r="S179" s="131">
        <v>324000</v>
      </c>
      <c r="T179" s="386">
        <v>324000</v>
      </c>
      <c r="U179" s="317">
        <f>+E179</f>
        <v>1524000</v>
      </c>
      <c r="V179" s="364"/>
      <c r="W179" s="364"/>
      <c r="X179" s="364"/>
      <c r="Y179" s="364"/>
      <c r="Z179" s="67" t="s">
        <v>228</v>
      </c>
      <c r="AA179" s="9" t="e">
        <f>+U179+V179+X179+#REF!</f>
        <v>#REF!</v>
      </c>
      <c r="AB179" s="129">
        <f t="shared" si="36"/>
        <v>1524000</v>
      </c>
      <c r="AC179" s="129">
        <f t="shared" si="29"/>
        <v>0</v>
      </c>
    </row>
    <row r="180" spans="1:30" ht="24.75" customHeight="1" x14ac:dyDescent="0.2">
      <c r="A180" s="363" t="s">
        <v>150</v>
      </c>
      <c r="B180" s="118" t="s">
        <v>854</v>
      </c>
      <c r="C180" s="754" t="s">
        <v>576</v>
      </c>
      <c r="D180" s="712"/>
      <c r="E180" s="779">
        <f t="shared" si="31"/>
        <v>127000</v>
      </c>
      <c r="F180" s="779">
        <f t="shared" si="32"/>
        <v>127000</v>
      </c>
      <c r="G180" s="131"/>
      <c r="H180" s="131"/>
      <c r="I180" s="131"/>
      <c r="J180" s="131"/>
      <c r="K180" s="131"/>
      <c r="L180" s="131"/>
      <c r="M180" s="131">
        <v>100000</v>
      </c>
      <c r="N180" s="386">
        <v>100000</v>
      </c>
      <c r="O180" s="317"/>
      <c r="P180" s="131"/>
      <c r="Q180" s="131"/>
      <c r="R180" s="131"/>
      <c r="S180" s="131">
        <v>27000</v>
      </c>
      <c r="T180" s="386">
        <v>27000</v>
      </c>
      <c r="U180" s="317">
        <f>+E180</f>
        <v>127000</v>
      </c>
      <c r="V180" s="364"/>
      <c r="W180" s="364"/>
      <c r="X180" s="364"/>
      <c r="Y180" s="364"/>
      <c r="Z180" s="67" t="s">
        <v>228</v>
      </c>
      <c r="AB180" s="129"/>
      <c r="AC180" s="129"/>
    </row>
    <row r="181" spans="1:30" ht="24.75" customHeight="1" x14ac:dyDescent="0.2">
      <c r="A181" s="363" t="s">
        <v>151</v>
      </c>
      <c r="B181" s="119">
        <v>104042</v>
      </c>
      <c r="C181" s="754" t="s">
        <v>577</v>
      </c>
      <c r="D181" s="712"/>
      <c r="E181" s="779">
        <f t="shared" si="31"/>
        <v>0</v>
      </c>
      <c r="F181" s="779">
        <f t="shared" si="32"/>
        <v>0</v>
      </c>
      <c r="G181" s="131"/>
      <c r="H181" s="131"/>
      <c r="I181" s="131"/>
      <c r="J181" s="131"/>
      <c r="K181" s="131"/>
      <c r="L181" s="131"/>
      <c r="M181" s="131"/>
      <c r="N181" s="386"/>
      <c r="O181" s="317"/>
      <c r="P181" s="131"/>
      <c r="Q181" s="131"/>
      <c r="R181" s="131"/>
      <c r="S181" s="131"/>
      <c r="T181" s="386"/>
      <c r="U181" s="317">
        <f>E181</f>
        <v>0</v>
      </c>
      <c r="V181" s="364"/>
      <c r="W181" s="364"/>
      <c r="X181" s="364"/>
      <c r="Y181" s="364"/>
      <c r="Z181" s="67" t="s">
        <v>228</v>
      </c>
      <c r="AB181" s="129"/>
      <c r="AC181" s="129"/>
    </row>
    <row r="182" spans="1:30" ht="24.75" customHeight="1" x14ac:dyDescent="0.2">
      <c r="A182" s="366" t="s">
        <v>132</v>
      </c>
      <c r="B182" s="732">
        <v>104042</v>
      </c>
      <c r="C182" s="1272" t="s">
        <v>910</v>
      </c>
      <c r="D182" s="711"/>
      <c r="E182" s="792">
        <f t="shared" si="31"/>
        <v>200000</v>
      </c>
      <c r="F182" s="792">
        <f t="shared" si="32"/>
        <v>200000</v>
      </c>
      <c r="G182" s="141"/>
      <c r="H182" s="141"/>
      <c r="I182" s="141"/>
      <c r="J182" s="141"/>
      <c r="K182" s="141"/>
      <c r="L182" s="141"/>
      <c r="M182" s="141">
        <v>157480</v>
      </c>
      <c r="N182" s="700">
        <v>157480</v>
      </c>
      <c r="O182" s="368"/>
      <c r="P182" s="141"/>
      <c r="Q182" s="141"/>
      <c r="R182" s="141"/>
      <c r="S182" s="141">
        <v>42520</v>
      </c>
      <c r="T182" s="700">
        <v>42520</v>
      </c>
      <c r="U182" s="368">
        <f>E182</f>
        <v>200000</v>
      </c>
      <c r="V182" s="369"/>
      <c r="W182" s="369"/>
      <c r="X182" s="369"/>
      <c r="Y182" s="369"/>
      <c r="Z182" s="65" t="s">
        <v>228</v>
      </c>
      <c r="AA182" s="9" t="e">
        <f>+U182+V182+X182+#REF!</f>
        <v>#REF!</v>
      </c>
      <c r="AB182" s="129">
        <f t="shared" si="36"/>
        <v>200000</v>
      </c>
      <c r="AC182" s="129">
        <f>+AB182-E182</f>
        <v>0</v>
      </c>
    </row>
    <row r="183" spans="1:30" ht="19.5" customHeight="1" x14ac:dyDescent="0.2">
      <c r="A183" s="637" t="s">
        <v>26</v>
      </c>
      <c r="B183" s="638"/>
      <c r="C183" s="638"/>
      <c r="D183" s="715"/>
      <c r="E183" s="329">
        <f>+E144</f>
        <v>60859015</v>
      </c>
      <c r="F183" s="329">
        <f t="shared" ref="F183:Y183" si="37">+F144</f>
        <v>93657133</v>
      </c>
      <c r="G183" s="329">
        <f t="shared" si="37"/>
        <v>1525000</v>
      </c>
      <c r="H183" s="329">
        <f t="shared" si="37"/>
        <v>1477422</v>
      </c>
      <c r="I183" s="329">
        <f t="shared" si="37"/>
        <v>0</v>
      </c>
      <c r="J183" s="329">
        <f t="shared" si="37"/>
        <v>0</v>
      </c>
      <c r="K183" s="329">
        <f t="shared" si="37"/>
        <v>13292132</v>
      </c>
      <c r="L183" s="329">
        <f t="shared" si="37"/>
        <v>13444328</v>
      </c>
      <c r="M183" s="329">
        <f t="shared" si="37"/>
        <v>33252171</v>
      </c>
      <c r="N183" s="639">
        <f t="shared" si="37"/>
        <v>59112548</v>
      </c>
      <c r="O183" s="636">
        <f t="shared" si="37"/>
        <v>0</v>
      </c>
      <c r="P183" s="329">
        <f t="shared" si="37"/>
        <v>0</v>
      </c>
      <c r="Q183" s="329">
        <f t="shared" si="37"/>
        <v>0</v>
      </c>
      <c r="R183" s="329">
        <f t="shared" si="37"/>
        <v>0</v>
      </c>
      <c r="S183" s="329">
        <f t="shared" si="37"/>
        <v>12789712</v>
      </c>
      <c r="T183" s="639">
        <f t="shared" si="37"/>
        <v>19622835</v>
      </c>
      <c r="U183" s="636">
        <f t="shared" si="37"/>
        <v>93657133</v>
      </c>
      <c r="V183" s="329">
        <f t="shared" si="37"/>
        <v>0</v>
      </c>
      <c r="W183" s="329">
        <f t="shared" si="37"/>
        <v>0</v>
      </c>
      <c r="X183" s="329">
        <f t="shared" si="37"/>
        <v>0</v>
      </c>
      <c r="Y183" s="329">
        <f t="shared" si="37"/>
        <v>0</v>
      </c>
      <c r="Z183" s="780"/>
      <c r="AA183" s="9" t="e">
        <f>+U183+V183+X183+#REF!</f>
        <v>#REF!</v>
      </c>
      <c r="AB183" s="129">
        <f t="shared" si="36"/>
        <v>93657133</v>
      </c>
      <c r="AC183" s="129">
        <f>+AB183-E183</f>
        <v>32798118</v>
      </c>
      <c r="AD183" s="10"/>
    </row>
    <row r="184" spans="1:30" ht="30.75" customHeight="1" x14ac:dyDescent="0.25">
      <c r="A184" s="783" t="s">
        <v>29</v>
      </c>
      <c r="B184" s="784"/>
      <c r="C184" s="640"/>
      <c r="D184" s="716"/>
      <c r="E184" s="641">
        <f>+E183+E143</f>
        <v>1834448550</v>
      </c>
      <c r="F184" s="641">
        <f>+F183+F143</f>
        <v>2057444045</v>
      </c>
      <c r="G184" s="641">
        <f t="shared" ref="G184:Y184" si="38">+G183+G143</f>
        <v>2635000</v>
      </c>
      <c r="H184" s="641">
        <f t="shared" si="38"/>
        <v>2587422</v>
      </c>
      <c r="I184" s="641">
        <f t="shared" si="38"/>
        <v>1383876810</v>
      </c>
      <c r="J184" s="641">
        <f t="shared" si="38"/>
        <v>1727981380</v>
      </c>
      <c r="K184" s="641">
        <f t="shared" si="38"/>
        <v>13792132</v>
      </c>
      <c r="L184" s="641">
        <f t="shared" si="38"/>
        <v>14033769</v>
      </c>
      <c r="M184" s="641">
        <f t="shared" si="38"/>
        <v>59183890</v>
      </c>
      <c r="N184" s="642">
        <f t="shared" si="38"/>
        <v>121980075</v>
      </c>
      <c r="O184" s="643">
        <f t="shared" si="38"/>
        <v>0</v>
      </c>
      <c r="P184" s="641">
        <f t="shared" si="38"/>
        <v>0</v>
      </c>
      <c r="Q184" s="641">
        <f t="shared" si="38"/>
        <v>0</v>
      </c>
      <c r="R184" s="641">
        <f t="shared" si="38"/>
        <v>0</v>
      </c>
      <c r="S184" s="641">
        <f t="shared" si="38"/>
        <v>374960718</v>
      </c>
      <c r="T184" s="642">
        <f t="shared" si="38"/>
        <v>190861399</v>
      </c>
      <c r="U184" s="643">
        <f t="shared" si="38"/>
        <v>1368827016</v>
      </c>
      <c r="V184" s="641">
        <f t="shared" si="38"/>
        <v>41418264</v>
      </c>
      <c r="W184" s="641">
        <f>+W183+W143</f>
        <v>647198765</v>
      </c>
      <c r="X184" s="641">
        <f t="shared" si="38"/>
        <v>0</v>
      </c>
      <c r="Y184" s="641">
        <f t="shared" si="38"/>
        <v>885879500</v>
      </c>
      <c r="Z184" s="644"/>
      <c r="AA184" s="9" t="e">
        <f>+U184+V184+X184+#REF!</f>
        <v>#REF!</v>
      </c>
      <c r="AB184" s="129">
        <f t="shared" si="36"/>
        <v>2943323545</v>
      </c>
      <c r="AC184" s="129">
        <f>+AB184-E184</f>
        <v>1108874995</v>
      </c>
      <c r="AD184" s="11"/>
    </row>
    <row r="186" spans="1:30" x14ac:dyDescent="0.2">
      <c r="F186" s="14">
        <f>+U184+V184+W184+X184</f>
        <v>2057444045</v>
      </c>
    </row>
    <row r="187" spans="1:30" x14ac:dyDescent="0.2">
      <c r="E187" s="14">
        <f>+I184+M184+S184+G184+K184</f>
        <v>1834448550</v>
      </c>
      <c r="F187" s="14"/>
    </row>
    <row r="188" spans="1:30" x14ac:dyDescent="0.2">
      <c r="G188" s="14"/>
      <c r="W188" s="14">
        <f>SUM(U184:X184)</f>
        <v>2057444045</v>
      </c>
    </row>
    <row r="189" spans="1:30" x14ac:dyDescent="0.2">
      <c r="E189" s="14">
        <f>+'3. sz.Városi szintű összesen'!J16</f>
        <v>1834448550</v>
      </c>
      <c r="F189" s="14">
        <f>+'3. sz.Városi szintű összesen'!K16</f>
        <v>2057444045</v>
      </c>
    </row>
    <row r="190" spans="1:30" x14ac:dyDescent="0.2">
      <c r="E190" s="14">
        <f>+E184-E189</f>
        <v>0</v>
      </c>
      <c r="F190" s="14">
        <f>+F184-F189</f>
        <v>0</v>
      </c>
    </row>
    <row r="202" ht="13.5" customHeight="1" x14ac:dyDescent="0.2"/>
  </sheetData>
  <mergeCells count="30">
    <mergeCell ref="O1:Z1"/>
    <mergeCell ref="E1:N1"/>
    <mergeCell ref="A3:A5"/>
    <mergeCell ref="D3:D5"/>
    <mergeCell ref="U3:Z3"/>
    <mergeCell ref="U4:U6"/>
    <mergeCell ref="V4:V6"/>
    <mergeCell ref="W4:W6"/>
    <mergeCell ref="X4:X6"/>
    <mergeCell ref="Y4:Y6"/>
    <mergeCell ref="Q4:Q5"/>
    <mergeCell ref="A6:E6"/>
    <mergeCell ref="S4:S5"/>
    <mergeCell ref="G4:G5"/>
    <mergeCell ref="F4:F5"/>
    <mergeCell ref="H4:H5"/>
    <mergeCell ref="C3:C5"/>
    <mergeCell ref="B3:B5"/>
    <mergeCell ref="I4:I5"/>
    <mergeCell ref="M4:M5"/>
    <mergeCell ref="J4:J5"/>
    <mergeCell ref="L4:L5"/>
    <mergeCell ref="Z4:Z6"/>
    <mergeCell ref="K4:K5"/>
    <mergeCell ref="E4:E5"/>
    <mergeCell ref="O4:O5"/>
    <mergeCell ref="T4:T5"/>
    <mergeCell ref="N4:N5"/>
    <mergeCell ref="P4:P5"/>
    <mergeCell ref="R4:R5"/>
  </mergeCells>
  <phoneticPr fontId="45" type="noConversion"/>
  <printOptions horizontalCentered="1" verticalCentered="1"/>
  <pageMargins left="0.11811023622047245" right="0.11811023622047245" top="0.15748031496062992" bottom="0.15748031496062992" header="0.31496062992125984" footer="0.31496062992125984"/>
  <pageSetup paperSize="9" scale="40" orientation="landscape" r:id="rId1"/>
  <headerFooter>
    <oddHeader>&amp;C2022. évi költségvetés&amp;R&amp;A</oddHeader>
    <oddFooter>&amp;C&amp;P/&amp;N</oddFooter>
  </headerFooter>
  <rowBreaks count="6" manualBreakCount="6">
    <brk id="39" max="25" man="1"/>
    <brk id="49" max="25" man="1"/>
    <brk id="79" max="25" man="1"/>
    <brk id="99" max="25" man="1"/>
    <brk id="130" max="17" man="1"/>
    <brk id="158" max="17" man="1"/>
  </rowBreaks>
  <colBreaks count="1" manualBreakCount="1">
    <brk id="14" max="12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09"/>
  <sheetViews>
    <sheetView view="pageBreakPreview" zoomScale="80" zoomScaleNormal="80" zoomScaleSheetLayoutView="80" workbookViewId="0">
      <pane xSplit="4" ySplit="9" topLeftCell="E10" activePane="bottomRight" state="frozen"/>
      <selection pane="topRight" activeCell="E1" sqref="E1"/>
      <selection pane="bottomLeft" activeCell="A10" sqref="A10"/>
      <selection pane="bottomRight" activeCell="E36" sqref="E36"/>
    </sheetView>
  </sheetViews>
  <sheetFormatPr defaultColWidth="9.140625" defaultRowHeight="12.75" x14ac:dyDescent="0.2"/>
  <cols>
    <col min="1" max="1" width="6.5703125" style="9" customWidth="1"/>
    <col min="2" max="2" width="12" style="9" customWidth="1"/>
    <col min="3" max="3" width="60.7109375" style="9" customWidth="1"/>
    <col min="4" max="4" width="7.140625" style="9" customWidth="1"/>
    <col min="5" max="5" width="17.28515625" style="273" customWidth="1"/>
    <col min="6" max="6" width="17.7109375" style="273" customWidth="1"/>
    <col min="7" max="8" width="16.7109375" style="273" customWidth="1"/>
    <col min="9" max="10" width="16.5703125" style="273" customWidth="1"/>
    <col min="11" max="12" width="16.7109375" style="273" customWidth="1"/>
    <col min="13" max="14" width="16.28515625" style="273" customWidth="1"/>
    <col min="15" max="15" width="16.28515625" style="275" customWidth="1"/>
    <col min="16" max="18" width="13.5703125" style="273" customWidth="1"/>
    <col min="19" max="19" width="15.42578125" style="273" customWidth="1"/>
    <col min="20" max="20" width="14.5703125" style="273" customWidth="1"/>
    <col min="21" max="21" width="11.140625" style="273" customWidth="1"/>
    <col min="22" max="23" width="9.140625" style="273"/>
    <col min="24" max="25" width="13.7109375" style="273" bestFit="1" customWidth="1"/>
    <col min="26" max="16384" width="9.140625" style="273"/>
  </cols>
  <sheetData>
    <row r="1" spans="1:22" ht="37.5" customHeight="1" x14ac:dyDescent="0.2">
      <c r="A1" s="273"/>
      <c r="B1" s="273"/>
      <c r="C1" s="273"/>
      <c r="D1" s="791"/>
      <c r="E1" s="1778" t="s">
        <v>177</v>
      </c>
      <c r="F1" s="1778"/>
      <c r="G1" s="1778"/>
      <c r="H1" s="1778"/>
      <c r="I1" s="1778"/>
      <c r="J1" s="1778"/>
      <c r="K1" s="1778"/>
      <c r="L1" s="1778"/>
      <c r="M1" s="1778"/>
      <c r="N1" s="1778"/>
      <c r="O1" s="1778" t="s">
        <v>177</v>
      </c>
      <c r="P1" s="1778"/>
      <c r="Q1" s="1778"/>
      <c r="R1" s="1778"/>
      <c r="S1" s="1778"/>
      <c r="T1" s="1778"/>
    </row>
    <row r="2" spans="1:22" ht="20.25" customHeight="1" x14ac:dyDescent="0.25">
      <c r="A2" s="788"/>
      <c r="B2" s="788"/>
      <c r="C2" s="788"/>
      <c r="D2" s="788"/>
      <c r="E2" s="788"/>
      <c r="F2" s="788"/>
      <c r="G2" s="788"/>
      <c r="H2" s="788"/>
      <c r="I2" s="788"/>
      <c r="J2" s="788"/>
      <c r="K2" s="788"/>
      <c r="L2" s="788"/>
      <c r="M2" s="788"/>
      <c r="N2" s="1175" t="s">
        <v>444</v>
      </c>
      <c r="O2" s="788"/>
      <c r="P2" s="788"/>
      <c r="Q2" s="788"/>
      <c r="R2" s="788"/>
      <c r="S2" s="788"/>
      <c r="T2" s="1175" t="s">
        <v>444</v>
      </c>
    </row>
    <row r="3" spans="1:22" ht="37.5" customHeight="1" x14ac:dyDescent="0.2">
      <c r="A3" s="1779" t="s">
        <v>778</v>
      </c>
      <c r="B3" s="1775" t="s">
        <v>1</v>
      </c>
      <c r="C3" s="1792" t="s">
        <v>2</v>
      </c>
      <c r="D3" s="1795"/>
      <c r="E3" s="751" t="s">
        <v>279</v>
      </c>
      <c r="F3" s="1115" t="s">
        <v>1512</v>
      </c>
      <c r="G3" s="1115" t="s">
        <v>279</v>
      </c>
      <c r="H3" s="1115" t="s">
        <v>1512</v>
      </c>
      <c r="I3" s="1115" t="s">
        <v>279</v>
      </c>
      <c r="J3" s="1115" t="s">
        <v>1512</v>
      </c>
      <c r="K3" s="1115" t="s">
        <v>279</v>
      </c>
      <c r="L3" s="1115" t="s">
        <v>1512</v>
      </c>
      <c r="M3" s="1115" t="s">
        <v>279</v>
      </c>
      <c r="N3" s="1116" t="s">
        <v>1512</v>
      </c>
      <c r="O3" s="1802" t="s">
        <v>1358</v>
      </c>
      <c r="P3" s="1802"/>
      <c r="Q3" s="1802"/>
      <c r="R3" s="1802"/>
      <c r="S3" s="1802"/>
      <c r="T3" s="1803"/>
    </row>
    <row r="4" spans="1:22" ht="40.5" customHeight="1" x14ac:dyDescent="0.2">
      <c r="A4" s="1780"/>
      <c r="B4" s="1776"/>
      <c r="C4" s="1793"/>
      <c r="D4" s="1796"/>
      <c r="E4" s="1798" t="s">
        <v>1374</v>
      </c>
      <c r="F4" s="1788" t="s">
        <v>1374</v>
      </c>
      <c r="G4" s="1786" t="s">
        <v>111</v>
      </c>
      <c r="H4" s="1786" t="s">
        <v>111</v>
      </c>
      <c r="I4" s="1786" t="s">
        <v>110</v>
      </c>
      <c r="J4" s="1786" t="s">
        <v>110</v>
      </c>
      <c r="K4" s="1786" t="s">
        <v>6</v>
      </c>
      <c r="L4" s="1786" t="s">
        <v>6</v>
      </c>
      <c r="M4" s="1786" t="s">
        <v>7</v>
      </c>
      <c r="N4" s="1800" t="s">
        <v>7</v>
      </c>
      <c r="O4" s="1804" t="s">
        <v>1291</v>
      </c>
      <c r="P4" s="1807" t="s">
        <v>9</v>
      </c>
      <c r="Q4" s="1807" t="s">
        <v>183</v>
      </c>
      <c r="R4" s="1807" t="s">
        <v>10</v>
      </c>
      <c r="S4" s="1807" t="s">
        <v>649</v>
      </c>
      <c r="T4" s="1810" t="s">
        <v>11</v>
      </c>
    </row>
    <row r="5" spans="1:22" ht="54.75" customHeight="1" x14ac:dyDescent="0.2">
      <c r="A5" s="1781"/>
      <c r="B5" s="1777"/>
      <c r="C5" s="1794"/>
      <c r="D5" s="1797"/>
      <c r="E5" s="1799"/>
      <c r="F5" s="1789"/>
      <c r="G5" s="1787"/>
      <c r="H5" s="1787"/>
      <c r="I5" s="1787"/>
      <c r="J5" s="1787"/>
      <c r="K5" s="1787"/>
      <c r="L5" s="1787"/>
      <c r="M5" s="1787"/>
      <c r="N5" s="1801"/>
      <c r="O5" s="1805"/>
      <c r="P5" s="1808"/>
      <c r="Q5" s="1808"/>
      <c r="R5" s="1808"/>
      <c r="S5" s="1808"/>
      <c r="T5" s="1811"/>
    </row>
    <row r="6" spans="1:22" ht="19.5" customHeight="1" x14ac:dyDescent="0.2">
      <c r="A6" s="1736" t="s">
        <v>251</v>
      </c>
      <c r="B6" s="1737"/>
      <c r="C6" s="1737"/>
      <c r="D6" s="1737"/>
      <c r="E6" s="1737"/>
      <c r="F6" s="1573"/>
      <c r="G6" s="1573" t="s">
        <v>106</v>
      </c>
      <c r="H6" s="1573" t="s">
        <v>106</v>
      </c>
      <c r="I6" s="1573" t="s">
        <v>107</v>
      </c>
      <c r="J6" s="1573" t="s">
        <v>107</v>
      </c>
      <c r="K6" s="1573" t="s">
        <v>108</v>
      </c>
      <c r="L6" s="1573" t="s">
        <v>108</v>
      </c>
      <c r="M6" s="1573" t="s">
        <v>109</v>
      </c>
      <c r="N6" s="734" t="s">
        <v>109</v>
      </c>
      <c r="O6" s="1806"/>
      <c r="P6" s="1809"/>
      <c r="Q6" s="1809"/>
      <c r="R6" s="1809"/>
      <c r="S6" s="1809"/>
      <c r="T6" s="1812"/>
    </row>
    <row r="7" spans="1:22" ht="18.75" customHeight="1" x14ac:dyDescent="0.2">
      <c r="A7" s="1790" t="s">
        <v>105</v>
      </c>
      <c r="B7" s="1791"/>
      <c r="C7" s="1791"/>
      <c r="D7" s="1560"/>
      <c r="E7" s="276">
        <f>SUM(E8:E8)</f>
        <v>0</v>
      </c>
      <c r="F7" s="276">
        <f t="shared" ref="F7:T7" si="0">SUM(F8:F8)</f>
        <v>0</v>
      </c>
      <c r="G7" s="276">
        <f t="shared" si="0"/>
        <v>0</v>
      </c>
      <c r="H7" s="276">
        <f t="shared" si="0"/>
        <v>0</v>
      </c>
      <c r="I7" s="276">
        <f t="shared" si="0"/>
        <v>0</v>
      </c>
      <c r="J7" s="276">
        <f t="shared" si="0"/>
        <v>0</v>
      </c>
      <c r="K7" s="276">
        <f t="shared" si="0"/>
        <v>0</v>
      </c>
      <c r="L7" s="276">
        <f t="shared" si="0"/>
        <v>0</v>
      </c>
      <c r="M7" s="276">
        <f t="shared" si="0"/>
        <v>0</v>
      </c>
      <c r="N7" s="278">
        <f t="shared" si="0"/>
        <v>0</v>
      </c>
      <c r="O7" s="279">
        <f t="shared" si="0"/>
        <v>0</v>
      </c>
      <c r="P7" s="276">
        <f t="shared" si="0"/>
        <v>0</v>
      </c>
      <c r="Q7" s="276">
        <f t="shared" si="0"/>
        <v>0</v>
      </c>
      <c r="R7" s="276">
        <f t="shared" si="0"/>
        <v>0</v>
      </c>
      <c r="S7" s="276">
        <f t="shared" si="0"/>
        <v>0</v>
      </c>
      <c r="T7" s="278">
        <f t="shared" si="0"/>
        <v>0</v>
      </c>
      <c r="U7" s="273" t="e">
        <f>+O7+P7+R7+#REF!</f>
        <v>#REF!</v>
      </c>
      <c r="V7" s="273" t="e">
        <f>+E7-U7</f>
        <v>#REF!</v>
      </c>
    </row>
    <row r="8" spans="1:22" ht="28.5" customHeight="1" x14ac:dyDescent="0.2">
      <c r="A8" s="1559"/>
      <c r="B8" s="1560"/>
      <c r="C8" s="789"/>
      <c r="D8" s="1560"/>
      <c r="E8" s="276">
        <f>+G8+I8+K8+M8</f>
        <v>0</v>
      </c>
      <c r="F8" s="276">
        <f>+H8+J8+L8+N8</f>
        <v>0</v>
      </c>
      <c r="G8" s="276"/>
      <c r="H8" s="276"/>
      <c r="I8" s="276"/>
      <c r="J8" s="276"/>
      <c r="K8" s="276"/>
      <c r="L8" s="276"/>
      <c r="M8" s="276"/>
      <c r="N8" s="278"/>
      <c r="O8" s="1166">
        <f>E8</f>
        <v>0</v>
      </c>
      <c r="P8" s="790"/>
      <c r="Q8" s="790"/>
      <c r="R8" s="790"/>
      <c r="S8" s="790"/>
      <c r="T8" s="277"/>
      <c r="U8" s="273" t="e">
        <f>+O8+P8+R8+#REF!</f>
        <v>#REF!</v>
      </c>
      <c r="V8" s="273" t="e">
        <f>+E8-U8</f>
        <v>#REF!</v>
      </c>
    </row>
    <row r="9" spans="1:22" ht="20.25" customHeight="1" x14ac:dyDescent="0.2">
      <c r="A9" s="1790" t="s">
        <v>104</v>
      </c>
      <c r="B9" s="1791"/>
      <c r="C9" s="1791"/>
      <c r="D9" s="1561"/>
      <c r="E9" s="785">
        <f t="shared" ref="E9:Q9" si="1">SUM(E10:E37)</f>
        <v>227236267</v>
      </c>
      <c r="F9" s="785">
        <f t="shared" si="1"/>
        <v>174757458</v>
      </c>
      <c r="G9" s="785">
        <f t="shared" si="1"/>
        <v>178926194</v>
      </c>
      <c r="H9" s="785">
        <f t="shared" si="1"/>
        <v>137604297</v>
      </c>
      <c r="I9" s="785">
        <f t="shared" si="1"/>
        <v>0</v>
      </c>
      <c r="J9" s="785">
        <f t="shared" si="1"/>
        <v>0</v>
      </c>
      <c r="K9" s="785">
        <f t="shared" si="1"/>
        <v>0</v>
      </c>
      <c r="L9" s="785">
        <f t="shared" si="1"/>
        <v>0</v>
      </c>
      <c r="M9" s="785">
        <f t="shared" si="1"/>
        <v>48310073</v>
      </c>
      <c r="N9" s="1296">
        <f t="shared" si="1"/>
        <v>37153161</v>
      </c>
      <c r="O9" s="1295">
        <f t="shared" si="1"/>
        <v>170184455</v>
      </c>
      <c r="P9" s="785">
        <f t="shared" si="1"/>
        <v>0</v>
      </c>
      <c r="Q9" s="785">
        <f t="shared" si="1"/>
        <v>4573003</v>
      </c>
      <c r="R9" s="785">
        <f>SUM(R10:R36)</f>
        <v>0</v>
      </c>
      <c r="S9" s="785">
        <f>SUM(S10:S36)</f>
        <v>0</v>
      </c>
      <c r="T9" s="277"/>
      <c r="U9" s="273" t="e">
        <f>+O9+P9+R9+#REF!</f>
        <v>#REF!</v>
      </c>
      <c r="V9" s="273" t="e">
        <f>+E9-U9</f>
        <v>#REF!</v>
      </c>
    </row>
    <row r="10" spans="1:22" ht="36" customHeight="1" x14ac:dyDescent="0.2">
      <c r="A10" s="1213" t="s">
        <v>127</v>
      </c>
      <c r="B10" s="699" t="s">
        <v>601</v>
      </c>
      <c r="C10" s="1226" t="s">
        <v>1951</v>
      </c>
      <c r="D10" s="1165"/>
      <c r="E10" s="635">
        <f t="shared" ref="E10:E19" si="2">+G10+I10+K10+M10</f>
        <v>0</v>
      </c>
      <c r="F10" s="635">
        <f t="shared" ref="F10:F19" si="3">+H10+J10+L10+N10</f>
        <v>4013200</v>
      </c>
      <c r="G10" s="718"/>
      <c r="H10" s="718">
        <v>3160000</v>
      </c>
      <c r="I10" s="718"/>
      <c r="J10" s="718"/>
      <c r="K10" s="718"/>
      <c r="L10" s="718"/>
      <c r="M10" s="718"/>
      <c r="N10" s="1168">
        <v>853200</v>
      </c>
      <c r="O10" s="1167">
        <f t="shared" ref="O10:O20" si="4">+F10</f>
        <v>4013200</v>
      </c>
      <c r="P10" s="718"/>
      <c r="Q10" s="718"/>
      <c r="R10" s="718"/>
      <c r="S10" s="718"/>
      <c r="T10" s="634" t="s">
        <v>228</v>
      </c>
    </row>
    <row r="11" spans="1:22" ht="30" customHeight="1" x14ac:dyDescent="0.2">
      <c r="A11" s="388" t="s">
        <v>127</v>
      </c>
      <c r="B11" s="390" t="s">
        <v>601</v>
      </c>
      <c r="C11" s="1521" t="s">
        <v>1955</v>
      </c>
      <c r="D11" s="1185"/>
      <c r="E11" s="786">
        <f t="shared" si="2"/>
        <v>0</v>
      </c>
      <c r="F11" s="786">
        <f t="shared" si="3"/>
        <v>0</v>
      </c>
      <c r="G11" s="697"/>
      <c r="H11" s="697">
        <f>4200000-4200000</f>
        <v>0</v>
      </c>
      <c r="I11" s="697"/>
      <c r="J11" s="697"/>
      <c r="K11" s="697"/>
      <c r="L11" s="697"/>
      <c r="M11" s="697"/>
      <c r="N11" s="1184">
        <f>1134000-1134000</f>
        <v>0</v>
      </c>
      <c r="O11" s="1183">
        <f t="shared" si="4"/>
        <v>0</v>
      </c>
      <c r="P11" s="697"/>
      <c r="Q11" s="697"/>
      <c r="R11" s="697"/>
      <c r="S11" s="697"/>
      <c r="T11" s="67" t="s">
        <v>228</v>
      </c>
    </row>
    <row r="12" spans="1:22" ht="28.5" customHeight="1" x14ac:dyDescent="0.2">
      <c r="A12" s="388" t="s">
        <v>127</v>
      </c>
      <c r="B12" s="390" t="s">
        <v>601</v>
      </c>
      <c r="C12" s="1521" t="s">
        <v>3194</v>
      </c>
      <c r="D12" s="1185"/>
      <c r="E12" s="786">
        <f t="shared" si="2"/>
        <v>0</v>
      </c>
      <c r="F12" s="786">
        <f t="shared" si="3"/>
        <v>1500000</v>
      </c>
      <c r="G12" s="697"/>
      <c r="H12" s="697">
        <v>1181102</v>
      </c>
      <c r="I12" s="697"/>
      <c r="J12" s="697"/>
      <c r="K12" s="697"/>
      <c r="L12" s="697"/>
      <c r="M12" s="697"/>
      <c r="N12" s="1184">
        <v>318898</v>
      </c>
      <c r="O12" s="1183">
        <f>+F12</f>
        <v>1500000</v>
      </c>
      <c r="P12" s="697"/>
      <c r="Q12" s="697"/>
      <c r="R12" s="697"/>
      <c r="S12" s="697"/>
      <c r="T12" s="67" t="s">
        <v>228</v>
      </c>
    </row>
    <row r="13" spans="1:22" ht="32.25" customHeight="1" x14ac:dyDescent="0.2">
      <c r="A13" s="388" t="s">
        <v>90</v>
      </c>
      <c r="B13" s="390" t="s">
        <v>129</v>
      </c>
      <c r="C13" s="1521" t="s">
        <v>2958</v>
      </c>
      <c r="D13" s="1185"/>
      <c r="E13" s="786">
        <f t="shared" si="2"/>
        <v>0</v>
      </c>
      <c r="F13" s="786">
        <f t="shared" si="3"/>
        <v>6541770</v>
      </c>
      <c r="G13" s="697"/>
      <c r="H13" s="697">
        <v>5151000</v>
      </c>
      <c r="I13" s="697"/>
      <c r="J13" s="697"/>
      <c r="K13" s="697"/>
      <c r="L13" s="697"/>
      <c r="M13" s="697"/>
      <c r="N13" s="1184">
        <v>1390770</v>
      </c>
      <c r="O13" s="1183">
        <f>+F13</f>
        <v>6541770</v>
      </c>
      <c r="P13" s="697"/>
      <c r="Q13" s="697"/>
      <c r="R13" s="697"/>
      <c r="S13" s="697"/>
      <c r="T13" s="67" t="s">
        <v>228</v>
      </c>
    </row>
    <row r="14" spans="1:22" ht="48" customHeight="1" x14ac:dyDescent="0.2">
      <c r="A14" s="388" t="s">
        <v>133</v>
      </c>
      <c r="B14" s="390" t="s">
        <v>641</v>
      </c>
      <c r="C14" s="1521" t="s">
        <v>2085</v>
      </c>
      <c r="D14" s="1185"/>
      <c r="E14" s="786">
        <f t="shared" si="2"/>
        <v>0</v>
      </c>
      <c r="F14" s="786">
        <f t="shared" si="3"/>
        <v>0</v>
      </c>
      <c r="G14" s="697"/>
      <c r="H14" s="697">
        <f>1224201-1224201</f>
        <v>0</v>
      </c>
      <c r="I14" s="697"/>
      <c r="J14" s="697"/>
      <c r="K14" s="697"/>
      <c r="L14" s="697"/>
      <c r="M14" s="697"/>
      <c r="N14" s="1184">
        <f>330534-330534</f>
        <v>0</v>
      </c>
      <c r="O14" s="1183">
        <f t="shared" si="4"/>
        <v>0</v>
      </c>
      <c r="P14" s="697"/>
      <c r="Q14" s="697"/>
      <c r="R14" s="697"/>
      <c r="S14" s="697"/>
      <c r="T14" s="67" t="s">
        <v>228</v>
      </c>
    </row>
    <row r="15" spans="1:22" ht="30" customHeight="1" x14ac:dyDescent="0.2">
      <c r="A15" s="388" t="s">
        <v>133</v>
      </c>
      <c r="B15" s="390" t="s">
        <v>641</v>
      </c>
      <c r="C15" s="1521" t="s">
        <v>2077</v>
      </c>
      <c r="D15" s="1185"/>
      <c r="E15" s="786">
        <f t="shared" si="2"/>
        <v>0</v>
      </c>
      <c r="F15" s="786">
        <f t="shared" si="3"/>
        <v>539750</v>
      </c>
      <c r="G15" s="697"/>
      <c r="H15" s="697">
        <v>425000</v>
      </c>
      <c r="I15" s="697"/>
      <c r="J15" s="697"/>
      <c r="K15" s="697"/>
      <c r="L15" s="697"/>
      <c r="M15" s="697"/>
      <c r="N15" s="1184">
        <v>114750</v>
      </c>
      <c r="O15" s="1183">
        <f t="shared" si="4"/>
        <v>539750</v>
      </c>
      <c r="P15" s="697"/>
      <c r="Q15" s="697"/>
      <c r="R15" s="697"/>
      <c r="S15" s="697"/>
      <c r="T15" s="67" t="s">
        <v>228</v>
      </c>
    </row>
    <row r="16" spans="1:22" ht="30" customHeight="1" x14ac:dyDescent="0.2">
      <c r="A16" s="388" t="s">
        <v>133</v>
      </c>
      <c r="B16" s="390" t="s">
        <v>641</v>
      </c>
      <c r="C16" s="1271" t="s">
        <v>2751</v>
      </c>
      <c r="D16" s="1185"/>
      <c r="E16" s="786">
        <f t="shared" si="2"/>
        <v>0</v>
      </c>
      <c r="F16" s="786">
        <f t="shared" si="3"/>
        <v>388570</v>
      </c>
      <c r="G16" s="697"/>
      <c r="H16" s="697">
        <f>98462+59683+141308+6508-1</f>
        <v>305960</v>
      </c>
      <c r="I16" s="697"/>
      <c r="J16" s="697"/>
      <c r="K16" s="697"/>
      <c r="L16" s="697"/>
      <c r="M16" s="697"/>
      <c r="N16" s="1184">
        <f>26585+16114+38153+1757+1</f>
        <v>82610</v>
      </c>
      <c r="O16" s="1183">
        <f t="shared" si="4"/>
        <v>388570</v>
      </c>
      <c r="P16" s="697"/>
      <c r="Q16" s="697"/>
      <c r="R16" s="697"/>
      <c r="S16" s="697"/>
      <c r="T16" s="67" t="s">
        <v>228</v>
      </c>
    </row>
    <row r="17" spans="1:20" ht="29.25" customHeight="1" x14ac:dyDescent="0.2">
      <c r="A17" s="388" t="s">
        <v>133</v>
      </c>
      <c r="B17" s="390" t="s">
        <v>641</v>
      </c>
      <c r="C17" s="1271" t="s">
        <v>3395</v>
      </c>
      <c r="D17" s="1185"/>
      <c r="E17" s="786">
        <f t="shared" si="2"/>
        <v>0</v>
      </c>
      <c r="F17" s="786">
        <f t="shared" si="3"/>
        <v>603250</v>
      </c>
      <c r="G17" s="697"/>
      <c r="H17" s="697">
        <v>475000</v>
      </c>
      <c r="I17" s="697"/>
      <c r="J17" s="697"/>
      <c r="K17" s="697"/>
      <c r="L17" s="697"/>
      <c r="M17" s="697"/>
      <c r="N17" s="1184">
        <v>128250</v>
      </c>
      <c r="O17" s="1183">
        <f>+F17</f>
        <v>603250</v>
      </c>
      <c r="P17" s="697"/>
      <c r="Q17" s="697"/>
      <c r="R17" s="697"/>
      <c r="S17" s="697"/>
      <c r="T17" s="67" t="s">
        <v>228</v>
      </c>
    </row>
    <row r="18" spans="1:20" ht="29.25" customHeight="1" x14ac:dyDescent="0.2">
      <c r="A18" s="388" t="s">
        <v>133</v>
      </c>
      <c r="B18" s="390" t="s">
        <v>641</v>
      </c>
      <c r="C18" s="1271" t="s">
        <v>3400</v>
      </c>
      <c r="D18" s="1185"/>
      <c r="E18" s="786">
        <f t="shared" si="2"/>
        <v>0</v>
      </c>
      <c r="F18" s="786">
        <f t="shared" si="3"/>
        <v>941070</v>
      </c>
      <c r="G18" s="697"/>
      <c r="H18" s="697">
        <v>741000</v>
      </c>
      <c r="I18" s="697"/>
      <c r="J18" s="697"/>
      <c r="K18" s="697"/>
      <c r="L18" s="697"/>
      <c r="M18" s="697"/>
      <c r="N18" s="1184">
        <v>200070</v>
      </c>
      <c r="O18" s="1183">
        <f>+F18</f>
        <v>941070</v>
      </c>
      <c r="P18" s="697"/>
      <c r="Q18" s="697"/>
      <c r="R18" s="697"/>
      <c r="S18" s="697"/>
      <c r="T18" s="67" t="s">
        <v>228</v>
      </c>
    </row>
    <row r="19" spans="1:20" ht="29.25" customHeight="1" x14ac:dyDescent="0.2">
      <c r="A19" s="388" t="s">
        <v>133</v>
      </c>
      <c r="B19" s="390" t="s">
        <v>641</v>
      </c>
      <c r="C19" s="1271" t="s">
        <v>3402</v>
      </c>
      <c r="D19" s="1185"/>
      <c r="E19" s="786">
        <f t="shared" si="2"/>
        <v>0</v>
      </c>
      <c r="F19" s="786">
        <f t="shared" si="3"/>
        <v>1930400</v>
      </c>
      <c r="G19" s="697"/>
      <c r="H19" s="697">
        <v>1520000</v>
      </c>
      <c r="I19" s="697"/>
      <c r="J19" s="697"/>
      <c r="K19" s="697"/>
      <c r="L19" s="697"/>
      <c r="M19" s="697"/>
      <c r="N19" s="1184">
        <v>410400</v>
      </c>
      <c r="O19" s="1183">
        <f>+F19</f>
        <v>1930400</v>
      </c>
      <c r="P19" s="697"/>
      <c r="Q19" s="697"/>
      <c r="R19" s="697"/>
      <c r="S19" s="697"/>
      <c r="T19" s="67" t="s">
        <v>228</v>
      </c>
    </row>
    <row r="20" spans="1:20" ht="27.75" customHeight="1" x14ac:dyDescent="0.2">
      <c r="A20" s="365" t="s">
        <v>134</v>
      </c>
      <c r="B20" s="367" t="s">
        <v>602</v>
      </c>
      <c r="C20" s="754" t="s">
        <v>1807</v>
      </c>
      <c r="D20" s="1182"/>
      <c r="E20" s="786">
        <f t="shared" ref="E20:F22" si="5">+G20+I20+K20+M20</f>
        <v>0</v>
      </c>
      <c r="F20" s="786">
        <f t="shared" si="5"/>
        <v>1991360</v>
      </c>
      <c r="G20" s="697"/>
      <c r="H20" s="697">
        <v>1568000</v>
      </c>
      <c r="I20" s="697"/>
      <c r="J20" s="697"/>
      <c r="K20" s="697"/>
      <c r="L20" s="697"/>
      <c r="M20" s="697"/>
      <c r="N20" s="1184">
        <v>423360</v>
      </c>
      <c r="O20" s="1183">
        <f t="shared" si="4"/>
        <v>1991360</v>
      </c>
      <c r="P20" s="697"/>
      <c r="Q20" s="697"/>
      <c r="R20" s="697"/>
      <c r="S20" s="697"/>
      <c r="T20" s="67" t="s">
        <v>228</v>
      </c>
    </row>
    <row r="21" spans="1:20" s="9" customFormat="1" ht="33" customHeight="1" x14ac:dyDescent="0.2">
      <c r="A21" s="365" t="s">
        <v>1326</v>
      </c>
      <c r="B21" s="367" t="s">
        <v>572</v>
      </c>
      <c r="C21" s="754" t="s">
        <v>1478</v>
      </c>
      <c r="D21" s="118"/>
      <c r="E21" s="786">
        <f t="shared" si="5"/>
        <v>6698581</v>
      </c>
      <c r="F21" s="786">
        <f t="shared" si="5"/>
        <v>6698581</v>
      </c>
      <c r="G21" s="116">
        <f>(4724409)+295064+255000</f>
        <v>5274473</v>
      </c>
      <c r="H21" s="116">
        <f>(4724409)+295064+255000</f>
        <v>5274473</v>
      </c>
      <c r="I21" s="116"/>
      <c r="J21" s="116"/>
      <c r="K21" s="116"/>
      <c r="L21" s="116"/>
      <c r="M21" s="116">
        <f>(1275591)+79667+68850</f>
        <v>1424108</v>
      </c>
      <c r="N21" s="67">
        <f>(1275591)+79667+68850</f>
        <v>1424108</v>
      </c>
      <c r="O21" s="317">
        <f>E21</f>
        <v>6698581</v>
      </c>
      <c r="P21" s="364"/>
      <c r="Q21" s="364"/>
      <c r="R21" s="364"/>
      <c r="S21" s="364"/>
      <c r="T21" s="67" t="s">
        <v>228</v>
      </c>
    </row>
    <row r="22" spans="1:20" s="9" customFormat="1" ht="33" customHeight="1" x14ac:dyDescent="0.2">
      <c r="A22" s="365" t="s">
        <v>462</v>
      </c>
      <c r="B22" s="367" t="s">
        <v>557</v>
      </c>
      <c r="C22" s="754" t="s">
        <v>1828</v>
      </c>
      <c r="D22" s="118"/>
      <c r="E22" s="786">
        <f t="shared" si="5"/>
        <v>0</v>
      </c>
      <c r="F22" s="786">
        <f t="shared" si="5"/>
        <v>24500000</v>
      </c>
      <c r="G22" s="116"/>
      <c r="H22" s="116">
        <v>19291339</v>
      </c>
      <c r="I22" s="116"/>
      <c r="J22" s="116"/>
      <c r="K22" s="116"/>
      <c r="L22" s="116"/>
      <c r="M22" s="116"/>
      <c r="N22" s="67">
        <v>5208661</v>
      </c>
      <c r="O22" s="317">
        <f>+F22</f>
        <v>24500000</v>
      </c>
      <c r="P22" s="364"/>
      <c r="Q22" s="364"/>
      <c r="R22" s="364"/>
      <c r="S22" s="364"/>
      <c r="T22" s="67" t="s">
        <v>228</v>
      </c>
    </row>
    <row r="23" spans="1:20" s="9" customFormat="1" ht="33" customHeight="1" x14ac:dyDescent="0.2">
      <c r="A23" s="365" t="s">
        <v>128</v>
      </c>
      <c r="B23" s="367" t="s">
        <v>129</v>
      </c>
      <c r="C23" s="754" t="s">
        <v>1287</v>
      </c>
      <c r="D23" s="389"/>
      <c r="E23" s="786">
        <f t="shared" ref="E23:E36" si="6">+G23+I23+K23+M23</f>
        <v>0</v>
      </c>
      <c r="F23" s="786">
        <f t="shared" ref="F23:F35" si="7">+H23+J23+L23+N23</f>
        <v>0</v>
      </c>
      <c r="G23" s="116"/>
      <c r="H23" s="116">
        <f>2400000-2400000</f>
        <v>0</v>
      </c>
      <c r="I23" s="116"/>
      <c r="J23" s="116"/>
      <c r="K23" s="116"/>
      <c r="L23" s="116"/>
      <c r="M23" s="116"/>
      <c r="N23" s="67">
        <f>648000-648000</f>
        <v>0</v>
      </c>
      <c r="O23" s="317">
        <f>+F23</f>
        <v>0</v>
      </c>
      <c r="P23" s="364"/>
      <c r="Q23" s="364"/>
      <c r="R23" s="364"/>
      <c r="S23" s="364"/>
      <c r="T23" s="67" t="s">
        <v>228</v>
      </c>
    </row>
    <row r="24" spans="1:20" s="9" customFormat="1" ht="27" customHeight="1" x14ac:dyDescent="0.2">
      <c r="A24" s="365" t="s">
        <v>128</v>
      </c>
      <c r="B24" s="367" t="s">
        <v>129</v>
      </c>
      <c r="C24" s="754" t="s">
        <v>1354</v>
      </c>
      <c r="D24" s="367"/>
      <c r="E24" s="786">
        <f t="shared" si="6"/>
        <v>65000000</v>
      </c>
      <c r="F24" s="786">
        <f t="shared" si="7"/>
        <v>0</v>
      </c>
      <c r="G24" s="116">
        <v>51181102</v>
      </c>
      <c r="H24" s="116">
        <f>51181102-19282802-240200+19523002-51181102</f>
        <v>0</v>
      </c>
      <c r="I24" s="116"/>
      <c r="J24" s="116"/>
      <c r="K24" s="116"/>
      <c r="L24" s="116"/>
      <c r="M24" s="116">
        <v>13818898</v>
      </c>
      <c r="N24" s="67">
        <f>13818898-5206356-64854+5271210-13818898</f>
        <v>0</v>
      </c>
      <c r="O24" s="317">
        <f>+F24</f>
        <v>0</v>
      </c>
      <c r="P24" s="364"/>
      <c r="Q24" s="364"/>
      <c r="R24" s="364"/>
      <c r="S24" s="364"/>
      <c r="T24" s="67" t="s">
        <v>228</v>
      </c>
    </row>
    <row r="25" spans="1:20" s="9" customFormat="1" ht="42.75" customHeight="1" x14ac:dyDescent="0.2">
      <c r="A25" s="365" t="s">
        <v>777</v>
      </c>
      <c r="B25" s="367" t="s">
        <v>563</v>
      </c>
      <c r="C25" s="754" t="s">
        <v>1288</v>
      </c>
      <c r="D25" s="389"/>
      <c r="E25" s="786">
        <f t="shared" si="6"/>
        <v>0</v>
      </c>
      <c r="F25" s="786">
        <f t="shared" si="7"/>
        <v>24249116</v>
      </c>
      <c r="G25" s="116"/>
      <c r="H25" s="116">
        <f>2372367-164300+16885725</f>
        <v>19093792</v>
      </c>
      <c r="I25" s="116"/>
      <c r="J25" s="116"/>
      <c r="K25" s="116"/>
      <c r="L25" s="116"/>
      <c r="M25" s="116"/>
      <c r="N25" s="67">
        <f>640539-44361+4559146</f>
        <v>5155324</v>
      </c>
      <c r="O25" s="317">
        <f>+F25</f>
        <v>24249116</v>
      </c>
      <c r="P25" s="364"/>
      <c r="Q25" s="364"/>
      <c r="R25" s="364"/>
      <c r="S25" s="364"/>
      <c r="T25" s="67" t="s">
        <v>228</v>
      </c>
    </row>
    <row r="26" spans="1:20" s="9" customFormat="1" ht="27" customHeight="1" x14ac:dyDescent="0.2">
      <c r="A26" s="365" t="s">
        <v>777</v>
      </c>
      <c r="B26" s="367" t="s">
        <v>563</v>
      </c>
      <c r="C26" s="754" t="s">
        <v>1355</v>
      </c>
      <c r="D26" s="118"/>
      <c r="E26" s="786">
        <f t="shared" si="6"/>
        <v>65000000</v>
      </c>
      <c r="F26" s="786">
        <f t="shared" si="7"/>
        <v>0</v>
      </c>
      <c r="G26" s="116">
        <v>51181102</v>
      </c>
      <c r="H26" s="116">
        <f>51181102-51181102</f>
        <v>0</v>
      </c>
      <c r="I26" s="116"/>
      <c r="J26" s="116"/>
      <c r="K26" s="116"/>
      <c r="L26" s="116"/>
      <c r="M26" s="116">
        <v>13818898</v>
      </c>
      <c r="N26" s="67">
        <f>13818898-13818898</f>
        <v>0</v>
      </c>
      <c r="O26" s="317">
        <f>+F26</f>
        <v>0</v>
      </c>
      <c r="P26" s="364"/>
      <c r="Q26" s="364"/>
      <c r="R26" s="364"/>
      <c r="S26" s="364"/>
      <c r="T26" s="67" t="s">
        <v>228</v>
      </c>
    </row>
    <row r="27" spans="1:20" s="9" customFormat="1" ht="27" customHeight="1" x14ac:dyDescent="0.2">
      <c r="A27" s="363" t="s">
        <v>460</v>
      </c>
      <c r="B27" s="367" t="s">
        <v>557</v>
      </c>
      <c r="C27" s="1490" t="s">
        <v>845</v>
      </c>
      <c r="D27" s="140"/>
      <c r="E27" s="786">
        <f t="shared" si="6"/>
        <v>1000000</v>
      </c>
      <c r="F27" s="786">
        <f t="shared" si="7"/>
        <v>1000000</v>
      </c>
      <c r="G27" s="116">
        <v>787402</v>
      </c>
      <c r="H27" s="116">
        <v>787402</v>
      </c>
      <c r="I27" s="116"/>
      <c r="J27" s="116"/>
      <c r="K27" s="116"/>
      <c r="L27" s="116"/>
      <c r="M27" s="116">
        <v>212598</v>
      </c>
      <c r="N27" s="67">
        <v>212598</v>
      </c>
      <c r="O27" s="317">
        <f>E27</f>
        <v>1000000</v>
      </c>
      <c r="P27" s="364"/>
      <c r="Q27" s="364"/>
      <c r="R27" s="364"/>
      <c r="S27" s="364"/>
      <c r="T27" s="67" t="s">
        <v>228</v>
      </c>
    </row>
    <row r="28" spans="1:20" s="9" customFormat="1" ht="30" customHeight="1" x14ac:dyDescent="0.2">
      <c r="A28" s="363" t="s">
        <v>739</v>
      </c>
      <c r="B28" s="367" t="s">
        <v>575</v>
      </c>
      <c r="C28" s="1490" t="s">
        <v>2585</v>
      </c>
      <c r="D28" s="118"/>
      <c r="E28" s="786">
        <f t="shared" si="6"/>
        <v>7623810</v>
      </c>
      <c r="F28" s="786">
        <f t="shared" si="7"/>
        <v>9156992</v>
      </c>
      <c r="G28" s="116">
        <v>6003000</v>
      </c>
      <c r="H28" s="116">
        <f>6003000+811230+165000+231000</f>
        <v>7210230</v>
      </c>
      <c r="I28" s="116"/>
      <c r="J28" s="116"/>
      <c r="K28" s="116"/>
      <c r="L28" s="116"/>
      <c r="M28" s="116">
        <v>1620810</v>
      </c>
      <c r="N28" s="67">
        <f>1620810+219032+44550+62370</f>
        <v>1946762</v>
      </c>
      <c r="O28" s="317">
        <f>+F28</f>
        <v>9156992</v>
      </c>
      <c r="P28" s="364"/>
      <c r="Q28" s="364"/>
      <c r="R28" s="364"/>
      <c r="S28" s="364"/>
      <c r="T28" s="67" t="s">
        <v>228</v>
      </c>
    </row>
    <row r="29" spans="1:20" s="9" customFormat="1" ht="27" customHeight="1" x14ac:dyDescent="0.2">
      <c r="A29" s="363" t="s">
        <v>739</v>
      </c>
      <c r="B29" s="367" t="s">
        <v>575</v>
      </c>
      <c r="C29" s="1490" t="s">
        <v>1907</v>
      </c>
      <c r="D29" s="118"/>
      <c r="E29" s="786">
        <f t="shared" si="6"/>
        <v>8735060</v>
      </c>
      <c r="F29" s="786">
        <f t="shared" si="7"/>
        <v>8735060</v>
      </c>
      <c r="G29" s="116">
        <v>6878000</v>
      </c>
      <c r="H29" s="116">
        <v>6878000</v>
      </c>
      <c r="I29" s="116"/>
      <c r="J29" s="116"/>
      <c r="K29" s="116"/>
      <c r="L29" s="116"/>
      <c r="M29" s="116">
        <v>1857060</v>
      </c>
      <c r="N29" s="67">
        <v>1857060</v>
      </c>
      <c r="O29" s="317">
        <f t="shared" ref="O29:O35" si="8">+E29</f>
        <v>8735060</v>
      </c>
      <c r="P29" s="364"/>
      <c r="Q29" s="364"/>
      <c r="R29" s="364"/>
      <c r="S29" s="364"/>
      <c r="T29" s="67" t="s">
        <v>228</v>
      </c>
    </row>
    <row r="30" spans="1:20" s="9" customFormat="1" ht="27" customHeight="1" x14ac:dyDescent="0.2">
      <c r="A30" s="363" t="s">
        <v>739</v>
      </c>
      <c r="B30" s="367" t="s">
        <v>575</v>
      </c>
      <c r="C30" s="1490" t="s">
        <v>2405</v>
      </c>
      <c r="D30" s="118"/>
      <c r="E30" s="786">
        <f>+G30+I30+K30+M30</f>
        <v>0</v>
      </c>
      <c r="F30" s="786">
        <f>+H30+J30+L30+N30</f>
        <v>0</v>
      </c>
      <c r="G30" s="116"/>
      <c r="H30" s="116">
        <f>80000-80000</f>
        <v>0</v>
      </c>
      <c r="I30" s="116"/>
      <c r="J30" s="116"/>
      <c r="K30" s="116"/>
      <c r="L30" s="116"/>
      <c r="M30" s="116"/>
      <c r="N30" s="67"/>
      <c r="O30" s="317">
        <f>+F30</f>
        <v>0</v>
      </c>
      <c r="P30" s="364"/>
      <c r="Q30" s="364"/>
      <c r="R30" s="364"/>
      <c r="S30" s="364"/>
      <c r="T30" s="67" t="s">
        <v>228</v>
      </c>
    </row>
    <row r="31" spans="1:20" s="9" customFormat="1" ht="30" customHeight="1" x14ac:dyDescent="0.2">
      <c r="A31" s="363" t="s">
        <v>1412</v>
      </c>
      <c r="B31" s="367" t="s">
        <v>1368</v>
      </c>
      <c r="C31" s="1490" t="s">
        <v>2716</v>
      </c>
      <c r="D31" s="118"/>
      <c r="E31" s="786">
        <f t="shared" si="6"/>
        <v>18743098</v>
      </c>
      <c r="F31" s="786">
        <f t="shared" si="7"/>
        <v>18743098</v>
      </c>
      <c r="G31" s="116">
        <v>14758345</v>
      </c>
      <c r="H31" s="116">
        <v>14758345</v>
      </c>
      <c r="I31" s="116"/>
      <c r="J31" s="116"/>
      <c r="K31" s="116"/>
      <c r="L31" s="116"/>
      <c r="M31" s="116">
        <v>3984753</v>
      </c>
      <c r="N31" s="67">
        <v>3984753</v>
      </c>
      <c r="O31" s="317">
        <f t="shared" si="8"/>
        <v>18743098</v>
      </c>
      <c r="P31" s="364"/>
      <c r="Q31" s="364"/>
      <c r="R31" s="364"/>
      <c r="S31" s="364"/>
      <c r="T31" s="67" t="s">
        <v>228</v>
      </c>
    </row>
    <row r="32" spans="1:20" s="9" customFormat="1" ht="27" customHeight="1" x14ac:dyDescent="0.2">
      <c r="A32" s="363" t="s">
        <v>1412</v>
      </c>
      <c r="B32" s="367" t="s">
        <v>1368</v>
      </c>
      <c r="C32" s="1490" t="s">
        <v>2607</v>
      </c>
      <c r="D32" s="118"/>
      <c r="E32" s="786">
        <f>+G32+I32+K32+M32</f>
        <v>0</v>
      </c>
      <c r="F32" s="786">
        <f>+H32+J32+L32+N32</f>
        <v>2555875</v>
      </c>
      <c r="G32" s="116"/>
      <c r="H32" s="116">
        <f>1000000+300000+712500</f>
        <v>2012500</v>
      </c>
      <c r="I32" s="116"/>
      <c r="J32" s="116"/>
      <c r="K32" s="116"/>
      <c r="L32" s="116"/>
      <c r="M32" s="116"/>
      <c r="N32" s="67">
        <f>270000+81000+192375</f>
        <v>543375</v>
      </c>
      <c r="O32" s="317">
        <f>+F32</f>
        <v>2555875</v>
      </c>
      <c r="P32" s="364"/>
      <c r="Q32" s="364"/>
      <c r="R32" s="364"/>
      <c r="S32" s="364"/>
      <c r="T32" s="67" t="s">
        <v>228</v>
      </c>
    </row>
    <row r="33" spans="1:22" s="9" customFormat="1" ht="27" customHeight="1" x14ac:dyDescent="0.2">
      <c r="A33" s="363" t="s">
        <v>1412</v>
      </c>
      <c r="B33" s="367" t="s">
        <v>1368</v>
      </c>
      <c r="C33" s="1490" t="s">
        <v>3404</v>
      </c>
      <c r="D33" s="118"/>
      <c r="E33" s="786">
        <f>+G33+I33+K33+M33</f>
        <v>0</v>
      </c>
      <c r="F33" s="786">
        <f>+H33+J33+L33+N33</f>
        <v>1689100</v>
      </c>
      <c r="G33" s="116"/>
      <c r="H33" s="116">
        <v>1330000</v>
      </c>
      <c r="I33" s="116"/>
      <c r="J33" s="116"/>
      <c r="K33" s="116"/>
      <c r="L33" s="116"/>
      <c r="M33" s="116"/>
      <c r="N33" s="67">
        <v>359100</v>
      </c>
      <c r="O33" s="317">
        <f>+F33</f>
        <v>1689100</v>
      </c>
      <c r="P33" s="364"/>
      <c r="Q33" s="364"/>
      <c r="R33" s="364"/>
      <c r="S33" s="364"/>
      <c r="T33" s="67" t="s">
        <v>228</v>
      </c>
    </row>
    <row r="34" spans="1:22" s="9" customFormat="1" ht="29.25" customHeight="1" x14ac:dyDescent="0.2">
      <c r="A34" s="363" t="s">
        <v>1410</v>
      </c>
      <c r="B34" s="367" t="s">
        <v>167</v>
      </c>
      <c r="C34" s="1490" t="s">
        <v>1411</v>
      </c>
      <c r="D34" s="118"/>
      <c r="E34" s="786">
        <f t="shared" si="6"/>
        <v>759054</v>
      </c>
      <c r="F34" s="786">
        <f t="shared" si="7"/>
        <v>759054</v>
      </c>
      <c r="G34" s="116">
        <v>597680</v>
      </c>
      <c r="H34" s="116">
        <v>597680</v>
      </c>
      <c r="I34" s="116"/>
      <c r="J34" s="116"/>
      <c r="K34" s="116"/>
      <c r="L34" s="116"/>
      <c r="M34" s="116">
        <v>161374</v>
      </c>
      <c r="N34" s="67">
        <v>161374</v>
      </c>
      <c r="O34" s="317">
        <f t="shared" si="8"/>
        <v>759054</v>
      </c>
      <c r="P34" s="364"/>
      <c r="Q34" s="364"/>
      <c r="R34" s="364"/>
      <c r="S34" s="364"/>
      <c r="T34" s="67" t="s">
        <v>228</v>
      </c>
    </row>
    <row r="35" spans="1:22" s="9" customFormat="1" ht="23.25" customHeight="1" x14ac:dyDescent="0.2">
      <c r="A35" s="363" t="s">
        <v>1339</v>
      </c>
      <c r="B35" s="367" t="s">
        <v>641</v>
      </c>
      <c r="C35" s="1490" t="s">
        <v>2383</v>
      </c>
      <c r="D35" s="118"/>
      <c r="E35" s="786">
        <f t="shared" si="6"/>
        <v>48986500</v>
      </c>
      <c r="F35" s="786">
        <f t="shared" si="7"/>
        <v>48986500</v>
      </c>
      <c r="G35" s="116">
        <f>(23622047)+14950000</f>
        <v>38572047</v>
      </c>
      <c r="H35" s="116">
        <f>(23622047)+14950000</f>
        <v>38572047</v>
      </c>
      <c r="I35" s="116"/>
      <c r="J35" s="116"/>
      <c r="K35" s="116"/>
      <c r="L35" s="116"/>
      <c r="M35" s="116">
        <f>(6377953)+4036500</f>
        <v>10414453</v>
      </c>
      <c r="N35" s="67">
        <f>(6377953)+4036500</f>
        <v>10414453</v>
      </c>
      <c r="O35" s="317">
        <f t="shared" si="8"/>
        <v>48986500</v>
      </c>
      <c r="P35" s="364"/>
      <c r="Q35" s="364"/>
      <c r="R35" s="364"/>
      <c r="S35" s="364"/>
      <c r="T35" s="67" t="s">
        <v>228</v>
      </c>
    </row>
    <row r="36" spans="1:22" s="9" customFormat="1" ht="54.75" customHeight="1" x14ac:dyDescent="0.2">
      <c r="A36" s="363" t="s">
        <v>1448</v>
      </c>
      <c r="B36" s="367" t="s">
        <v>561</v>
      </c>
      <c r="C36" s="1490" t="s">
        <v>2437</v>
      </c>
      <c r="D36" s="118"/>
      <c r="E36" s="786">
        <f t="shared" si="6"/>
        <v>4690164</v>
      </c>
      <c r="F36" s="786">
        <f>+H36+J36+L36+N36</f>
        <v>9146167</v>
      </c>
      <c r="G36" s="116">
        <v>3693043</v>
      </c>
      <c r="H36" s="116">
        <f>3693043+3600790-92126</f>
        <v>7201707</v>
      </c>
      <c r="I36" s="116"/>
      <c r="J36" s="116"/>
      <c r="K36" s="116"/>
      <c r="L36" s="116"/>
      <c r="M36" s="116">
        <v>997121</v>
      </c>
      <c r="N36" s="67">
        <f>997121+972213-24874</f>
        <v>1944460</v>
      </c>
      <c r="O36" s="317">
        <f>+F36-Q36</f>
        <v>4573164</v>
      </c>
      <c r="P36" s="364"/>
      <c r="Q36" s="131">
        <v>4573003</v>
      </c>
      <c r="R36" s="364"/>
      <c r="S36" s="364"/>
      <c r="T36" s="67" t="s">
        <v>228</v>
      </c>
    </row>
    <row r="37" spans="1:22" s="9" customFormat="1" ht="33.75" customHeight="1" x14ac:dyDescent="0.2">
      <c r="A37" s="665" t="s">
        <v>2271</v>
      </c>
      <c r="B37" s="659" t="s">
        <v>561</v>
      </c>
      <c r="C37" s="153" t="s">
        <v>2272</v>
      </c>
      <c r="D37" s="666"/>
      <c r="E37" s="787">
        <f>+G37+I37+K37+M37</f>
        <v>0</v>
      </c>
      <c r="F37" s="787">
        <f>+H37+J37+L37+N37</f>
        <v>88545</v>
      </c>
      <c r="G37" s="154"/>
      <c r="H37" s="154">
        <f>376000+69720-376000</f>
        <v>69720</v>
      </c>
      <c r="I37" s="154"/>
      <c r="J37" s="154"/>
      <c r="K37" s="154"/>
      <c r="L37" s="154"/>
      <c r="M37" s="154"/>
      <c r="N37" s="173">
        <f>101520+18825-101520</f>
        <v>18825</v>
      </c>
      <c r="O37" s="661">
        <f>+F37</f>
        <v>88545</v>
      </c>
      <c r="P37" s="336"/>
      <c r="Q37" s="151"/>
      <c r="R37" s="336"/>
      <c r="S37" s="336"/>
      <c r="T37" s="173" t="s">
        <v>228</v>
      </c>
    </row>
    <row r="38" spans="1:22" ht="27" customHeight="1" x14ac:dyDescent="0.2">
      <c r="A38" s="783" t="s">
        <v>29</v>
      </c>
      <c r="B38" s="640"/>
      <c r="C38" s="640"/>
      <c r="D38" s="640"/>
      <c r="E38" s="372">
        <f>+E9+E7</f>
        <v>227236267</v>
      </c>
      <c r="F38" s="372">
        <f>+F9+F7</f>
        <v>174757458</v>
      </c>
      <c r="G38" s="372">
        <f t="shared" ref="G38:S38" si="9">+G9+G7</f>
        <v>178926194</v>
      </c>
      <c r="H38" s="372">
        <f t="shared" si="9"/>
        <v>137604297</v>
      </c>
      <c r="I38" s="372">
        <f t="shared" si="9"/>
        <v>0</v>
      </c>
      <c r="J38" s="372">
        <f t="shared" si="9"/>
        <v>0</v>
      </c>
      <c r="K38" s="372">
        <f t="shared" si="9"/>
        <v>0</v>
      </c>
      <c r="L38" s="372">
        <f t="shared" si="9"/>
        <v>0</v>
      </c>
      <c r="M38" s="372">
        <f t="shared" si="9"/>
        <v>48310073</v>
      </c>
      <c r="N38" s="373">
        <f t="shared" si="9"/>
        <v>37153161</v>
      </c>
      <c r="O38" s="374">
        <f>+O9+O7</f>
        <v>170184455</v>
      </c>
      <c r="P38" s="372">
        <f t="shared" si="9"/>
        <v>0</v>
      </c>
      <c r="Q38" s="372">
        <f t="shared" si="9"/>
        <v>4573003</v>
      </c>
      <c r="R38" s="372">
        <f t="shared" si="9"/>
        <v>0</v>
      </c>
      <c r="S38" s="372">
        <f t="shared" si="9"/>
        <v>0</v>
      </c>
      <c r="T38" s="373"/>
      <c r="U38" s="273" t="e">
        <f>+O38+P38+R38+#REF!</f>
        <v>#REF!</v>
      </c>
      <c r="V38" s="273" t="e">
        <f>+E38-U38</f>
        <v>#REF!</v>
      </c>
    </row>
    <row r="39" spans="1:22" ht="15.75" customHeight="1" x14ac:dyDescent="0.2"/>
    <row r="40" spans="1:22" x14ac:dyDescent="0.2">
      <c r="E40" s="273">
        <f>+'3. sz.Városi szintű összesen'!J17</f>
        <v>227236267</v>
      </c>
    </row>
    <row r="41" spans="1:22" ht="15.75" customHeight="1" x14ac:dyDescent="0.2">
      <c r="E41" s="273">
        <v>475600396</v>
      </c>
    </row>
    <row r="42" spans="1:22" x14ac:dyDescent="0.2">
      <c r="C42" s="655"/>
      <c r="D42" s="717"/>
      <c r="E42" s="280">
        <f>+E38-E41</f>
        <v>-248364129</v>
      </c>
      <c r="F42" s="280"/>
      <c r="K42" s="280"/>
      <c r="L42" s="280"/>
      <c r="M42" s="280"/>
      <c r="N42" s="280"/>
      <c r="O42" s="281"/>
      <c r="P42" s="282"/>
      <c r="Q42" s="282"/>
      <c r="R42" s="282"/>
      <c r="S42" s="282"/>
    </row>
    <row r="43" spans="1:22" ht="15.75" customHeight="1" x14ac:dyDescent="0.2"/>
    <row r="44" spans="1:22" ht="15.75" customHeight="1" x14ac:dyDescent="0.2"/>
    <row r="45" spans="1:22" ht="15.75" customHeight="1" x14ac:dyDescent="0.2"/>
    <row r="46" spans="1:22" ht="15.75" customHeight="1" x14ac:dyDescent="0.2"/>
    <row r="51" ht="15.75" customHeight="1" x14ac:dyDescent="0.2"/>
    <row r="52" ht="24.75" customHeight="1" x14ac:dyDescent="0.2"/>
    <row r="59"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28.15" customHeight="1" x14ac:dyDescent="0.2"/>
    <row r="72" ht="15.75" customHeight="1" x14ac:dyDescent="0.2"/>
    <row r="73" ht="15.75" customHeight="1" x14ac:dyDescent="0.2"/>
    <row r="75" ht="15.75" customHeight="1" x14ac:dyDescent="0.2"/>
    <row r="76" ht="15.75" customHeight="1" x14ac:dyDescent="0.2"/>
    <row r="77" ht="15.75" customHeight="1" x14ac:dyDescent="0.2"/>
    <row r="78" ht="15.75" customHeight="1" x14ac:dyDescent="0.2"/>
    <row r="80" ht="15.75" customHeight="1" x14ac:dyDescent="0.2"/>
    <row r="82" spans="1:15" x14ac:dyDescent="0.2">
      <c r="G82" s="283"/>
      <c r="H82" s="283"/>
      <c r="I82" s="283"/>
      <c r="J82" s="283"/>
    </row>
    <row r="84" spans="1:15" s="283" customFormat="1" ht="24" customHeight="1" x14ac:dyDescent="0.2">
      <c r="A84" s="10"/>
      <c r="B84" s="10"/>
      <c r="C84" s="10"/>
      <c r="D84" s="10"/>
      <c r="G84" s="273"/>
      <c r="H84" s="273"/>
      <c r="I84" s="273"/>
      <c r="J84" s="273"/>
      <c r="O84" s="284"/>
    </row>
    <row r="85" spans="1:15" ht="19.5" customHeight="1" x14ac:dyDescent="0.2"/>
    <row r="86" spans="1:15" ht="18" customHeight="1" x14ac:dyDescent="0.2"/>
    <row r="87" spans="1:15" ht="18" customHeight="1" x14ac:dyDescent="0.2"/>
    <row r="88" spans="1:15" ht="18" customHeight="1" x14ac:dyDescent="0.2"/>
    <row r="89" spans="1:15" ht="18" customHeight="1" x14ac:dyDescent="0.2"/>
    <row r="90" spans="1:15" ht="18" customHeight="1" x14ac:dyDescent="0.2"/>
    <row r="91" spans="1:15" ht="18" customHeight="1" x14ac:dyDescent="0.2"/>
    <row r="92" spans="1:15" ht="18" customHeight="1" x14ac:dyDescent="0.2"/>
    <row r="93" spans="1:15" ht="18" customHeight="1" x14ac:dyDescent="0.2"/>
    <row r="94" spans="1:15" ht="18" customHeight="1" x14ac:dyDescent="0.2"/>
    <row r="106" spans="1:15" x14ac:dyDescent="0.2">
      <c r="G106" s="283"/>
      <c r="H106" s="283"/>
      <c r="I106" s="283"/>
      <c r="J106" s="283"/>
    </row>
    <row r="107" spans="1:15" ht="15.75" x14ac:dyDescent="0.25">
      <c r="G107" s="285"/>
      <c r="H107" s="285"/>
      <c r="I107" s="285"/>
      <c r="J107" s="285"/>
    </row>
    <row r="108" spans="1:15" s="283" customFormat="1" ht="24" customHeight="1" x14ac:dyDescent="0.2">
      <c r="A108" s="10"/>
      <c r="B108" s="10"/>
      <c r="C108" s="10"/>
      <c r="D108" s="10"/>
      <c r="G108" s="273"/>
      <c r="H108" s="273"/>
      <c r="I108" s="273"/>
      <c r="J108" s="273"/>
      <c r="O108" s="284"/>
    </row>
    <row r="109" spans="1:15" s="285" customFormat="1" ht="28.5" customHeight="1" x14ac:dyDescent="0.25">
      <c r="A109" s="11"/>
      <c r="B109" s="11"/>
      <c r="C109" s="11"/>
      <c r="D109" s="11"/>
      <c r="G109" s="273"/>
      <c r="H109" s="273"/>
      <c r="I109" s="273"/>
      <c r="J109" s="273"/>
      <c r="O109" s="286"/>
    </row>
  </sheetData>
  <mergeCells count="26">
    <mergeCell ref="O1:T1"/>
    <mergeCell ref="H4:H5"/>
    <mergeCell ref="J4:J5"/>
    <mergeCell ref="L4:L5"/>
    <mergeCell ref="N4:N5"/>
    <mergeCell ref="O3:T3"/>
    <mergeCell ref="O4:O6"/>
    <mergeCell ref="P4:P6"/>
    <mergeCell ref="Q4:Q6"/>
    <mergeCell ref="R4:R6"/>
    <mergeCell ref="S4:S6"/>
    <mergeCell ref="I4:I5"/>
    <mergeCell ref="T4:T6"/>
    <mergeCell ref="M4:M5"/>
    <mergeCell ref="E1:N1"/>
    <mergeCell ref="K4:K5"/>
    <mergeCell ref="G4:G5"/>
    <mergeCell ref="F4:F5"/>
    <mergeCell ref="A9:C9"/>
    <mergeCell ref="A6:E6"/>
    <mergeCell ref="A7:C7"/>
    <mergeCell ref="C3:C5"/>
    <mergeCell ref="D3:D5"/>
    <mergeCell ref="B3:B5"/>
    <mergeCell ref="A3:A5"/>
    <mergeCell ref="E4:E5"/>
  </mergeCells>
  <phoneticPr fontId="45" type="noConversion"/>
  <printOptions horizontalCentered="1" verticalCentered="1"/>
  <pageMargins left="0.19685039370078741" right="0.19685039370078741" top="0.59055118110236227" bottom="0.15748031496062992" header="0.31496062992125984" footer="0.31496062992125984"/>
  <pageSetup paperSize="9" scale="55" orientation="landscape" verticalDpi="4294967295" r:id="rId1"/>
  <headerFooter>
    <oddHeader xml:space="preserve">&amp;C2022. évi költségvetés&amp;R&amp;A
</oddHeader>
    <oddFooter>&amp;C&amp;P/&amp;N</oddFooter>
  </headerFooter>
  <rowBreaks count="3" manualBreakCount="3">
    <brk id="24" max="19" man="1"/>
    <brk id="39" max="16383" man="1"/>
    <brk id="84" max="14" man="1"/>
  </rowBreaks>
  <colBreaks count="1" manualBreakCount="1">
    <brk id="14" max="2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9"/>
  <sheetViews>
    <sheetView view="pageBreakPreview" topLeftCell="A58" zoomScale="80" zoomScaleNormal="80" zoomScaleSheetLayoutView="80" workbookViewId="0">
      <selection activeCell="D76" sqref="D76"/>
    </sheetView>
  </sheetViews>
  <sheetFormatPr defaultColWidth="9.140625" defaultRowHeight="12.75" x14ac:dyDescent="0.2"/>
  <cols>
    <col min="1" max="1" width="5" style="38" customWidth="1"/>
    <col min="2" max="2" width="57.140625" style="20" customWidth="1"/>
    <col min="3" max="6" width="18.5703125" style="40" customWidth="1"/>
    <col min="7" max="7" width="18.85546875" style="20" customWidth="1"/>
    <col min="8" max="8" width="16.7109375" style="20" bestFit="1" customWidth="1"/>
    <col min="9" max="9" width="14.28515625" style="20" customWidth="1"/>
    <col min="10" max="10" width="11.85546875" style="20" bestFit="1" customWidth="1"/>
    <col min="11" max="11" width="12.7109375" style="20" bestFit="1" customWidth="1"/>
    <col min="12" max="16384" width="9.140625" style="20"/>
  </cols>
  <sheetData>
    <row r="1" spans="1:8" ht="20.25" customHeight="1" x14ac:dyDescent="0.2">
      <c r="A1" s="1714" t="s">
        <v>34</v>
      </c>
      <c r="B1" s="1714"/>
      <c r="C1" s="1714"/>
      <c r="D1" s="1714"/>
      <c r="E1" s="1714"/>
      <c r="F1" s="1714"/>
      <c r="G1" s="1714"/>
      <c r="H1" s="1714"/>
    </row>
    <row r="2" spans="1:8" ht="27.75" customHeight="1" x14ac:dyDescent="0.25">
      <c r="A2" s="47"/>
      <c r="B2" s="47"/>
      <c r="C2" s="47"/>
      <c r="D2" s="47"/>
      <c r="E2" s="47"/>
      <c r="F2" s="47"/>
      <c r="G2" s="47"/>
      <c r="H2" s="37" t="s">
        <v>444</v>
      </c>
    </row>
    <row r="3" spans="1:8" ht="32.25" customHeight="1" x14ac:dyDescent="0.2">
      <c r="A3" s="1816" t="s">
        <v>37</v>
      </c>
      <c r="B3" s="1816" t="s">
        <v>2</v>
      </c>
      <c r="C3" s="756" t="s">
        <v>279</v>
      </c>
      <c r="D3" s="1115" t="s">
        <v>1512</v>
      </c>
      <c r="E3" s="1115" t="s">
        <v>279</v>
      </c>
      <c r="F3" s="1115" t="s">
        <v>1512</v>
      </c>
      <c r="G3" s="1818" t="s">
        <v>35</v>
      </c>
      <c r="H3" s="1820" t="s">
        <v>11</v>
      </c>
    </row>
    <row r="4" spans="1:8" ht="50.25" customHeight="1" x14ac:dyDescent="0.2">
      <c r="A4" s="1817"/>
      <c r="B4" s="1817"/>
      <c r="C4" s="905" t="s">
        <v>851</v>
      </c>
      <c r="D4" s="793" t="s">
        <v>851</v>
      </c>
      <c r="E4" s="793" t="s">
        <v>874</v>
      </c>
      <c r="F4" s="793" t="s">
        <v>874</v>
      </c>
      <c r="G4" s="1819"/>
      <c r="H4" s="1821"/>
    </row>
    <row r="5" spans="1:8" ht="19.149999999999999" customHeight="1" x14ac:dyDescent="0.2">
      <c r="A5" s="1813" t="s">
        <v>185</v>
      </c>
      <c r="B5" s="1814"/>
      <c r="C5" s="1814"/>
      <c r="D5" s="1814"/>
      <c r="E5" s="1814"/>
      <c r="F5" s="1814"/>
      <c r="G5" s="1814"/>
      <c r="H5" s="1815"/>
    </row>
    <row r="6" spans="1:8" ht="20.25" customHeight="1" x14ac:dyDescent="0.2">
      <c r="A6" s="1721" t="s">
        <v>36</v>
      </c>
      <c r="B6" s="1722"/>
      <c r="C6" s="106">
        <f>SUM(C7:C11)</f>
        <v>52000000</v>
      </c>
      <c r="D6" s="106">
        <f>SUM(D7:D11)</f>
        <v>9565530</v>
      </c>
      <c r="E6" s="106">
        <f>SUM(E7:E10)</f>
        <v>10000000</v>
      </c>
      <c r="F6" s="106">
        <f>SUM(F7:F10)</f>
        <v>10000000</v>
      </c>
      <c r="G6" s="160"/>
      <c r="H6" s="161"/>
    </row>
    <row r="7" spans="1:8" ht="23.25" customHeight="1" x14ac:dyDescent="0.2">
      <c r="A7" s="55" t="s">
        <v>194</v>
      </c>
      <c r="B7" s="334" t="s">
        <v>860</v>
      </c>
      <c r="C7" s="718">
        <v>10000000</v>
      </c>
      <c r="D7" s="718">
        <f>10000000-5334000-355600-2200360-491236-1500000-118804</f>
        <v>0</v>
      </c>
      <c r="E7" s="633"/>
      <c r="F7" s="633"/>
      <c r="G7" s="323" t="s">
        <v>38</v>
      </c>
      <c r="H7" s="82" t="s">
        <v>228</v>
      </c>
    </row>
    <row r="8" spans="1:8" ht="30" customHeight="1" x14ac:dyDescent="0.2">
      <c r="A8" s="56" t="s">
        <v>195</v>
      </c>
      <c r="B8" s="1490" t="s">
        <v>861</v>
      </c>
      <c r="C8" s="697">
        <v>10000000</v>
      </c>
      <c r="D8" s="697">
        <f>10000000-2476500-2476500-5047000</f>
        <v>0</v>
      </c>
      <c r="E8" s="116"/>
      <c r="F8" s="116"/>
      <c r="G8" s="119" t="s">
        <v>38</v>
      </c>
      <c r="H8" s="83" t="s">
        <v>228</v>
      </c>
    </row>
    <row r="9" spans="1:8" ht="30" customHeight="1" x14ac:dyDescent="0.2">
      <c r="A9" s="56" t="s">
        <v>196</v>
      </c>
      <c r="B9" s="1490" t="s">
        <v>181</v>
      </c>
      <c r="C9" s="116">
        <v>10000000</v>
      </c>
      <c r="D9" s="116">
        <f>10000000-10000000</f>
        <v>0</v>
      </c>
      <c r="E9" s="116">
        <v>10000000</v>
      </c>
      <c r="F9" s="116">
        <v>10000000</v>
      </c>
      <c r="G9" s="119" t="s">
        <v>38</v>
      </c>
      <c r="H9" s="83" t="s">
        <v>228</v>
      </c>
    </row>
    <row r="10" spans="1:8" s="9" customFormat="1" ht="20.25" customHeight="1" x14ac:dyDescent="0.2">
      <c r="A10" s="56" t="s">
        <v>197</v>
      </c>
      <c r="B10" s="1490" t="s">
        <v>1325</v>
      </c>
      <c r="C10" s="116">
        <f>3000000+2000000+2000000+5000000+5000000</f>
        <v>17000000</v>
      </c>
      <c r="D10" s="116">
        <f>3000000+2000000+2000000+5000000+5000000-5000000-800000-571500-381000-355600-203200-127000</f>
        <v>9561700</v>
      </c>
      <c r="E10" s="116"/>
      <c r="F10" s="116"/>
      <c r="G10" s="119" t="s">
        <v>38</v>
      </c>
      <c r="H10" s="83" t="s">
        <v>228</v>
      </c>
    </row>
    <row r="11" spans="1:8" s="9" customFormat="1" ht="20.25" customHeight="1" x14ac:dyDescent="0.2">
      <c r="A11" s="731" t="s">
        <v>198</v>
      </c>
      <c r="B11" s="1270" t="s">
        <v>1381</v>
      </c>
      <c r="C11" s="117">
        <v>5000000</v>
      </c>
      <c r="D11" s="117">
        <f>5000000-4906000-90170</f>
        <v>3830</v>
      </c>
      <c r="E11" s="117"/>
      <c r="F11" s="117"/>
      <c r="G11" s="732" t="s">
        <v>38</v>
      </c>
      <c r="H11" s="795" t="s">
        <v>228</v>
      </c>
    </row>
    <row r="12" spans="1:8" ht="20.25" customHeight="1" x14ac:dyDescent="0.2">
      <c r="A12" s="796"/>
      <c r="B12" s="1578" t="s">
        <v>361</v>
      </c>
      <c r="C12" s="1568">
        <f>SUM(C13:C20)</f>
        <v>28348488</v>
      </c>
      <c r="D12" s="1568">
        <f>SUM(D13:D20)</f>
        <v>38100269</v>
      </c>
      <c r="E12" s="1568">
        <f>SUM(E13:E20)</f>
        <v>0</v>
      </c>
      <c r="F12" s="1568">
        <f>SUM(F13:F20)</f>
        <v>0</v>
      </c>
      <c r="G12" s="1579"/>
      <c r="H12" s="1580"/>
    </row>
    <row r="13" spans="1:8" ht="18.75" customHeight="1" x14ac:dyDescent="0.2">
      <c r="A13" s="68" t="s">
        <v>194</v>
      </c>
      <c r="B13" s="334" t="s">
        <v>362</v>
      </c>
      <c r="C13" s="74">
        <v>2044893</v>
      </c>
      <c r="D13" s="74">
        <v>2044893</v>
      </c>
      <c r="E13" s="74"/>
      <c r="F13" s="74"/>
      <c r="G13" s="42" t="s">
        <v>38</v>
      </c>
      <c r="H13" s="719" t="s">
        <v>228</v>
      </c>
    </row>
    <row r="14" spans="1:8" ht="18.75" customHeight="1" x14ac:dyDescent="0.2">
      <c r="A14" s="46" t="s">
        <v>195</v>
      </c>
      <c r="B14" s="1490" t="s">
        <v>363</v>
      </c>
      <c r="C14" s="64">
        <v>659324</v>
      </c>
      <c r="D14" s="64">
        <v>659324</v>
      </c>
      <c r="E14" s="697"/>
      <c r="F14" s="697"/>
      <c r="G14" s="45" t="s">
        <v>38</v>
      </c>
      <c r="H14" s="70" t="s">
        <v>228</v>
      </c>
    </row>
    <row r="15" spans="1:8" ht="18.75" customHeight="1" x14ac:dyDescent="0.2">
      <c r="A15" s="46" t="s">
        <v>196</v>
      </c>
      <c r="B15" s="1490" t="s">
        <v>364</v>
      </c>
      <c r="C15" s="64">
        <v>4074055</v>
      </c>
      <c r="D15" s="64">
        <v>4074055</v>
      </c>
      <c r="E15" s="64"/>
      <c r="F15" s="64"/>
      <c r="G15" s="45" t="s">
        <v>38</v>
      </c>
      <c r="H15" s="70" t="s">
        <v>228</v>
      </c>
    </row>
    <row r="16" spans="1:8" ht="18.75" customHeight="1" x14ac:dyDescent="0.2">
      <c r="A16" s="46" t="s">
        <v>197</v>
      </c>
      <c r="B16" s="1490" t="s">
        <v>365</v>
      </c>
      <c r="C16" s="64">
        <v>1521732</v>
      </c>
      <c r="D16" s="64">
        <f>1521732+851400</f>
        <v>2373132</v>
      </c>
      <c r="E16" s="64"/>
      <c r="F16" s="64"/>
      <c r="G16" s="45" t="s">
        <v>38</v>
      </c>
      <c r="H16" s="70" t="s">
        <v>228</v>
      </c>
    </row>
    <row r="17" spans="1:11" ht="18.75" customHeight="1" x14ac:dyDescent="0.2">
      <c r="A17" s="46" t="s">
        <v>198</v>
      </c>
      <c r="B17" s="1490" t="s">
        <v>366</v>
      </c>
      <c r="C17" s="64">
        <v>9494228</v>
      </c>
      <c r="D17" s="64">
        <f>9494228+400000+100000+100000+100000+100000+100000+100000</f>
        <v>10494228</v>
      </c>
      <c r="E17" s="64"/>
      <c r="F17" s="64"/>
      <c r="G17" s="45" t="s">
        <v>38</v>
      </c>
      <c r="H17" s="70" t="s">
        <v>228</v>
      </c>
    </row>
    <row r="18" spans="1:11" ht="33.75" customHeight="1" x14ac:dyDescent="0.2">
      <c r="A18" s="46" t="s">
        <v>199</v>
      </c>
      <c r="B18" s="1490" t="s">
        <v>2851</v>
      </c>
      <c r="C18" s="697">
        <v>10245932</v>
      </c>
      <c r="D18" s="697">
        <f>10245932-10245932+81769454-17384058-24794212-3048000+3048000-21444871</f>
        <v>18146313</v>
      </c>
      <c r="E18" s="697"/>
      <c r="F18" s="697"/>
      <c r="G18" s="45" t="s">
        <v>38</v>
      </c>
      <c r="H18" s="70" t="s">
        <v>228</v>
      </c>
    </row>
    <row r="19" spans="1:11" ht="28.5" customHeight="1" x14ac:dyDescent="0.2">
      <c r="A19" s="46" t="s">
        <v>200</v>
      </c>
      <c r="B19" s="1490" t="s">
        <v>887</v>
      </c>
      <c r="C19" s="697">
        <v>308324</v>
      </c>
      <c r="D19" s="697">
        <v>308324</v>
      </c>
      <c r="E19" s="697"/>
      <c r="F19" s="697"/>
      <c r="G19" s="45" t="s">
        <v>38</v>
      </c>
      <c r="H19" s="70" t="s">
        <v>228</v>
      </c>
    </row>
    <row r="20" spans="1:11" s="9" customFormat="1" ht="26.25" customHeight="1" x14ac:dyDescent="0.2">
      <c r="A20" s="148" t="s">
        <v>201</v>
      </c>
      <c r="B20" s="153" t="s">
        <v>740</v>
      </c>
      <c r="C20" s="154">
        <v>0</v>
      </c>
      <c r="D20" s="154">
        <v>0</v>
      </c>
      <c r="E20" s="154"/>
      <c r="F20" s="154"/>
      <c r="G20" s="155" t="s">
        <v>38</v>
      </c>
      <c r="H20" s="12" t="s">
        <v>228</v>
      </c>
    </row>
    <row r="21" spans="1:11" ht="18.75" customHeight="1" x14ac:dyDescent="0.2">
      <c r="A21" s="71"/>
      <c r="B21" s="73" t="s">
        <v>442</v>
      </c>
      <c r="C21" s="114">
        <f>C22</f>
        <v>0</v>
      </c>
      <c r="D21" s="114">
        <f>D22</f>
        <v>0</v>
      </c>
      <c r="E21" s="114">
        <f>E22</f>
        <v>0</v>
      </c>
      <c r="F21" s="114">
        <f>F22</f>
        <v>0</v>
      </c>
      <c r="G21" s="72"/>
      <c r="H21" s="1574"/>
    </row>
    <row r="22" spans="1:11" ht="18.75" customHeight="1" x14ac:dyDescent="0.2">
      <c r="A22" s="1575"/>
      <c r="B22" s="110"/>
      <c r="C22" s="115"/>
      <c r="D22" s="115"/>
      <c r="E22" s="115"/>
      <c r="F22" s="115"/>
      <c r="G22" s="1576"/>
      <c r="H22" s="720"/>
    </row>
    <row r="23" spans="1:11" ht="20.25" customHeight="1" x14ac:dyDescent="0.2">
      <c r="A23" s="1813" t="s">
        <v>186</v>
      </c>
      <c r="B23" s="1814"/>
      <c r="C23" s="1814"/>
      <c r="D23" s="1814"/>
      <c r="E23" s="1814"/>
      <c r="F23" s="1814"/>
      <c r="G23" s="1814"/>
      <c r="H23" s="1815"/>
      <c r="K23" s="20">
        <v>163370000</v>
      </c>
    </row>
    <row r="24" spans="1:11" s="39" customFormat="1" ht="20.25" customHeight="1" x14ac:dyDescent="0.2">
      <c r="A24" s="1721" t="s">
        <v>187</v>
      </c>
      <c r="B24" s="1722"/>
      <c r="C24" s="106">
        <f>+C25</f>
        <v>0</v>
      </c>
      <c r="D24" s="106">
        <f>+D25</f>
        <v>0</v>
      </c>
      <c r="E24" s="106">
        <f>+E25</f>
        <v>0</v>
      </c>
      <c r="F24" s="106">
        <f>+F25</f>
        <v>0</v>
      </c>
      <c r="G24" s="107"/>
      <c r="H24" s="108"/>
      <c r="K24" s="39">
        <v>167220000</v>
      </c>
    </row>
    <row r="25" spans="1:11" ht="20.25" customHeight="1" x14ac:dyDescent="0.2">
      <c r="A25" s="721"/>
      <c r="B25" s="722"/>
      <c r="C25" s="723">
        <v>0</v>
      </c>
      <c r="D25" s="723">
        <v>0</v>
      </c>
      <c r="E25" s="723"/>
      <c r="F25" s="723"/>
      <c r="G25" s="1576"/>
      <c r="H25" s="724"/>
      <c r="K25" s="20">
        <f>+K24-K23</f>
        <v>3850000</v>
      </c>
    </row>
    <row r="26" spans="1:11" ht="20.25" customHeight="1" x14ac:dyDescent="0.2">
      <c r="A26" s="61"/>
      <c r="B26" s="50"/>
      <c r="C26" s="51"/>
      <c r="D26" s="51"/>
      <c r="E26" s="51"/>
      <c r="F26" s="51"/>
      <c r="G26" s="52"/>
      <c r="H26" s="75"/>
    </row>
    <row r="27" spans="1:11" s="39" customFormat="1" ht="20.25" customHeight="1" x14ac:dyDescent="0.2">
      <c r="A27" s="1721" t="s">
        <v>188</v>
      </c>
      <c r="B27" s="1722"/>
      <c r="C27" s="106">
        <f>SUM(C28:C45)</f>
        <v>420919836</v>
      </c>
      <c r="D27" s="106">
        <f>SUM(D28:D45)</f>
        <v>70156599</v>
      </c>
      <c r="E27" s="106">
        <f>SUM(E28:E45)</f>
        <v>0</v>
      </c>
      <c r="F27" s="106">
        <f>SUM(F28:F45)</f>
        <v>0</v>
      </c>
      <c r="G27" s="107"/>
      <c r="H27" s="108"/>
    </row>
    <row r="28" spans="1:11" ht="18.75" customHeight="1" x14ac:dyDescent="0.2">
      <c r="A28" s="55" t="s">
        <v>194</v>
      </c>
      <c r="B28" s="334" t="s">
        <v>48</v>
      </c>
      <c r="C28" s="335">
        <v>235459836</v>
      </c>
      <c r="D28" s="335">
        <f>235459836-24500000-8953500-26736-1333500-15000-82550-5461000-3826500-2607074-469900-767080-480949-40000-477520-539750-635000-569148-2870200-1938655-190500-50800-2297748-406400-3175000-477520-88545-1066419-281108-1812722-110911-80000-80000-7619171-8047-223520-49149-158560-138113-402336-125047-747046-5905500-3556000-772160-75000-708660-239848-243382-2080500-1030262-660400-850900-1330200-75311-519500-1270000-1399794-2843700-2534552-1252220-246573-107950-166366-75797-374650-179461-200000-171450-191001-11724-31950-328499-3577301-381000-909320-208280-240000-1408500-1085850-634111-1841170-209550-543179-4375978-293370-1121359-3946144-196977-125730-1002500-1990000-1929735-7138924-164999-174225-12763500-8265-682101-44450-209550-445135-14962632-380000-1079851-647700-561965-252603-22000000-868680-381000-348099-138400-427500-65000-396875-300000-2286000-100000-844550-904875-603250-941070-1930400-1689100-2535300-2468032-627399-2508213-698500-4096092-4983436-297612-1920000-4900000</f>
        <v>6048465</v>
      </c>
      <c r="E28" s="335"/>
      <c r="F28" s="335"/>
      <c r="G28" s="323" t="s">
        <v>38</v>
      </c>
      <c r="H28" s="82" t="s">
        <v>228</v>
      </c>
    </row>
    <row r="29" spans="1:11" s="9" customFormat="1" ht="18.75" customHeight="1" x14ac:dyDescent="0.2">
      <c r="A29" s="56" t="s">
        <v>195</v>
      </c>
      <c r="B29" s="1490" t="s">
        <v>917</v>
      </c>
      <c r="C29" s="131">
        <v>10000000</v>
      </c>
      <c r="D29" s="131">
        <f>10000000-3294400-6705600</f>
        <v>0</v>
      </c>
      <c r="E29" s="131"/>
      <c r="F29" s="131"/>
      <c r="G29" s="119" t="s">
        <v>38</v>
      </c>
      <c r="H29" s="83" t="s">
        <v>228</v>
      </c>
    </row>
    <row r="30" spans="1:11" ht="18.75" customHeight="1" x14ac:dyDescent="0.2">
      <c r="A30" s="56" t="s">
        <v>196</v>
      </c>
      <c r="B30" s="1490" t="s">
        <v>913</v>
      </c>
      <c r="C30" s="131">
        <v>3000000</v>
      </c>
      <c r="D30" s="131">
        <f>3000000-3000000</f>
        <v>0</v>
      </c>
      <c r="E30" s="131"/>
      <c r="F30" s="131"/>
      <c r="G30" s="119" t="s">
        <v>38</v>
      </c>
      <c r="H30" s="83" t="s">
        <v>228</v>
      </c>
    </row>
    <row r="31" spans="1:11" ht="18.75" customHeight="1" x14ac:dyDescent="0.2">
      <c r="A31" s="56" t="s">
        <v>197</v>
      </c>
      <c r="B31" s="76" t="s">
        <v>43</v>
      </c>
      <c r="C31" s="131">
        <f>3000000+390000</f>
        <v>3390000</v>
      </c>
      <c r="D31" s="131">
        <f>3000000+390000-3390000</f>
        <v>0</v>
      </c>
      <c r="E31" s="131"/>
      <c r="F31" s="131"/>
      <c r="G31" s="119" t="s">
        <v>38</v>
      </c>
      <c r="H31" s="83" t="s">
        <v>228</v>
      </c>
    </row>
    <row r="32" spans="1:11" ht="18.75" customHeight="1" x14ac:dyDescent="0.2">
      <c r="A32" s="56" t="s">
        <v>198</v>
      </c>
      <c r="B32" s="76" t="s">
        <v>872</v>
      </c>
      <c r="C32" s="131"/>
      <c r="D32" s="131"/>
      <c r="E32" s="131"/>
      <c r="F32" s="131"/>
      <c r="G32" s="119" t="s">
        <v>38</v>
      </c>
      <c r="H32" s="83" t="s">
        <v>228</v>
      </c>
    </row>
    <row r="33" spans="1:8" ht="33" customHeight="1" x14ac:dyDescent="0.2">
      <c r="A33" s="56" t="s">
        <v>199</v>
      </c>
      <c r="B33" s="76" t="s">
        <v>44</v>
      </c>
      <c r="C33" s="131">
        <v>3000000</v>
      </c>
      <c r="D33" s="131">
        <f>3000000-3000000</f>
        <v>0</v>
      </c>
      <c r="E33" s="131"/>
      <c r="F33" s="131"/>
      <c r="G33" s="156" t="s">
        <v>41</v>
      </c>
      <c r="H33" s="83" t="s">
        <v>228</v>
      </c>
    </row>
    <row r="34" spans="1:8" s="9" customFormat="1" ht="33" customHeight="1" x14ac:dyDescent="0.2">
      <c r="A34" s="56" t="s">
        <v>200</v>
      </c>
      <c r="B34" s="76" t="s">
        <v>863</v>
      </c>
      <c r="C34" s="131"/>
      <c r="D34" s="131"/>
      <c r="E34" s="131"/>
      <c r="F34" s="131"/>
      <c r="G34" s="156" t="s">
        <v>38</v>
      </c>
      <c r="H34" s="83" t="s">
        <v>864</v>
      </c>
    </row>
    <row r="35" spans="1:8" s="9" customFormat="1" ht="28.5" customHeight="1" x14ac:dyDescent="0.2">
      <c r="A35" s="56" t="s">
        <v>201</v>
      </c>
      <c r="B35" s="76" t="s">
        <v>45</v>
      </c>
      <c r="C35" s="131">
        <v>2000000</v>
      </c>
      <c r="D35" s="131">
        <f>2000000-750000-1250000</f>
        <v>0</v>
      </c>
      <c r="E35" s="131"/>
      <c r="F35" s="131"/>
      <c r="G35" s="156" t="s">
        <v>41</v>
      </c>
      <c r="H35" s="83" t="s">
        <v>228</v>
      </c>
    </row>
    <row r="36" spans="1:8" s="9" customFormat="1" ht="18.75" customHeight="1" x14ac:dyDescent="0.2">
      <c r="A36" s="56" t="s">
        <v>202</v>
      </c>
      <c r="B36" s="76" t="s">
        <v>46</v>
      </c>
      <c r="C36" s="131">
        <f>3000000+390000</f>
        <v>3390000</v>
      </c>
      <c r="D36" s="131">
        <f>3000000+390000</f>
        <v>3390000</v>
      </c>
      <c r="E36" s="131"/>
      <c r="F36" s="131"/>
      <c r="G36" s="119" t="s">
        <v>38</v>
      </c>
      <c r="H36" s="83" t="s">
        <v>228</v>
      </c>
    </row>
    <row r="37" spans="1:8" s="9" customFormat="1" ht="18.75" customHeight="1" x14ac:dyDescent="0.2">
      <c r="A37" s="56" t="s">
        <v>203</v>
      </c>
      <c r="B37" s="76" t="s">
        <v>47</v>
      </c>
      <c r="C37" s="131">
        <f>2000000+260000</f>
        <v>2260000</v>
      </c>
      <c r="D37" s="131">
        <f>2000000+260000-960000</f>
        <v>1300000</v>
      </c>
      <c r="E37" s="131"/>
      <c r="F37" s="131"/>
      <c r="G37" s="119" t="s">
        <v>38</v>
      </c>
      <c r="H37" s="83" t="s">
        <v>228</v>
      </c>
    </row>
    <row r="38" spans="1:8" s="9" customFormat="1" ht="18.75" customHeight="1" x14ac:dyDescent="0.2">
      <c r="A38" s="56" t="s">
        <v>204</v>
      </c>
      <c r="B38" s="1490" t="s">
        <v>533</v>
      </c>
      <c r="C38" s="131"/>
      <c r="D38" s="131">
        <f>2037004+2619348+2596264+19413400+2663304-169661+2607203-29159659+2612303+589000+2570921+2510268+2523290+2618209-16031194+2325296+2359553+7904685</f>
        <v>12589534</v>
      </c>
      <c r="E38" s="131"/>
      <c r="F38" s="131"/>
      <c r="G38" s="119" t="s">
        <v>38</v>
      </c>
      <c r="H38" s="83" t="s">
        <v>228</v>
      </c>
    </row>
    <row r="39" spans="1:8" ht="18.75" customHeight="1" x14ac:dyDescent="0.2">
      <c r="A39" s="56" t="s">
        <v>231</v>
      </c>
      <c r="B39" s="658" t="s">
        <v>611</v>
      </c>
      <c r="C39" s="131">
        <v>10000000</v>
      </c>
      <c r="D39" s="131">
        <v>10000000</v>
      </c>
      <c r="E39" s="131"/>
      <c r="F39" s="131"/>
      <c r="G39" s="119" t="s">
        <v>38</v>
      </c>
      <c r="H39" s="83" t="s">
        <v>228</v>
      </c>
    </row>
    <row r="40" spans="1:8" ht="18.75" customHeight="1" x14ac:dyDescent="0.2">
      <c r="A40" s="56" t="s">
        <v>232</v>
      </c>
      <c r="B40" s="658" t="s">
        <v>926</v>
      </c>
      <c r="C40" s="131"/>
      <c r="D40" s="131"/>
      <c r="E40" s="131"/>
      <c r="F40" s="131"/>
      <c r="G40" s="119"/>
      <c r="H40" s="83"/>
    </row>
    <row r="41" spans="1:8" ht="18.75" customHeight="1" x14ac:dyDescent="0.2">
      <c r="A41" s="56" t="s">
        <v>233</v>
      </c>
      <c r="B41" s="658" t="s">
        <v>856</v>
      </c>
      <c r="C41" s="131">
        <v>35000000</v>
      </c>
      <c r="D41" s="131">
        <f>35000000-35000000</f>
        <v>0</v>
      </c>
      <c r="E41" s="131"/>
      <c r="F41" s="131"/>
      <c r="G41" s="119" t="s">
        <v>38</v>
      </c>
      <c r="H41" s="83" t="s">
        <v>228</v>
      </c>
    </row>
    <row r="42" spans="1:8" ht="18.75" customHeight="1" x14ac:dyDescent="0.2">
      <c r="A42" s="56" t="s">
        <v>234</v>
      </c>
      <c r="B42" s="658" t="s">
        <v>855</v>
      </c>
      <c r="C42" s="131">
        <v>75000000</v>
      </c>
      <c r="D42" s="131">
        <f>75000000-3955000-27402500-2293900-5980000</f>
        <v>35368600</v>
      </c>
      <c r="E42" s="131"/>
      <c r="F42" s="131"/>
      <c r="G42" s="119" t="s">
        <v>38</v>
      </c>
      <c r="H42" s="83" t="s">
        <v>228</v>
      </c>
    </row>
    <row r="43" spans="1:8" ht="18.75" customHeight="1" x14ac:dyDescent="0.2">
      <c r="A43" s="56" t="s">
        <v>235</v>
      </c>
      <c r="B43" s="1490" t="s">
        <v>1300</v>
      </c>
      <c r="C43" s="131">
        <f>2000000+260000</f>
        <v>2260000</v>
      </c>
      <c r="D43" s="131">
        <f>2000000+260000-400000-200000-200000</f>
        <v>1460000</v>
      </c>
      <c r="E43" s="131"/>
      <c r="F43" s="131"/>
      <c r="G43" s="119" t="s">
        <v>38</v>
      </c>
      <c r="H43" s="83" t="s">
        <v>228</v>
      </c>
    </row>
    <row r="44" spans="1:8" ht="18.75" customHeight="1" x14ac:dyDescent="0.2">
      <c r="A44" s="56" t="s">
        <v>236</v>
      </c>
      <c r="B44" s="1490" t="s">
        <v>1301</v>
      </c>
      <c r="C44" s="131">
        <f>20000000+2600000</f>
        <v>22600000</v>
      </c>
      <c r="D44" s="131">
        <f>20000000+2600000-3186600-19413400</f>
        <v>0</v>
      </c>
      <c r="E44" s="131"/>
      <c r="F44" s="131"/>
      <c r="G44" s="119" t="s">
        <v>38</v>
      </c>
      <c r="H44" s="83" t="s">
        <v>228</v>
      </c>
    </row>
    <row r="45" spans="1:8" ht="18.75" customHeight="1" x14ac:dyDescent="0.2">
      <c r="A45" s="148" t="s">
        <v>237</v>
      </c>
      <c r="B45" s="153" t="s">
        <v>1302</v>
      </c>
      <c r="C45" s="151">
        <f>12000000+1560000</f>
        <v>13560000</v>
      </c>
      <c r="D45" s="151">
        <f>12000000+1560000-13560000</f>
        <v>0</v>
      </c>
      <c r="E45" s="151"/>
      <c r="F45" s="151"/>
      <c r="G45" s="155" t="s">
        <v>38</v>
      </c>
      <c r="H45" s="12" t="s">
        <v>228</v>
      </c>
    </row>
    <row r="46" spans="1:8" ht="20.25" customHeight="1" x14ac:dyDescent="0.2">
      <c r="A46" s="61"/>
      <c r="B46" s="50"/>
      <c r="C46" s="51"/>
      <c r="D46" s="51"/>
      <c r="E46" s="51"/>
      <c r="F46" s="51"/>
      <c r="G46" s="52"/>
      <c r="H46" s="53"/>
    </row>
    <row r="47" spans="1:8" s="39" customFormat="1" ht="20.25" customHeight="1" x14ac:dyDescent="0.2">
      <c r="A47" s="1822" t="s">
        <v>189</v>
      </c>
      <c r="B47" s="1823"/>
      <c r="C47" s="103">
        <f>SUM(C48:C49)</f>
        <v>100000000</v>
      </c>
      <c r="D47" s="103">
        <f>SUM(D48:D49)</f>
        <v>52908541</v>
      </c>
      <c r="E47" s="103">
        <f>SUM(E48:E49)</f>
        <v>0</v>
      </c>
      <c r="F47" s="103">
        <f>SUM(F48:F49)</f>
        <v>0</v>
      </c>
      <c r="G47" s="104"/>
      <c r="H47" s="105"/>
    </row>
    <row r="48" spans="1:8" s="39" customFormat="1" ht="28.5" customHeight="1" x14ac:dyDescent="0.2">
      <c r="A48" s="55" t="s">
        <v>194</v>
      </c>
      <c r="B48" s="334" t="s">
        <v>114</v>
      </c>
      <c r="C48" s="335">
        <v>50000000</v>
      </c>
      <c r="D48" s="335">
        <v>50000000</v>
      </c>
      <c r="E48" s="335">
        <v>0</v>
      </c>
      <c r="F48" s="335"/>
      <c r="G48" s="323" t="s">
        <v>38</v>
      </c>
      <c r="H48" s="82" t="s">
        <v>228</v>
      </c>
    </row>
    <row r="49" spans="1:9" ht="21" customHeight="1" x14ac:dyDescent="0.2">
      <c r="A49" s="148" t="s">
        <v>195</v>
      </c>
      <c r="B49" s="153" t="s">
        <v>668</v>
      </c>
      <c r="C49" s="151">
        <f>50000000</f>
        <v>50000000</v>
      </c>
      <c r="D49" s="151">
        <f>50000000-6584950-6506509-6000000-28000000</f>
        <v>2908541</v>
      </c>
      <c r="E49" s="696"/>
      <c r="F49" s="696"/>
      <c r="G49" s="155" t="s">
        <v>38</v>
      </c>
      <c r="H49" s="12" t="s">
        <v>228</v>
      </c>
      <c r="I49" s="20" t="s">
        <v>652</v>
      </c>
    </row>
    <row r="50" spans="1:9" ht="23.25" customHeight="1" x14ac:dyDescent="0.2">
      <c r="A50" s="57"/>
      <c r="C50" s="54"/>
      <c r="D50" s="54"/>
      <c r="E50" s="54"/>
      <c r="F50" s="54"/>
      <c r="H50" s="211"/>
    </row>
    <row r="51" spans="1:9" ht="20.25" customHeight="1" x14ac:dyDescent="0.2">
      <c r="A51" s="1721" t="s">
        <v>190</v>
      </c>
      <c r="B51" s="1722"/>
      <c r="C51" s="106">
        <f>SUM(C52:C54)</f>
        <v>18000000</v>
      </c>
      <c r="D51" s="106">
        <f>SUM(D52:D54)</f>
        <v>415000</v>
      </c>
      <c r="E51" s="106">
        <f>SUM(E52:E54)</f>
        <v>0</v>
      </c>
      <c r="F51" s="106">
        <f>SUM(F52:F54)</f>
        <v>0</v>
      </c>
      <c r="G51" s="1824"/>
      <c r="H51" s="1825"/>
    </row>
    <row r="52" spans="1:9" ht="34.5" customHeight="1" x14ac:dyDescent="0.2">
      <c r="A52" s="138" t="s">
        <v>194</v>
      </c>
      <c r="B52" s="1271" t="s">
        <v>669</v>
      </c>
      <c r="C52" s="97">
        <v>15000000</v>
      </c>
      <c r="D52" s="97">
        <f>15000000-15000000</f>
        <v>0</v>
      </c>
      <c r="E52" s="97"/>
      <c r="F52" s="97"/>
      <c r="G52" s="139" t="s">
        <v>40</v>
      </c>
      <c r="H52" s="159" t="s">
        <v>228</v>
      </c>
    </row>
    <row r="53" spans="1:9" ht="29.25" customHeight="1" x14ac:dyDescent="0.2">
      <c r="A53" s="56" t="s">
        <v>195</v>
      </c>
      <c r="B53" s="1490" t="s">
        <v>39</v>
      </c>
      <c r="C53" s="116">
        <v>1000000</v>
      </c>
      <c r="D53" s="116">
        <f>1000000-275000-100000-110000-100000</f>
        <v>415000</v>
      </c>
      <c r="E53" s="116"/>
      <c r="F53" s="116"/>
      <c r="G53" s="156" t="s">
        <v>41</v>
      </c>
      <c r="H53" s="83" t="s">
        <v>228</v>
      </c>
    </row>
    <row r="54" spans="1:9" ht="30" customHeight="1" x14ac:dyDescent="0.2">
      <c r="A54" s="148" t="s">
        <v>196</v>
      </c>
      <c r="B54" s="153" t="s">
        <v>664</v>
      </c>
      <c r="C54" s="151">
        <v>2000000</v>
      </c>
      <c r="D54" s="151">
        <f>2000000-500000-200000-100000-200000-200000-50000-250000-250000-250000</f>
        <v>0</v>
      </c>
      <c r="E54" s="151"/>
      <c r="F54" s="151"/>
      <c r="G54" s="797" t="s">
        <v>41</v>
      </c>
      <c r="H54" s="12" t="s">
        <v>228</v>
      </c>
    </row>
    <row r="55" spans="1:9" ht="18.75" customHeight="1" x14ac:dyDescent="0.2">
      <c r="A55" s="57"/>
      <c r="B55" s="58"/>
      <c r="C55" s="54"/>
      <c r="D55" s="54"/>
      <c r="E55" s="54"/>
      <c r="F55" s="54"/>
      <c r="G55" s="59"/>
      <c r="H55" s="794"/>
    </row>
    <row r="56" spans="1:9" s="39" customFormat="1" ht="20.25" customHeight="1" x14ac:dyDescent="0.2">
      <c r="A56" s="1721" t="s">
        <v>191</v>
      </c>
      <c r="B56" s="1722"/>
      <c r="C56" s="106">
        <f>SUM(C57:C68)</f>
        <v>247281638</v>
      </c>
      <c r="D56" s="106">
        <f>SUM(D57:D69)</f>
        <v>1668241251</v>
      </c>
      <c r="E56" s="106">
        <f>SUM(E57:E68)</f>
        <v>10000000</v>
      </c>
      <c r="F56" s="106">
        <f>SUM(F57:F68)</f>
        <v>10000000</v>
      </c>
      <c r="G56" s="107"/>
      <c r="H56" s="108"/>
    </row>
    <row r="57" spans="1:9" s="39" customFormat="1" ht="19.5" customHeight="1" x14ac:dyDescent="0.2">
      <c r="A57" s="55" t="s">
        <v>194</v>
      </c>
      <c r="B57" s="334" t="s">
        <v>398</v>
      </c>
      <c r="C57" s="633">
        <v>10000000</v>
      </c>
      <c r="D57" s="633">
        <f>10000000-500000-4465300-993597-1482802-712857-1845444</f>
        <v>0</v>
      </c>
      <c r="E57" s="633">
        <v>10000000</v>
      </c>
      <c r="F57" s="633">
        <v>10000000</v>
      </c>
      <c r="G57" s="323" t="s">
        <v>38</v>
      </c>
      <c r="H57" s="82" t="s">
        <v>228</v>
      </c>
    </row>
    <row r="58" spans="1:9" s="39" customFormat="1" ht="19.5" customHeight="1" x14ac:dyDescent="0.2">
      <c r="A58" s="56" t="s">
        <v>195</v>
      </c>
      <c r="B58" s="1490" t="s">
        <v>42</v>
      </c>
      <c r="C58" s="697">
        <f>30500000+63500000-64000000+864742</f>
        <v>30864742</v>
      </c>
      <c r="D58" s="697">
        <f>30500000+63500000-64000000+864742-4768251-87549-1554735-2000000-8087000-3429000-10000000+58589897-600000-15043838-1270000-3048000-10795000-5000000-3581400-2000000-5000000-2500000</f>
        <v>10689866</v>
      </c>
      <c r="E58" s="697"/>
      <c r="F58" s="697"/>
      <c r="G58" s="119" t="s">
        <v>38</v>
      </c>
      <c r="H58" s="83" t="s">
        <v>228</v>
      </c>
    </row>
    <row r="59" spans="1:9" s="39" customFormat="1" ht="29.25" customHeight="1" x14ac:dyDescent="0.2">
      <c r="A59" s="56" t="s">
        <v>196</v>
      </c>
      <c r="B59" s="1490" t="s">
        <v>893</v>
      </c>
      <c r="C59" s="116">
        <f>46979111+89437785</f>
        <v>136416896</v>
      </c>
      <c r="D59" s="116">
        <f>46979111+89437785-81769454</f>
        <v>54647442</v>
      </c>
      <c r="E59" s="116"/>
      <c r="F59" s="116"/>
      <c r="G59" s="119" t="s">
        <v>38</v>
      </c>
      <c r="H59" s="83" t="s">
        <v>228</v>
      </c>
    </row>
    <row r="60" spans="1:9" s="39" customFormat="1" ht="29.25" customHeight="1" x14ac:dyDescent="0.2">
      <c r="A60" s="56" t="s">
        <v>197</v>
      </c>
      <c r="B60" s="1490" t="s">
        <v>911</v>
      </c>
      <c r="C60" s="116"/>
      <c r="D60" s="116"/>
      <c r="E60" s="116"/>
      <c r="F60" s="116"/>
      <c r="G60" s="119"/>
      <c r="H60" s="83"/>
    </row>
    <row r="61" spans="1:9" s="39" customFormat="1" ht="24" customHeight="1" x14ac:dyDescent="0.2">
      <c r="A61" s="56" t="s">
        <v>198</v>
      </c>
      <c r="B61" s="1490" t="s">
        <v>1848</v>
      </c>
      <c r="C61" s="116"/>
      <c r="D61" s="116"/>
      <c r="E61" s="116"/>
      <c r="F61" s="116"/>
      <c r="G61" s="119" t="s">
        <v>38</v>
      </c>
      <c r="H61" s="83" t="s">
        <v>228</v>
      </c>
    </row>
    <row r="62" spans="1:9" s="39" customFormat="1" ht="21" customHeight="1" x14ac:dyDescent="0.2">
      <c r="A62" s="56" t="s">
        <v>199</v>
      </c>
      <c r="B62" s="1490" t="s">
        <v>661</v>
      </c>
      <c r="C62" s="116">
        <v>20000000</v>
      </c>
      <c r="D62" s="116">
        <v>20000000</v>
      </c>
      <c r="E62" s="697"/>
      <c r="F62" s="697"/>
      <c r="G62" s="119" t="s">
        <v>38</v>
      </c>
      <c r="H62" s="83" t="s">
        <v>228</v>
      </c>
    </row>
    <row r="63" spans="1:9" s="39" customFormat="1" ht="21" customHeight="1" x14ac:dyDescent="0.2">
      <c r="A63" s="56" t="s">
        <v>200</v>
      </c>
      <c r="B63" s="1490" t="s">
        <v>568</v>
      </c>
      <c r="C63" s="131">
        <v>50000000</v>
      </c>
      <c r="D63" s="131">
        <f>50000000+7953135+65301997+72036518+25448730</f>
        <v>220740380</v>
      </c>
      <c r="E63" s="131"/>
      <c r="F63" s="131"/>
      <c r="G63" s="119" t="s">
        <v>38</v>
      </c>
      <c r="H63" s="83" t="s">
        <v>228</v>
      </c>
    </row>
    <row r="64" spans="1:9" s="39" customFormat="1" ht="19.5" customHeight="1" x14ac:dyDescent="0.2">
      <c r="A64" s="56" t="s">
        <v>201</v>
      </c>
      <c r="B64" s="725" t="s">
        <v>794</v>
      </c>
      <c r="C64" s="116"/>
      <c r="D64" s="116">
        <f>10000+630000-200000+1484000+200000+10000+60400+353060+100000+100000-72000-700000+100000-400000+1379900-321500+1500000+3000000-5000000+423176559+58950-500000-200000+130000000-26797000+50018542+454000+4747000+103000000-1879600-450000-51619369-320000+14103350+1585600+28146-6604000+99838+72549+6521-206262-27375288-30522522-280506+804000+9090</f>
        <v>583643458</v>
      </c>
      <c r="E64" s="116"/>
      <c r="F64" s="116"/>
      <c r="G64" s="119" t="s">
        <v>38</v>
      </c>
      <c r="H64" s="83" t="s">
        <v>228</v>
      </c>
    </row>
    <row r="65" spans="1:11" s="271" customFormat="1" ht="22.5" customHeight="1" x14ac:dyDescent="0.2">
      <c r="A65" s="56" t="s">
        <v>202</v>
      </c>
      <c r="B65" s="658" t="s">
        <v>795</v>
      </c>
      <c r="C65" s="116"/>
      <c r="D65" s="116">
        <f>2916629+69124+104600+400000+6185301-3000000+191708854+522522+16498200-851400</f>
        <v>214553830</v>
      </c>
      <c r="E65" s="116"/>
      <c r="F65" s="116"/>
      <c r="G65" s="119" t="s">
        <v>38</v>
      </c>
      <c r="H65" s="83" t="s">
        <v>228</v>
      </c>
      <c r="K65" s="272"/>
    </row>
    <row r="66" spans="1:11" s="271" customFormat="1" ht="22.5" customHeight="1" x14ac:dyDescent="0.2">
      <c r="A66" s="56" t="s">
        <v>203</v>
      </c>
      <c r="B66" s="658" t="s">
        <v>1277</v>
      </c>
      <c r="C66" s="116"/>
      <c r="D66" s="116">
        <f>32017+94060</f>
        <v>126077</v>
      </c>
      <c r="E66" s="116"/>
      <c r="F66" s="116"/>
      <c r="G66" s="119" t="s">
        <v>38</v>
      </c>
      <c r="H66" s="83" t="s">
        <v>228</v>
      </c>
      <c r="K66" s="272"/>
    </row>
    <row r="67" spans="1:11" s="271" customFormat="1" ht="22.5" customHeight="1" x14ac:dyDescent="0.2">
      <c r="A67" s="56" t="s">
        <v>204</v>
      </c>
      <c r="B67" s="658" t="s">
        <v>2338</v>
      </c>
      <c r="C67" s="116"/>
      <c r="D67" s="116">
        <f>40000000-4445000-3556000-381000-635000-30983000+11043562-1905000-3335000-1270000+22275750-6096000-762000+15166850-35118162+33436932-7762000-889000+2198356+173321-1270000-5378876+39515838+250000</f>
        <v>60274571</v>
      </c>
      <c r="E67" s="116"/>
      <c r="F67" s="116"/>
      <c r="G67" s="119" t="s">
        <v>38</v>
      </c>
      <c r="H67" s="83" t="s">
        <v>228</v>
      </c>
      <c r="K67" s="272"/>
    </row>
    <row r="68" spans="1:11" s="271" customFormat="1" ht="58.5" customHeight="1" x14ac:dyDescent="0.2">
      <c r="A68" s="56" t="s">
        <v>231</v>
      </c>
      <c r="B68" s="658" t="s">
        <v>2541</v>
      </c>
      <c r="C68" s="116"/>
      <c r="D68" s="116">
        <f>189906276+189906276</f>
        <v>379812552</v>
      </c>
      <c r="E68" s="116"/>
      <c r="F68" s="116"/>
      <c r="G68" s="119" t="s">
        <v>38</v>
      </c>
      <c r="H68" s="83" t="s">
        <v>228</v>
      </c>
      <c r="K68" s="272"/>
    </row>
    <row r="69" spans="1:11" s="271" customFormat="1" ht="59.25" customHeight="1" x14ac:dyDescent="0.2">
      <c r="A69" s="1524" t="s">
        <v>232</v>
      </c>
      <c r="B69" s="153" t="s">
        <v>3258</v>
      </c>
      <c r="C69" s="154"/>
      <c r="D69" s="154">
        <v>123753075</v>
      </c>
      <c r="E69" s="154"/>
      <c r="F69" s="154"/>
      <c r="G69" s="155" t="s">
        <v>38</v>
      </c>
      <c r="H69" s="12" t="s">
        <v>228</v>
      </c>
      <c r="K69" s="272"/>
    </row>
    <row r="70" spans="1:11" ht="21" customHeight="1" x14ac:dyDescent="0.2">
      <c r="A70" s="57"/>
      <c r="C70" s="54"/>
      <c r="D70" s="54"/>
      <c r="E70" s="54"/>
      <c r="F70" s="54"/>
      <c r="H70" s="211"/>
    </row>
    <row r="71" spans="1:11" s="39" customFormat="1" ht="20.25" customHeight="1" x14ac:dyDescent="0.2">
      <c r="A71" s="1721" t="s">
        <v>670</v>
      </c>
      <c r="B71" s="1722"/>
      <c r="C71" s="106">
        <f>SUM(C72:C73)</f>
        <v>30600000</v>
      </c>
      <c r="D71" s="106">
        <f>SUM(D72:D73)</f>
        <v>33467548</v>
      </c>
      <c r="E71" s="106">
        <f>SUM(E72:E73)</f>
        <v>0</v>
      </c>
      <c r="F71" s="106">
        <f>SUM(F72:F73)</f>
        <v>0</v>
      </c>
      <c r="G71" s="1572"/>
      <c r="H71" s="108"/>
    </row>
    <row r="72" spans="1:11" ht="19.5" customHeight="1" x14ac:dyDescent="0.2">
      <c r="A72" s="138" t="s">
        <v>194</v>
      </c>
      <c r="B72" s="78" t="s">
        <v>49</v>
      </c>
      <c r="C72" s="335">
        <v>25000000</v>
      </c>
      <c r="D72" s="335">
        <f>25000000-3175000+10000000</f>
        <v>31825000</v>
      </c>
      <c r="E72" s="335"/>
      <c r="F72" s="335"/>
      <c r="G72" s="323" t="s">
        <v>40</v>
      </c>
      <c r="H72" s="82" t="s">
        <v>228</v>
      </c>
    </row>
    <row r="73" spans="1:11" ht="19.5" customHeight="1" x14ac:dyDescent="0.2">
      <c r="A73" s="56" t="s">
        <v>195</v>
      </c>
      <c r="B73" s="77" t="s">
        <v>50</v>
      </c>
      <c r="C73" s="151">
        <v>5600000</v>
      </c>
      <c r="D73" s="151">
        <f>5600000-700000-1000000-240000-500000-200000-600000-150000-180000-200000-87452-100000</f>
        <v>1642548</v>
      </c>
      <c r="E73" s="151"/>
      <c r="F73" s="151"/>
      <c r="G73" s="155" t="s">
        <v>38</v>
      </c>
      <c r="H73" s="12" t="s">
        <v>228</v>
      </c>
    </row>
    <row r="74" spans="1:11" s="3" customFormat="1" ht="24" customHeight="1" x14ac:dyDescent="0.25">
      <c r="A74" s="1826" t="s">
        <v>51</v>
      </c>
      <c r="B74" s="1827"/>
      <c r="C74" s="98">
        <f>+C71+C56+C51+C47+C27+C24+C6+C12+C21</f>
        <v>897149962</v>
      </c>
      <c r="D74" s="98">
        <f>+D71+D56+D51+D47+D27+D24+D6+D12+D21</f>
        <v>1872854738</v>
      </c>
      <c r="E74" s="98">
        <f>+E71+E56+E51+E47+E27+E24+E6+E12+E21</f>
        <v>20000000</v>
      </c>
      <c r="F74" s="98">
        <f>+F71+F56+F51+F47+F27+F24+F6+F12+F21</f>
        <v>20000000</v>
      </c>
      <c r="G74" s="99"/>
      <c r="H74" s="100"/>
    </row>
    <row r="75" spans="1:11" x14ac:dyDescent="0.2">
      <c r="A75" s="86"/>
      <c r="B75" s="101"/>
      <c r="C75" s="102">
        <f>+C74-C71</f>
        <v>866549962</v>
      </c>
      <c r="D75" s="102">
        <f>+D74-D76</f>
        <v>0</v>
      </c>
      <c r="E75" s="102"/>
      <c r="F75" s="102"/>
      <c r="G75" s="101"/>
      <c r="H75" s="102">
        <v>710434485</v>
      </c>
      <c r="I75" s="49">
        <f>+C74-H75</f>
        <v>186715477</v>
      </c>
    </row>
    <row r="76" spans="1:11" ht="17.45" customHeight="1" x14ac:dyDescent="0.2">
      <c r="A76" s="1119"/>
      <c r="B76" s="1119"/>
      <c r="C76" s="1119"/>
      <c r="D76" s="1120">
        <f>+'12.sz.függ.Tartalékok vált.'!AX346</f>
        <v>1872854738</v>
      </c>
      <c r="E76" s="1119"/>
      <c r="F76" s="1119"/>
      <c r="G76" s="1119"/>
      <c r="H76" s="1119"/>
    </row>
    <row r="77" spans="1:11" ht="13.15" customHeight="1" x14ac:dyDescent="0.2">
      <c r="A77" s="1119"/>
      <c r="B77" s="1119"/>
      <c r="C77" s="1119"/>
      <c r="D77" s="1119"/>
      <c r="E77" s="1119"/>
      <c r="F77" s="1119"/>
      <c r="G77" s="1119"/>
      <c r="H77" s="1119"/>
    </row>
    <row r="78" spans="1:11" ht="13.15" customHeight="1" x14ac:dyDescent="0.2">
      <c r="A78" s="1119"/>
      <c r="B78" s="1119"/>
      <c r="C78" s="1119"/>
      <c r="D78" s="1119"/>
      <c r="E78" s="1119"/>
      <c r="F78" s="1119"/>
      <c r="G78" s="1119"/>
      <c r="H78" s="1119"/>
    </row>
    <row r="79" spans="1:11" ht="13.15" customHeight="1" x14ac:dyDescent="0.2">
      <c r="A79" s="1119"/>
      <c r="B79" s="1119"/>
      <c r="C79" s="1119"/>
      <c r="D79" s="1119"/>
      <c r="E79" s="1119"/>
      <c r="F79" s="1119"/>
      <c r="G79" s="1119"/>
      <c r="H79" s="1119"/>
    </row>
  </sheetData>
  <mergeCells count="16">
    <mergeCell ref="A47:B47"/>
    <mergeCell ref="G51:H51"/>
    <mergeCell ref="A74:B74"/>
    <mergeCell ref="A51:B51"/>
    <mergeCell ref="A56:B56"/>
    <mergeCell ref="A71:B71"/>
    <mergeCell ref="A1:H1"/>
    <mergeCell ref="A6:B6"/>
    <mergeCell ref="A24:B24"/>
    <mergeCell ref="A27:B27"/>
    <mergeCell ref="A5:H5"/>
    <mergeCell ref="A23:H23"/>
    <mergeCell ref="B3:B4"/>
    <mergeCell ref="A3:A4"/>
    <mergeCell ref="G3:G4"/>
    <mergeCell ref="H3:H4"/>
  </mergeCells>
  <phoneticPr fontId="45" type="noConversion"/>
  <printOptions horizontalCentered="1"/>
  <pageMargins left="0.51181102362204722" right="0.51181102362204722" top="0.74803149606299213" bottom="0.35433070866141736" header="0.51181102362204722" footer="0.31496062992125984"/>
  <pageSetup paperSize="9" scale="54" orientation="portrait" r:id="rId1"/>
  <headerFooter>
    <oddHeader>&amp;C2022. évi költségvetés&amp;R&amp;A</oddHeader>
    <oddFooter>&amp;C
&amp;P/&amp;N</oddFooter>
  </headerFooter>
  <rowBreaks count="2" manualBreakCount="2">
    <brk id="46" max="7" man="1"/>
    <brk id="74"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2"/>
  <sheetViews>
    <sheetView view="pageBreakPreview" topLeftCell="A13" zoomScaleNormal="100" zoomScaleSheetLayoutView="100" workbookViewId="0">
      <selection activeCell="E22" sqref="E22"/>
    </sheetView>
  </sheetViews>
  <sheetFormatPr defaultColWidth="10.42578125" defaultRowHeight="12.75" x14ac:dyDescent="0.2"/>
  <cols>
    <col min="1" max="1" width="4.42578125" style="9" customWidth="1"/>
    <col min="2" max="2" width="4.5703125" style="9" customWidth="1"/>
    <col min="3" max="3" width="10.42578125" style="9" customWidth="1"/>
    <col min="4" max="4" width="65.42578125" style="9" customWidth="1"/>
    <col min="5" max="5" width="19.42578125" style="9" customWidth="1"/>
    <col min="6" max="6" width="19.7109375" style="9" customWidth="1"/>
    <col min="7" max="16384" width="10.42578125" style="9"/>
  </cols>
  <sheetData>
    <row r="1" spans="1:6" ht="27" customHeight="1" x14ac:dyDescent="0.2">
      <c r="A1" s="1778" t="s">
        <v>337</v>
      </c>
      <c r="B1" s="1778"/>
      <c r="C1" s="1778"/>
      <c r="D1" s="1778"/>
      <c r="E1" s="1778"/>
      <c r="F1" s="1778"/>
    </row>
    <row r="2" spans="1:6" ht="15.75" customHeight="1" x14ac:dyDescent="0.25">
      <c r="A2" s="1828"/>
      <c r="B2" s="1828"/>
      <c r="C2" s="1828"/>
      <c r="D2" s="1828"/>
      <c r="E2" s="1828"/>
      <c r="F2" s="1114" t="s">
        <v>444</v>
      </c>
    </row>
    <row r="3" spans="1:6" ht="32.25" customHeight="1" x14ac:dyDescent="0.2">
      <c r="A3" s="1831" t="s">
        <v>53</v>
      </c>
      <c r="B3" s="1831" t="s">
        <v>742</v>
      </c>
      <c r="C3" s="1834" t="s">
        <v>82</v>
      </c>
      <c r="D3" s="1832" t="s">
        <v>2</v>
      </c>
      <c r="E3" s="746" t="s">
        <v>279</v>
      </c>
      <c r="F3" s="1546" t="s">
        <v>1512</v>
      </c>
    </row>
    <row r="4" spans="1:6" ht="23.25" customHeight="1" x14ac:dyDescent="0.2">
      <c r="A4" s="1831"/>
      <c r="B4" s="1831"/>
      <c r="C4" s="1834"/>
      <c r="D4" s="1833"/>
      <c r="E4" s="1830" t="s">
        <v>556</v>
      </c>
      <c r="F4" s="1792" t="s">
        <v>556</v>
      </c>
    </row>
    <row r="5" spans="1:6" ht="31.5" customHeight="1" x14ac:dyDescent="0.2">
      <c r="A5" s="1831"/>
      <c r="B5" s="1831"/>
      <c r="C5" s="1834"/>
      <c r="D5" s="625" t="s">
        <v>116</v>
      </c>
      <c r="E5" s="1793"/>
      <c r="F5" s="1793"/>
    </row>
    <row r="6" spans="1:6" ht="29.25" customHeight="1" x14ac:dyDescent="0.2">
      <c r="A6" s="1831"/>
      <c r="B6" s="1831"/>
      <c r="C6" s="1834"/>
      <c r="D6" s="625" t="s">
        <v>117</v>
      </c>
      <c r="E6" s="1794"/>
      <c r="F6" s="1794"/>
    </row>
    <row r="7" spans="1:6" s="10" customFormat="1" ht="27.75" customHeight="1" x14ac:dyDescent="0.2">
      <c r="A7" s="1829" t="s">
        <v>123</v>
      </c>
      <c r="B7" s="1756"/>
      <c r="C7" s="1756"/>
      <c r="D7" s="1756"/>
      <c r="E7" s="329">
        <f>SUM(E8:E20)</f>
        <v>44000000</v>
      </c>
      <c r="F7" s="639">
        <f>SUM(F8:F20)</f>
        <v>47819430</v>
      </c>
    </row>
    <row r="8" spans="1:6" ht="19.5" customHeight="1" x14ac:dyDescent="0.2">
      <c r="A8" s="55" t="s">
        <v>194</v>
      </c>
      <c r="B8" s="158">
        <v>202</v>
      </c>
      <c r="C8" s="323" t="s">
        <v>1283</v>
      </c>
      <c r="D8" s="334" t="s">
        <v>539</v>
      </c>
      <c r="E8" s="1138">
        <v>18000000</v>
      </c>
      <c r="F8" s="1215">
        <f>18000000-1000000-68810-111760</f>
        <v>16819430</v>
      </c>
    </row>
    <row r="9" spans="1:6" ht="24" customHeight="1" x14ac:dyDescent="0.2">
      <c r="A9" s="56" t="s">
        <v>195</v>
      </c>
      <c r="B9" s="140">
        <v>202</v>
      </c>
      <c r="C9" s="119" t="s">
        <v>1283</v>
      </c>
      <c r="D9" s="1490" t="s">
        <v>1380</v>
      </c>
      <c r="E9" s="1139">
        <v>5000000</v>
      </c>
      <c r="F9" s="1216">
        <f>5000000-5000000</f>
        <v>0</v>
      </c>
    </row>
    <row r="10" spans="1:6" ht="22.5" customHeight="1" x14ac:dyDescent="0.2">
      <c r="A10" s="56" t="s">
        <v>196</v>
      </c>
      <c r="B10" s="140">
        <v>207</v>
      </c>
      <c r="C10" s="119" t="s">
        <v>1283</v>
      </c>
      <c r="D10" s="1490" t="s">
        <v>119</v>
      </c>
      <c r="E10" s="1139">
        <v>4000000</v>
      </c>
      <c r="F10" s="1216">
        <v>4000000</v>
      </c>
    </row>
    <row r="11" spans="1:6" ht="24" customHeight="1" x14ac:dyDescent="0.2">
      <c r="A11" s="56" t="s">
        <v>197</v>
      </c>
      <c r="B11" s="140">
        <v>208</v>
      </c>
      <c r="C11" s="119" t="s">
        <v>1283</v>
      </c>
      <c r="D11" s="1490" t="s">
        <v>368</v>
      </c>
      <c r="E11" s="1139">
        <v>500000</v>
      </c>
      <c r="F11" s="1216">
        <v>500000</v>
      </c>
    </row>
    <row r="12" spans="1:6" ht="24" customHeight="1" x14ac:dyDescent="0.2">
      <c r="A12" s="56" t="s">
        <v>198</v>
      </c>
      <c r="B12" s="140">
        <v>203</v>
      </c>
      <c r="C12" s="119" t="s">
        <v>1283</v>
      </c>
      <c r="D12" s="1490" t="s">
        <v>120</v>
      </c>
      <c r="E12" s="1139">
        <v>1500000</v>
      </c>
      <c r="F12" s="1216">
        <v>1500000</v>
      </c>
    </row>
    <row r="13" spans="1:6" ht="24" customHeight="1" x14ac:dyDescent="0.2">
      <c r="A13" s="56" t="s">
        <v>199</v>
      </c>
      <c r="B13" s="140">
        <v>204</v>
      </c>
      <c r="C13" s="119" t="s">
        <v>1283</v>
      </c>
      <c r="D13" s="1490" t="s">
        <v>540</v>
      </c>
      <c r="E13" s="1139">
        <v>2300000</v>
      </c>
      <c r="F13" s="1216">
        <v>2300000</v>
      </c>
    </row>
    <row r="14" spans="1:6" ht="31.5" customHeight="1" x14ac:dyDescent="0.2">
      <c r="A14" s="56" t="s">
        <v>200</v>
      </c>
      <c r="B14" s="140">
        <v>205</v>
      </c>
      <c r="C14" s="119" t="s">
        <v>1283</v>
      </c>
      <c r="D14" s="1490" t="s">
        <v>625</v>
      </c>
      <c r="E14" s="1139">
        <v>2000000</v>
      </c>
      <c r="F14" s="1216">
        <v>2000000</v>
      </c>
    </row>
    <row r="15" spans="1:6" ht="24.75" customHeight="1" x14ac:dyDescent="0.2">
      <c r="A15" s="56" t="s">
        <v>201</v>
      </c>
      <c r="B15" s="140">
        <v>206</v>
      </c>
      <c r="C15" s="119" t="s">
        <v>1283</v>
      </c>
      <c r="D15" s="1490" t="s">
        <v>122</v>
      </c>
      <c r="E15" s="1139">
        <v>3000000</v>
      </c>
      <c r="F15" s="1216">
        <v>3000000</v>
      </c>
    </row>
    <row r="16" spans="1:6" ht="24.75" customHeight="1" x14ac:dyDescent="0.2">
      <c r="A16" s="56" t="s">
        <v>202</v>
      </c>
      <c r="B16" s="119">
        <v>211</v>
      </c>
      <c r="C16" s="119" t="s">
        <v>1283</v>
      </c>
      <c r="D16" s="1490" t="s">
        <v>121</v>
      </c>
      <c r="E16" s="1139">
        <v>500000</v>
      </c>
      <c r="F16" s="1216">
        <v>500000</v>
      </c>
    </row>
    <row r="17" spans="1:6" ht="30" customHeight="1" x14ac:dyDescent="0.2">
      <c r="A17" s="56" t="s">
        <v>203</v>
      </c>
      <c r="B17" s="119">
        <v>212</v>
      </c>
      <c r="C17" s="119" t="s">
        <v>1283</v>
      </c>
      <c r="D17" s="1490" t="s">
        <v>393</v>
      </c>
      <c r="E17" s="1139">
        <v>200000</v>
      </c>
      <c r="F17" s="1216">
        <v>200000</v>
      </c>
    </row>
    <row r="18" spans="1:6" ht="30" customHeight="1" x14ac:dyDescent="0.2">
      <c r="A18" s="56" t="s">
        <v>204</v>
      </c>
      <c r="B18" s="140">
        <v>215</v>
      </c>
      <c r="C18" s="156" t="s">
        <v>1283</v>
      </c>
      <c r="D18" s="1490" t="s">
        <v>397</v>
      </c>
      <c r="E18" s="1139">
        <v>7000000</v>
      </c>
      <c r="F18" s="1216">
        <v>7000000</v>
      </c>
    </row>
    <row r="19" spans="1:6" ht="30" customHeight="1" x14ac:dyDescent="0.2">
      <c r="A19" s="56" t="s">
        <v>231</v>
      </c>
      <c r="B19" s="140">
        <v>213</v>
      </c>
      <c r="C19" s="156" t="s">
        <v>1283</v>
      </c>
      <c r="D19" s="1490" t="s">
        <v>1778</v>
      </c>
      <c r="E19" s="1139">
        <v>0</v>
      </c>
      <c r="F19" s="1216">
        <v>1000000</v>
      </c>
    </row>
    <row r="20" spans="1:6" ht="30" customHeight="1" x14ac:dyDescent="0.2">
      <c r="A20" s="148" t="s">
        <v>232</v>
      </c>
      <c r="B20" s="660">
        <v>217</v>
      </c>
      <c r="C20" s="797" t="s">
        <v>1283</v>
      </c>
      <c r="D20" s="153" t="s">
        <v>2035</v>
      </c>
      <c r="E20" s="333">
        <v>0</v>
      </c>
      <c r="F20" s="1297">
        <f>5000000+4000000</f>
        <v>9000000</v>
      </c>
    </row>
    <row r="21" spans="1:6" x14ac:dyDescent="0.2">
      <c r="A21" s="1835"/>
      <c r="B21" s="1836"/>
      <c r="C21" s="1836"/>
      <c r="D21" s="1836"/>
      <c r="E21" s="1836"/>
      <c r="F21" s="1797"/>
    </row>
    <row r="22" spans="1:6" ht="23.25" customHeight="1" x14ac:dyDescent="0.2">
      <c r="A22" s="1715" t="s">
        <v>567</v>
      </c>
      <c r="B22" s="1716"/>
      <c r="C22" s="1716"/>
      <c r="D22" s="1716"/>
      <c r="E22" s="798">
        <f>E7</f>
        <v>44000000</v>
      </c>
      <c r="F22" s="1214">
        <f>F7</f>
        <v>47819430</v>
      </c>
    </row>
  </sheetData>
  <mergeCells count="11">
    <mergeCell ref="A2:E2"/>
    <mergeCell ref="F4:F6"/>
    <mergeCell ref="A1:F1"/>
    <mergeCell ref="A22:D22"/>
    <mergeCell ref="A7:D7"/>
    <mergeCell ref="E4:E6"/>
    <mergeCell ref="B3:B6"/>
    <mergeCell ref="A3:A6"/>
    <mergeCell ref="D3:D4"/>
    <mergeCell ref="C3:C6"/>
    <mergeCell ref="A21:F21"/>
  </mergeCells>
  <phoneticPr fontId="45" type="noConversion"/>
  <printOptions horizontalCentered="1"/>
  <pageMargins left="0.70866141732283472" right="0.70866141732283472" top="0.74803149606299213" bottom="0.74803149606299213" header="0.31496062992125984" footer="0.31496062992125984"/>
  <pageSetup paperSize="9" scale="70" orientation="portrait" r:id="rId1"/>
  <headerFooter>
    <oddHeader>&amp;C2022. évi költségvetés&amp;R&amp;A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K61"/>
  <sheetViews>
    <sheetView view="pageBreakPreview" zoomScale="80" zoomScaleNormal="80" zoomScaleSheetLayoutView="80" workbookViewId="0">
      <pane xSplit="3" ySplit="7" topLeftCell="BR22" activePane="bottomRight" state="frozen"/>
      <selection pane="topRight" activeCell="D1" sqref="D1"/>
      <selection pane="bottomLeft" activeCell="A8" sqref="A8"/>
      <selection pane="bottomRight" activeCell="BV30" sqref="BV30"/>
    </sheetView>
  </sheetViews>
  <sheetFormatPr defaultColWidth="16.5703125" defaultRowHeight="15.75" x14ac:dyDescent="0.25"/>
  <cols>
    <col min="1" max="1" width="7" style="242" customWidth="1"/>
    <col min="2" max="2" width="69.5703125" style="218" customWidth="1"/>
    <col min="3" max="3" width="7.42578125" style="239" customWidth="1"/>
    <col min="4" max="5" width="22.5703125" style="218" customWidth="1"/>
    <col min="6" max="7" width="17.85546875" style="218" customWidth="1"/>
    <col min="8" max="11" width="19.42578125" style="216" customWidth="1"/>
    <col min="12" max="17" width="18.42578125" style="216" customWidth="1"/>
    <col min="18" max="19" width="19.85546875" style="216" customWidth="1"/>
    <col min="20" max="25" width="19.5703125" style="216" customWidth="1"/>
    <col min="26" max="29" width="20.5703125" style="216" customWidth="1"/>
    <col min="30" max="31" width="21" style="218" customWidth="1"/>
    <col min="32" max="33" width="19" style="218" customWidth="1"/>
    <col min="34" max="35" width="22" style="218" customWidth="1"/>
    <col min="36" max="37" width="20.5703125" style="218" customWidth="1"/>
    <col min="38" max="38" width="17.85546875" style="218" customWidth="1"/>
    <col min="39" max="39" width="16.7109375" style="218" customWidth="1"/>
    <col min="40" max="40" width="17.85546875" style="218" customWidth="1"/>
    <col min="41" max="41" width="16" style="218" customWidth="1"/>
    <col min="42" max="42" width="17.7109375" style="218" customWidth="1"/>
    <col min="43" max="43" width="17.140625" style="218" customWidth="1"/>
    <col min="44" max="45" width="18.28515625" style="218" customWidth="1"/>
    <col min="46" max="46" width="18" style="218" customWidth="1"/>
    <col min="47" max="47" width="15.42578125" style="218" customWidth="1"/>
    <col min="48" max="49" width="18.28515625" style="218" customWidth="1"/>
    <col min="50" max="51" width="18.85546875" style="218" customWidth="1"/>
    <col min="52" max="53" width="23.140625" style="218" customWidth="1"/>
    <col min="54" max="55" width="18.7109375" style="218" customWidth="1"/>
    <col min="56" max="57" width="18.28515625" style="218" customWidth="1"/>
    <col min="58" max="59" width="19.28515625" style="218" customWidth="1"/>
    <col min="60" max="61" width="18" style="218" customWidth="1"/>
    <col min="62" max="63" width="20.140625" style="252" customWidth="1"/>
    <col min="64" max="65" width="19" style="252" customWidth="1"/>
    <col min="66" max="69" width="19.85546875" style="252" customWidth="1"/>
    <col min="70" max="71" width="23.140625" style="216" customWidth="1"/>
    <col min="72" max="73" width="18.42578125" style="218" customWidth="1"/>
    <col min="74" max="75" width="18.85546875" style="218" customWidth="1"/>
    <col min="76" max="77" width="21.42578125" style="218" customWidth="1"/>
    <col min="78" max="79" width="22" style="218" customWidth="1"/>
    <col min="80" max="81" width="20.140625" style="218" customWidth="1"/>
    <col min="82" max="83" width="19.85546875" style="218" customWidth="1"/>
    <col min="84" max="85" width="20.7109375" style="218" customWidth="1"/>
    <col min="86" max="86" width="21" style="218" customWidth="1"/>
    <col min="87" max="87" width="20.7109375" style="218" customWidth="1"/>
    <col min="88" max="88" width="18.42578125" style="218" bestFit="1" customWidth="1"/>
    <col min="89" max="16384" width="16.5703125" style="218"/>
  </cols>
  <sheetData>
    <row r="1" spans="1:89" ht="22.5" customHeight="1" x14ac:dyDescent="0.25">
      <c r="A1" s="216"/>
      <c r="B1" s="216"/>
      <c r="C1" s="217"/>
      <c r="E1" s="1175"/>
      <c r="F1" s="216"/>
      <c r="G1" s="1175" t="s">
        <v>444</v>
      </c>
      <c r="H1" s="218"/>
      <c r="I1" s="1175"/>
      <c r="K1" s="1175" t="s">
        <v>444</v>
      </c>
      <c r="L1" s="218"/>
      <c r="M1" s="1175"/>
      <c r="O1" s="1175" t="s">
        <v>444</v>
      </c>
      <c r="P1" s="218"/>
      <c r="Q1" s="1175"/>
      <c r="S1" s="1175" t="s">
        <v>444</v>
      </c>
      <c r="T1" s="218"/>
      <c r="U1" s="1175"/>
      <c r="W1" s="1175" t="s">
        <v>444</v>
      </c>
      <c r="X1" s="218"/>
      <c r="Y1" s="1175"/>
      <c r="AA1" s="1175" t="s">
        <v>444</v>
      </c>
      <c r="AB1" s="1175"/>
      <c r="AC1" s="1175"/>
      <c r="AE1" s="1175" t="s">
        <v>444</v>
      </c>
      <c r="AF1" s="216"/>
      <c r="AI1" s="1175" t="s">
        <v>444</v>
      </c>
      <c r="AJ1" s="216"/>
      <c r="AK1" s="1175"/>
      <c r="AM1" s="1175" t="s">
        <v>444</v>
      </c>
      <c r="AN1" s="216"/>
      <c r="AO1" s="1175"/>
      <c r="AQ1" s="1175" t="s">
        <v>444</v>
      </c>
      <c r="AR1" s="216"/>
      <c r="AS1" s="1175"/>
      <c r="AU1" s="1175" t="s">
        <v>444</v>
      </c>
      <c r="AV1" s="216"/>
      <c r="AW1" s="1175"/>
      <c r="AY1" s="1175" t="s">
        <v>444</v>
      </c>
      <c r="AZ1" s="216"/>
      <c r="BA1" s="1175"/>
      <c r="BC1" s="1175" t="s">
        <v>444</v>
      </c>
      <c r="BD1" s="216"/>
      <c r="BE1" s="1175"/>
      <c r="BG1" s="1175" t="s">
        <v>444</v>
      </c>
      <c r="BH1" s="216"/>
      <c r="BI1" s="1175"/>
      <c r="BJ1" s="218"/>
      <c r="BK1" s="1175" t="s">
        <v>444</v>
      </c>
      <c r="BL1" s="216"/>
      <c r="BM1" s="1175"/>
      <c r="BN1" s="218"/>
      <c r="BO1" s="1175" t="s">
        <v>444</v>
      </c>
      <c r="BP1" s="216"/>
      <c r="BQ1" s="1175"/>
      <c r="BR1" s="218"/>
      <c r="BS1" s="1175" t="s">
        <v>444</v>
      </c>
      <c r="BT1" s="216"/>
      <c r="BU1" s="1175"/>
      <c r="BW1" s="1175" t="s">
        <v>444</v>
      </c>
      <c r="BY1" s="1175" t="s">
        <v>444</v>
      </c>
      <c r="BZ1" s="216"/>
      <c r="CA1" s="1175"/>
      <c r="CC1" s="1175" t="s">
        <v>444</v>
      </c>
      <c r="CD1" s="216"/>
      <c r="CE1" s="1175"/>
      <c r="CG1" s="1175" t="s">
        <v>444</v>
      </c>
      <c r="CH1" s="216"/>
      <c r="CI1" s="1175" t="s">
        <v>444</v>
      </c>
    </row>
    <row r="2" spans="1:89" ht="36" customHeight="1" x14ac:dyDescent="0.25">
      <c r="A2" s="1634" t="s">
        <v>258</v>
      </c>
      <c r="B2" s="1634"/>
      <c r="C2" s="1634"/>
      <c r="D2" s="387" t="s">
        <v>279</v>
      </c>
      <c r="E2" s="387" t="s">
        <v>1512</v>
      </c>
      <c r="F2" s="387" t="s">
        <v>279</v>
      </c>
      <c r="G2" s="387" t="s">
        <v>1512</v>
      </c>
      <c r="H2" s="387" t="s">
        <v>279</v>
      </c>
      <c r="I2" s="387" t="s">
        <v>1512</v>
      </c>
      <c r="J2" s="387" t="s">
        <v>279</v>
      </c>
      <c r="K2" s="387" t="s">
        <v>1512</v>
      </c>
      <c r="L2" s="387" t="s">
        <v>279</v>
      </c>
      <c r="M2" s="387" t="s">
        <v>1512</v>
      </c>
      <c r="N2" s="387" t="s">
        <v>279</v>
      </c>
      <c r="O2" s="387" t="s">
        <v>1512</v>
      </c>
      <c r="P2" s="387" t="s">
        <v>279</v>
      </c>
      <c r="Q2" s="387" t="s">
        <v>1512</v>
      </c>
      <c r="R2" s="387" t="s">
        <v>279</v>
      </c>
      <c r="S2" s="387" t="s">
        <v>1512</v>
      </c>
      <c r="T2" s="387" t="s">
        <v>279</v>
      </c>
      <c r="U2" s="387" t="s">
        <v>1512</v>
      </c>
      <c r="V2" s="387" t="s">
        <v>279</v>
      </c>
      <c r="W2" s="387" t="s">
        <v>1512</v>
      </c>
      <c r="X2" s="387" t="s">
        <v>279</v>
      </c>
      <c r="Y2" s="387" t="s">
        <v>1512</v>
      </c>
      <c r="Z2" s="387" t="s">
        <v>279</v>
      </c>
      <c r="AA2" s="387" t="s">
        <v>1512</v>
      </c>
      <c r="AB2" s="387" t="s">
        <v>279</v>
      </c>
      <c r="AC2" s="387" t="s">
        <v>1512</v>
      </c>
      <c r="AD2" s="387" t="s">
        <v>279</v>
      </c>
      <c r="AE2" s="387" t="s">
        <v>1512</v>
      </c>
      <c r="AF2" s="387" t="s">
        <v>279</v>
      </c>
      <c r="AG2" s="387" t="s">
        <v>1512</v>
      </c>
      <c r="AH2" s="387" t="s">
        <v>279</v>
      </c>
      <c r="AI2" s="387" t="s">
        <v>1512</v>
      </c>
      <c r="AJ2" s="387" t="s">
        <v>279</v>
      </c>
      <c r="AK2" s="387" t="s">
        <v>1512</v>
      </c>
      <c r="AL2" s="387" t="s">
        <v>279</v>
      </c>
      <c r="AM2" s="387" t="s">
        <v>1512</v>
      </c>
      <c r="AN2" s="387" t="s">
        <v>279</v>
      </c>
      <c r="AO2" s="387" t="s">
        <v>1512</v>
      </c>
      <c r="AP2" s="387" t="s">
        <v>279</v>
      </c>
      <c r="AQ2" s="387" t="s">
        <v>1512</v>
      </c>
      <c r="AR2" s="387" t="s">
        <v>279</v>
      </c>
      <c r="AS2" s="387" t="s">
        <v>1512</v>
      </c>
      <c r="AT2" s="387" t="s">
        <v>279</v>
      </c>
      <c r="AU2" s="387" t="s">
        <v>1512</v>
      </c>
      <c r="AV2" s="387" t="s">
        <v>279</v>
      </c>
      <c r="AW2" s="387" t="s">
        <v>1512</v>
      </c>
      <c r="AX2" s="387" t="s">
        <v>279</v>
      </c>
      <c r="AY2" s="387" t="s">
        <v>1512</v>
      </c>
      <c r="AZ2" s="387" t="s">
        <v>279</v>
      </c>
      <c r="BA2" s="387" t="s">
        <v>1512</v>
      </c>
      <c r="BB2" s="387" t="s">
        <v>279</v>
      </c>
      <c r="BC2" s="387" t="s">
        <v>1512</v>
      </c>
      <c r="BD2" s="387" t="s">
        <v>279</v>
      </c>
      <c r="BE2" s="387" t="s">
        <v>1512</v>
      </c>
      <c r="BF2" s="387" t="s">
        <v>279</v>
      </c>
      <c r="BG2" s="387" t="s">
        <v>1512</v>
      </c>
      <c r="BH2" s="387" t="s">
        <v>279</v>
      </c>
      <c r="BI2" s="387" t="s">
        <v>1512</v>
      </c>
      <c r="BJ2" s="387" t="s">
        <v>279</v>
      </c>
      <c r="BK2" s="387" t="s">
        <v>1512</v>
      </c>
      <c r="BL2" s="387" t="s">
        <v>279</v>
      </c>
      <c r="BM2" s="387" t="s">
        <v>1512</v>
      </c>
      <c r="BN2" s="387" t="s">
        <v>279</v>
      </c>
      <c r="BO2" s="387" t="s">
        <v>1512</v>
      </c>
      <c r="BP2" s="387" t="s">
        <v>279</v>
      </c>
      <c r="BQ2" s="387" t="s">
        <v>1512</v>
      </c>
      <c r="BR2" s="387" t="s">
        <v>279</v>
      </c>
      <c r="BS2" s="387" t="s">
        <v>1512</v>
      </c>
      <c r="BT2" s="387" t="s">
        <v>279</v>
      </c>
      <c r="BU2" s="387" t="s">
        <v>1512</v>
      </c>
      <c r="BV2" s="387" t="s">
        <v>279</v>
      </c>
      <c r="BW2" s="387" t="s">
        <v>1512</v>
      </c>
      <c r="BX2" s="387" t="s">
        <v>279</v>
      </c>
      <c r="BY2" s="387" t="s">
        <v>1512</v>
      </c>
      <c r="BZ2" s="387" t="s">
        <v>279</v>
      </c>
      <c r="CA2" s="387" t="s">
        <v>1512</v>
      </c>
      <c r="CB2" s="387" t="s">
        <v>279</v>
      </c>
      <c r="CC2" s="387" t="s">
        <v>1512</v>
      </c>
      <c r="CD2" s="387" t="s">
        <v>279</v>
      </c>
      <c r="CE2" s="387" t="s">
        <v>1512</v>
      </c>
      <c r="CF2" s="387" t="s">
        <v>279</v>
      </c>
      <c r="CG2" s="387" t="s">
        <v>1512</v>
      </c>
      <c r="CH2" s="387" t="s">
        <v>279</v>
      </c>
      <c r="CI2" s="387" t="s">
        <v>1512</v>
      </c>
    </row>
    <row r="3" spans="1:89" ht="134.25" customHeight="1" x14ac:dyDescent="0.25">
      <c r="A3" s="1635" t="s">
        <v>192</v>
      </c>
      <c r="B3" s="1634" t="s">
        <v>250</v>
      </c>
      <c r="C3" s="1634"/>
      <c r="D3" s="62" t="s">
        <v>390</v>
      </c>
      <c r="E3" s="62" t="s">
        <v>390</v>
      </c>
      <c r="F3" s="62" t="s">
        <v>367</v>
      </c>
      <c r="G3" s="62" t="s">
        <v>367</v>
      </c>
      <c r="H3" s="62" t="s">
        <v>390</v>
      </c>
      <c r="I3" s="62" t="s">
        <v>390</v>
      </c>
      <c r="J3" s="62" t="s">
        <v>367</v>
      </c>
      <c r="K3" s="62" t="s">
        <v>367</v>
      </c>
      <c r="L3" s="62" t="s">
        <v>367</v>
      </c>
      <c r="M3" s="62" t="s">
        <v>367</v>
      </c>
      <c r="N3" s="62" t="s">
        <v>390</v>
      </c>
      <c r="O3" s="62" t="s">
        <v>390</v>
      </c>
      <c r="P3" s="62" t="s">
        <v>390</v>
      </c>
      <c r="Q3" s="62" t="s">
        <v>390</v>
      </c>
      <c r="R3" s="62" t="s">
        <v>394</v>
      </c>
      <c r="S3" s="62" t="s">
        <v>394</v>
      </c>
      <c r="T3" s="62" t="s">
        <v>394</v>
      </c>
      <c r="U3" s="62" t="s">
        <v>394</v>
      </c>
      <c r="V3" s="62" t="s">
        <v>394</v>
      </c>
      <c r="W3" s="62" t="s">
        <v>394</v>
      </c>
      <c r="X3" s="62" t="s">
        <v>394</v>
      </c>
      <c r="Y3" s="62" t="s">
        <v>394</v>
      </c>
      <c r="Z3" s="62" t="s">
        <v>394</v>
      </c>
      <c r="AA3" s="62" t="s">
        <v>394</v>
      </c>
      <c r="AB3" s="62" t="s">
        <v>394</v>
      </c>
      <c r="AC3" s="62" t="s">
        <v>394</v>
      </c>
      <c r="AD3" s="62" t="s">
        <v>1392</v>
      </c>
      <c r="AE3" s="62" t="s">
        <v>1770</v>
      </c>
      <c r="AF3" s="62" t="s">
        <v>498</v>
      </c>
      <c r="AG3" s="62" t="s">
        <v>498</v>
      </c>
      <c r="AH3" s="62" t="s">
        <v>434</v>
      </c>
      <c r="AI3" s="62" t="s">
        <v>434</v>
      </c>
      <c r="AJ3" s="62" t="s">
        <v>256</v>
      </c>
      <c r="AK3" s="62" t="s">
        <v>256</v>
      </c>
      <c r="AL3" s="62" t="s">
        <v>257</v>
      </c>
      <c r="AM3" s="62" t="s">
        <v>257</v>
      </c>
      <c r="AN3" s="62" t="s">
        <v>392</v>
      </c>
      <c r="AO3" s="62" t="s">
        <v>392</v>
      </c>
      <c r="AP3" s="62" t="s">
        <v>281</v>
      </c>
      <c r="AQ3" s="62" t="s">
        <v>281</v>
      </c>
      <c r="AR3" s="62" t="s">
        <v>902</v>
      </c>
      <c r="AS3" s="62" t="s">
        <v>902</v>
      </c>
      <c r="AT3" s="62" t="s">
        <v>440</v>
      </c>
      <c r="AU3" s="62" t="s">
        <v>440</v>
      </c>
      <c r="AV3" s="62" t="s">
        <v>372</v>
      </c>
      <c r="AW3" s="62" t="s">
        <v>372</v>
      </c>
      <c r="AX3" s="62" t="s">
        <v>371</v>
      </c>
      <c r="AY3" s="62" t="s">
        <v>371</v>
      </c>
      <c r="AZ3" s="62" t="s">
        <v>373</v>
      </c>
      <c r="BA3" s="62" t="s">
        <v>373</v>
      </c>
      <c r="BB3" s="62" t="s">
        <v>370</v>
      </c>
      <c r="BC3" s="62" t="s">
        <v>370</v>
      </c>
      <c r="BD3" s="62" t="s">
        <v>390</v>
      </c>
      <c r="BE3" s="1413" t="s">
        <v>2654</v>
      </c>
      <c r="BF3" s="1557" t="s">
        <v>493</v>
      </c>
      <c r="BG3" s="1557" t="s">
        <v>493</v>
      </c>
      <c r="BH3" s="62" t="s">
        <v>426</v>
      </c>
      <c r="BI3" s="62" t="s">
        <v>426</v>
      </c>
      <c r="BJ3" s="62" t="s">
        <v>424</v>
      </c>
      <c r="BK3" s="62" t="s">
        <v>424</v>
      </c>
      <c r="BL3" s="201" t="s">
        <v>344</v>
      </c>
      <c r="BM3" s="201" t="s">
        <v>344</v>
      </c>
      <c r="BN3" s="62" t="s">
        <v>1443</v>
      </c>
      <c r="BO3" s="62" t="s">
        <v>1443</v>
      </c>
      <c r="BP3" s="62" t="s">
        <v>256</v>
      </c>
      <c r="BQ3" s="62" t="s">
        <v>256</v>
      </c>
      <c r="BR3" s="62" t="s">
        <v>583</v>
      </c>
      <c r="BS3" s="62" t="s">
        <v>583</v>
      </c>
      <c r="BT3" s="62" t="s">
        <v>904</v>
      </c>
      <c r="BU3" s="62" t="s">
        <v>904</v>
      </c>
      <c r="BV3" s="387" t="s">
        <v>252</v>
      </c>
      <c r="BW3" s="387" t="s">
        <v>252</v>
      </c>
      <c r="BX3" s="387" t="s">
        <v>252</v>
      </c>
      <c r="BY3" s="1267" t="s">
        <v>2335</v>
      </c>
      <c r="BZ3" s="1649" t="s">
        <v>157</v>
      </c>
      <c r="CA3" s="1650"/>
      <c r="CB3" s="1650"/>
      <c r="CC3" s="1651"/>
      <c r="CD3" s="1649" t="s">
        <v>157</v>
      </c>
      <c r="CE3" s="1650"/>
      <c r="CF3" s="1650"/>
      <c r="CG3" s="1651"/>
      <c r="CH3" s="1641" t="s">
        <v>3023</v>
      </c>
      <c r="CI3" s="1641" t="s">
        <v>3024</v>
      </c>
    </row>
    <row r="4" spans="1:89" ht="28.5" customHeight="1" x14ac:dyDescent="0.25">
      <c r="A4" s="1635"/>
      <c r="B4" s="1634" t="s">
        <v>11</v>
      </c>
      <c r="C4" s="1634"/>
      <c r="D4" s="62" t="s">
        <v>228</v>
      </c>
      <c r="E4" s="62" t="s">
        <v>228</v>
      </c>
      <c r="F4" s="62" t="s">
        <v>228</v>
      </c>
      <c r="G4" s="62" t="s">
        <v>228</v>
      </c>
      <c r="H4" s="62" t="s">
        <v>228</v>
      </c>
      <c r="I4" s="62" t="s">
        <v>228</v>
      </c>
      <c r="J4" s="62" t="s">
        <v>228</v>
      </c>
      <c r="K4" s="62" t="s">
        <v>228</v>
      </c>
      <c r="L4" s="62" t="s">
        <v>228</v>
      </c>
      <c r="M4" s="62" t="s">
        <v>228</v>
      </c>
      <c r="N4" s="62" t="s">
        <v>228</v>
      </c>
      <c r="O4" s="62" t="s">
        <v>228</v>
      </c>
      <c r="P4" s="62" t="s">
        <v>228</v>
      </c>
      <c r="Q4" s="62" t="s">
        <v>228</v>
      </c>
      <c r="R4" s="62" t="s">
        <v>228</v>
      </c>
      <c r="S4" s="62" t="s">
        <v>228</v>
      </c>
      <c r="T4" s="62" t="s">
        <v>228</v>
      </c>
      <c r="U4" s="62" t="s">
        <v>228</v>
      </c>
      <c r="V4" s="62" t="s">
        <v>228</v>
      </c>
      <c r="W4" s="62" t="s">
        <v>228</v>
      </c>
      <c r="X4" s="62" t="s">
        <v>228</v>
      </c>
      <c r="Y4" s="62" t="s">
        <v>228</v>
      </c>
      <c r="Z4" s="62" t="s">
        <v>228</v>
      </c>
      <c r="AA4" s="62" t="s">
        <v>228</v>
      </c>
      <c r="AB4" s="62" t="s">
        <v>228</v>
      </c>
      <c r="AC4" s="62" t="s">
        <v>228</v>
      </c>
      <c r="AD4" s="62" t="s">
        <v>229</v>
      </c>
      <c r="AE4" s="62" t="s">
        <v>229</v>
      </c>
      <c r="AF4" s="62" t="s">
        <v>229</v>
      </c>
      <c r="AG4" s="62" t="s">
        <v>229</v>
      </c>
      <c r="AH4" s="62" t="s">
        <v>229</v>
      </c>
      <c r="AI4" s="62" t="s">
        <v>229</v>
      </c>
      <c r="AJ4" s="62" t="s">
        <v>229</v>
      </c>
      <c r="AK4" s="62" t="s">
        <v>229</v>
      </c>
      <c r="AL4" s="62" t="s">
        <v>229</v>
      </c>
      <c r="AM4" s="62" t="s">
        <v>229</v>
      </c>
      <c r="AN4" s="62" t="s">
        <v>229</v>
      </c>
      <c r="AO4" s="62" t="s">
        <v>229</v>
      </c>
      <c r="AP4" s="62" t="s">
        <v>229</v>
      </c>
      <c r="AQ4" s="62" t="s">
        <v>229</v>
      </c>
      <c r="AR4" s="62" t="s">
        <v>229</v>
      </c>
      <c r="AS4" s="62" t="s">
        <v>229</v>
      </c>
      <c r="AT4" s="62" t="s">
        <v>229</v>
      </c>
      <c r="AU4" s="62" t="s">
        <v>229</v>
      </c>
      <c r="AV4" s="62" t="s">
        <v>229</v>
      </c>
      <c r="AW4" s="62" t="s">
        <v>229</v>
      </c>
      <c r="AX4" s="62" t="s">
        <v>229</v>
      </c>
      <c r="AY4" s="62" t="s">
        <v>229</v>
      </c>
      <c r="AZ4" s="62" t="s">
        <v>229</v>
      </c>
      <c r="BA4" s="62" t="s">
        <v>229</v>
      </c>
      <c r="BB4" s="62" t="s">
        <v>228</v>
      </c>
      <c r="BC4" s="62" t="s">
        <v>228</v>
      </c>
      <c r="BD4" s="62" t="s">
        <v>229</v>
      </c>
      <c r="BE4" s="62" t="s">
        <v>229</v>
      </c>
      <c r="BF4" s="62" t="s">
        <v>229</v>
      </c>
      <c r="BG4" s="62" t="s">
        <v>229</v>
      </c>
      <c r="BH4" s="62" t="s">
        <v>229</v>
      </c>
      <c r="BI4" s="62" t="s">
        <v>229</v>
      </c>
      <c r="BJ4" s="62" t="s">
        <v>228</v>
      </c>
      <c r="BK4" s="62" t="s">
        <v>228</v>
      </c>
      <c r="BL4" s="62" t="s">
        <v>229</v>
      </c>
      <c r="BM4" s="62" t="s">
        <v>229</v>
      </c>
      <c r="BN4" s="62" t="s">
        <v>229</v>
      </c>
      <c r="BO4" s="62" t="s">
        <v>229</v>
      </c>
      <c r="BP4" s="62" t="s">
        <v>229</v>
      </c>
      <c r="BQ4" s="62" t="s">
        <v>229</v>
      </c>
      <c r="BR4" s="62" t="s">
        <v>229</v>
      </c>
      <c r="BS4" s="62" t="s">
        <v>229</v>
      </c>
      <c r="BT4" s="387" t="s">
        <v>228</v>
      </c>
      <c r="BU4" s="387" t="s">
        <v>228</v>
      </c>
      <c r="BV4" s="387" t="s">
        <v>228</v>
      </c>
      <c r="BW4" s="387" t="s">
        <v>228</v>
      </c>
      <c r="BX4" s="387" t="s">
        <v>228</v>
      </c>
      <c r="BY4" s="387" t="s">
        <v>228</v>
      </c>
      <c r="BZ4" s="1630" t="s">
        <v>228</v>
      </c>
      <c r="CA4" s="1630" t="s">
        <v>228</v>
      </c>
      <c r="CB4" s="1630" t="s">
        <v>332</v>
      </c>
      <c r="CC4" s="1630" t="s">
        <v>332</v>
      </c>
      <c r="CD4" s="1630" t="s">
        <v>230</v>
      </c>
      <c r="CE4" s="1630" t="s">
        <v>230</v>
      </c>
      <c r="CF4" s="1630" t="s">
        <v>249</v>
      </c>
      <c r="CG4" s="1630" t="s">
        <v>249</v>
      </c>
      <c r="CH4" s="1648"/>
      <c r="CI4" s="1648"/>
    </row>
    <row r="5" spans="1:89" ht="30" customHeight="1" x14ac:dyDescent="0.25">
      <c r="A5" s="1635"/>
      <c r="B5" s="1634" t="s">
        <v>741</v>
      </c>
      <c r="C5" s="1634"/>
      <c r="D5" s="1633" t="s">
        <v>1379</v>
      </c>
      <c r="E5" s="1633" t="s">
        <v>2034</v>
      </c>
      <c r="F5" s="1633" t="s">
        <v>696</v>
      </c>
      <c r="G5" s="1633" t="s">
        <v>696</v>
      </c>
      <c r="H5" s="1639" t="s">
        <v>786</v>
      </c>
      <c r="I5" s="1639" t="s">
        <v>786</v>
      </c>
      <c r="J5" s="1633" t="s">
        <v>697</v>
      </c>
      <c r="K5" s="1633" t="s">
        <v>697</v>
      </c>
      <c r="L5" s="1633" t="s">
        <v>698</v>
      </c>
      <c r="M5" s="1633" t="s">
        <v>698</v>
      </c>
      <c r="N5" s="1633" t="s">
        <v>1284</v>
      </c>
      <c r="O5" s="1633" t="s">
        <v>1284</v>
      </c>
      <c r="P5" s="1633" t="s">
        <v>1285</v>
      </c>
      <c r="Q5" s="1633" t="s">
        <v>1285</v>
      </c>
      <c r="R5" s="1633" t="s">
        <v>699</v>
      </c>
      <c r="S5" s="1633" t="s">
        <v>699</v>
      </c>
      <c r="T5" s="1633" t="s">
        <v>396</v>
      </c>
      <c r="U5" s="1633" t="s">
        <v>396</v>
      </c>
      <c r="V5" s="1633" t="s">
        <v>395</v>
      </c>
      <c r="W5" s="1633" t="s">
        <v>395</v>
      </c>
      <c r="X5" s="1633" t="s">
        <v>1776</v>
      </c>
      <c r="Y5" s="1633" t="s">
        <v>1776</v>
      </c>
      <c r="Z5" s="1633" t="s">
        <v>545</v>
      </c>
      <c r="AA5" s="1633" t="s">
        <v>545</v>
      </c>
      <c r="AB5" s="1633" t="s">
        <v>2033</v>
      </c>
      <c r="AC5" s="1633" t="s">
        <v>2033</v>
      </c>
      <c r="AD5" s="1633" t="s">
        <v>700</v>
      </c>
      <c r="AE5" s="1633" t="s">
        <v>1771</v>
      </c>
      <c r="AF5" s="1633" t="s">
        <v>701</v>
      </c>
      <c r="AG5" s="1633" t="s">
        <v>701</v>
      </c>
      <c r="AH5" s="1633" t="s">
        <v>702</v>
      </c>
      <c r="AI5" s="1633" t="s">
        <v>3332</v>
      </c>
      <c r="AJ5" s="1640" t="s">
        <v>703</v>
      </c>
      <c r="AK5" s="1640" t="s">
        <v>703</v>
      </c>
      <c r="AL5" s="1640" t="s">
        <v>704</v>
      </c>
      <c r="AM5" s="1640" t="s">
        <v>704</v>
      </c>
      <c r="AN5" s="1642" t="s">
        <v>1580</v>
      </c>
      <c r="AO5" s="1643"/>
      <c r="AP5" s="1643"/>
      <c r="AQ5" s="1644"/>
      <c r="AR5" s="1642" t="s">
        <v>787</v>
      </c>
      <c r="AS5" s="1643"/>
      <c r="AT5" s="1643"/>
      <c r="AU5" s="1644"/>
      <c r="AV5" s="1642" t="s">
        <v>787</v>
      </c>
      <c r="AW5" s="1644"/>
      <c r="AX5" s="1633" t="s">
        <v>705</v>
      </c>
      <c r="AY5" s="1633" t="s">
        <v>705</v>
      </c>
      <c r="AZ5" s="1633" t="s">
        <v>706</v>
      </c>
      <c r="BA5" s="1633" t="s">
        <v>1937</v>
      </c>
      <c r="BB5" s="1633" t="s">
        <v>1458</v>
      </c>
      <c r="BC5" s="1633" t="s">
        <v>1581</v>
      </c>
      <c r="BD5" s="1633" t="s">
        <v>707</v>
      </c>
      <c r="BE5" s="1633" t="s">
        <v>707</v>
      </c>
      <c r="BF5" s="1633" t="s">
        <v>708</v>
      </c>
      <c r="BG5" s="1633" t="s">
        <v>708</v>
      </c>
      <c r="BH5" s="1630" t="s">
        <v>788</v>
      </c>
      <c r="BI5" s="1630" t="s">
        <v>788</v>
      </c>
      <c r="BJ5" s="1630" t="s">
        <v>709</v>
      </c>
      <c r="BK5" s="1630" t="s">
        <v>709</v>
      </c>
      <c r="BL5" s="1630" t="s">
        <v>780</v>
      </c>
      <c r="BM5" s="1630" t="s">
        <v>780</v>
      </c>
      <c r="BN5" s="1630" t="s">
        <v>1444</v>
      </c>
      <c r="BO5" s="1630" t="s">
        <v>1772</v>
      </c>
      <c r="BP5" s="1630" t="s">
        <v>3133</v>
      </c>
      <c r="BQ5" s="1630" t="s">
        <v>3133</v>
      </c>
      <c r="BR5" s="1641" t="s">
        <v>710</v>
      </c>
      <c r="BS5" s="1641" t="s">
        <v>710</v>
      </c>
      <c r="BT5" s="1641" t="s">
        <v>1494</v>
      </c>
      <c r="BU5" s="1641" t="s">
        <v>1494</v>
      </c>
      <c r="BV5" s="1630" t="s">
        <v>711</v>
      </c>
      <c r="BW5" s="1630" t="s">
        <v>711</v>
      </c>
      <c r="BX5" s="1630" t="s">
        <v>850</v>
      </c>
      <c r="BY5" s="1630" t="s">
        <v>850</v>
      </c>
      <c r="BZ5" s="1630"/>
      <c r="CA5" s="1630"/>
      <c r="CB5" s="1630"/>
      <c r="CC5" s="1630"/>
      <c r="CD5" s="1630"/>
      <c r="CE5" s="1630"/>
      <c r="CF5" s="1630"/>
      <c r="CG5" s="1630"/>
      <c r="CH5" s="1648"/>
      <c r="CI5" s="1648"/>
    </row>
    <row r="6" spans="1:89" ht="110.25" customHeight="1" x14ac:dyDescent="0.25">
      <c r="A6" s="1635"/>
      <c r="B6" s="1547" t="s">
        <v>193</v>
      </c>
      <c r="C6" s="219" t="s">
        <v>251</v>
      </c>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3"/>
      <c r="AD6" s="1633"/>
      <c r="AE6" s="1633"/>
      <c r="AF6" s="1633"/>
      <c r="AG6" s="1633"/>
      <c r="AH6" s="1633"/>
      <c r="AI6" s="1633"/>
      <c r="AJ6" s="1640"/>
      <c r="AK6" s="1640"/>
      <c r="AL6" s="1640"/>
      <c r="AM6" s="1640"/>
      <c r="AN6" s="1645"/>
      <c r="AO6" s="1646"/>
      <c r="AP6" s="1646"/>
      <c r="AQ6" s="1647"/>
      <c r="AR6" s="1645"/>
      <c r="AS6" s="1646"/>
      <c r="AT6" s="1646"/>
      <c r="AU6" s="1647"/>
      <c r="AV6" s="1645"/>
      <c r="AW6" s="1647"/>
      <c r="AX6" s="1633"/>
      <c r="AY6" s="1633"/>
      <c r="AZ6" s="1633"/>
      <c r="BA6" s="1633"/>
      <c r="BB6" s="1633"/>
      <c r="BC6" s="1633"/>
      <c r="BD6" s="1633"/>
      <c r="BE6" s="1633"/>
      <c r="BF6" s="1633"/>
      <c r="BG6" s="1633"/>
      <c r="BH6" s="1630"/>
      <c r="BI6" s="1630"/>
      <c r="BJ6" s="1630"/>
      <c r="BK6" s="1630"/>
      <c r="BL6" s="1630"/>
      <c r="BM6" s="1630"/>
      <c r="BN6" s="1630"/>
      <c r="BO6" s="1630"/>
      <c r="BP6" s="1630"/>
      <c r="BQ6" s="1630"/>
      <c r="BR6" s="1638"/>
      <c r="BS6" s="1638"/>
      <c r="BT6" s="1638"/>
      <c r="BU6" s="1638"/>
      <c r="BV6" s="1630"/>
      <c r="BW6" s="1630"/>
      <c r="BX6" s="1630"/>
      <c r="BY6" s="1630"/>
      <c r="BZ6" s="1630"/>
      <c r="CA6" s="1630"/>
      <c r="CB6" s="1630"/>
      <c r="CC6" s="1630"/>
      <c r="CD6" s="1630"/>
      <c r="CE6" s="1630"/>
      <c r="CF6" s="1630"/>
      <c r="CG6" s="1630"/>
      <c r="CH6" s="1638"/>
      <c r="CI6" s="1638"/>
    </row>
    <row r="7" spans="1:89" ht="16.5" customHeight="1" x14ac:dyDescent="0.25">
      <c r="A7" s="220" t="s">
        <v>194</v>
      </c>
      <c r="B7" s="221" t="s">
        <v>195</v>
      </c>
      <c r="C7" s="221" t="s">
        <v>196</v>
      </c>
      <c r="D7" s="383" t="s">
        <v>197</v>
      </c>
      <c r="E7" s="383" t="s">
        <v>198</v>
      </c>
      <c r="F7" s="383" t="s">
        <v>199</v>
      </c>
      <c r="G7" s="383" t="s">
        <v>200</v>
      </c>
      <c r="H7" s="383" t="s">
        <v>201</v>
      </c>
      <c r="I7" s="383" t="s">
        <v>202</v>
      </c>
      <c r="J7" s="383" t="s">
        <v>203</v>
      </c>
      <c r="K7" s="383" t="s">
        <v>204</v>
      </c>
      <c r="L7" s="383" t="s">
        <v>231</v>
      </c>
      <c r="M7" s="383" t="s">
        <v>232</v>
      </c>
      <c r="N7" s="383" t="s">
        <v>233</v>
      </c>
      <c r="O7" s="383" t="s">
        <v>234</v>
      </c>
      <c r="P7" s="383" t="s">
        <v>235</v>
      </c>
      <c r="Q7" s="383" t="s">
        <v>236</v>
      </c>
      <c r="R7" s="383" t="s">
        <v>237</v>
      </c>
      <c r="S7" s="383" t="s">
        <v>238</v>
      </c>
      <c r="T7" s="383" t="s">
        <v>239</v>
      </c>
      <c r="U7" s="383" t="s">
        <v>266</v>
      </c>
      <c r="V7" s="383" t="s">
        <v>267</v>
      </c>
      <c r="W7" s="383" t="s">
        <v>268</v>
      </c>
      <c r="X7" s="383" t="s">
        <v>269</v>
      </c>
      <c r="Y7" s="383" t="s">
        <v>270</v>
      </c>
      <c r="Z7" s="383" t="s">
        <v>271</v>
      </c>
      <c r="AA7" s="383" t="s">
        <v>272</v>
      </c>
      <c r="AB7" s="383" t="s">
        <v>273</v>
      </c>
      <c r="AC7" s="383" t="s">
        <v>274</v>
      </c>
      <c r="AD7" s="383" t="s">
        <v>275</v>
      </c>
      <c r="AE7" s="383" t="s">
        <v>276</v>
      </c>
      <c r="AF7" s="383" t="s">
        <v>277</v>
      </c>
      <c r="AG7" s="383" t="s">
        <v>278</v>
      </c>
      <c r="AH7" s="383" t="s">
        <v>282</v>
      </c>
      <c r="AI7" s="383" t="s">
        <v>283</v>
      </c>
      <c r="AJ7" s="383" t="s">
        <v>284</v>
      </c>
      <c r="AK7" s="383" t="s">
        <v>285</v>
      </c>
      <c r="AL7" s="383" t="s">
        <v>286</v>
      </c>
      <c r="AM7" s="383" t="s">
        <v>287</v>
      </c>
      <c r="AN7" s="383" t="s">
        <v>288</v>
      </c>
      <c r="AO7" s="383" t="s">
        <v>289</v>
      </c>
      <c r="AP7" s="383" t="s">
        <v>290</v>
      </c>
      <c r="AQ7" s="383" t="s">
        <v>291</v>
      </c>
      <c r="AR7" s="383" t="s">
        <v>292</v>
      </c>
      <c r="AS7" s="383" t="s">
        <v>293</v>
      </c>
      <c r="AT7" s="383" t="s">
        <v>294</v>
      </c>
      <c r="AU7" s="383" t="s">
        <v>295</v>
      </c>
      <c r="AV7" s="383" t="s">
        <v>296</v>
      </c>
      <c r="AW7" s="383" t="s">
        <v>297</v>
      </c>
      <c r="AX7" s="383" t="s">
        <v>298</v>
      </c>
      <c r="AY7" s="383" t="s">
        <v>299</v>
      </c>
      <c r="AZ7" s="383" t="s">
        <v>300</v>
      </c>
      <c r="BA7" s="383" t="s">
        <v>759</v>
      </c>
      <c r="BB7" s="383" t="s">
        <v>301</v>
      </c>
      <c r="BC7" s="383" t="s">
        <v>760</v>
      </c>
      <c r="BD7" s="383" t="s">
        <v>302</v>
      </c>
      <c r="BE7" s="383" t="s">
        <v>303</v>
      </c>
      <c r="BF7" s="383" t="s">
        <v>304</v>
      </c>
      <c r="BG7" s="383" t="s">
        <v>305</v>
      </c>
      <c r="BH7" s="383" t="s">
        <v>306</v>
      </c>
      <c r="BI7" s="383" t="s">
        <v>307</v>
      </c>
      <c r="BJ7" s="383" t="s">
        <v>308</v>
      </c>
      <c r="BK7" s="383" t="s">
        <v>309</v>
      </c>
      <c r="BL7" s="383" t="s">
        <v>310</v>
      </c>
      <c r="BM7" s="383" t="s">
        <v>311</v>
      </c>
      <c r="BN7" s="383" t="s">
        <v>312</v>
      </c>
      <c r="BO7" s="383" t="s">
        <v>313</v>
      </c>
      <c r="BP7" s="383" t="s">
        <v>314</v>
      </c>
      <c r="BQ7" s="383" t="s">
        <v>315</v>
      </c>
      <c r="BR7" s="383" t="s">
        <v>761</v>
      </c>
      <c r="BS7" s="383" t="s">
        <v>316</v>
      </c>
      <c r="BT7" s="383" t="s">
        <v>317</v>
      </c>
      <c r="BU7" s="383" t="s">
        <v>762</v>
      </c>
      <c r="BV7" s="383" t="s">
        <v>763</v>
      </c>
      <c r="BW7" s="383" t="s">
        <v>155</v>
      </c>
      <c r="BX7" s="383" t="s">
        <v>318</v>
      </c>
      <c r="BY7" s="383" t="s">
        <v>764</v>
      </c>
      <c r="BZ7" s="383" t="s">
        <v>765</v>
      </c>
      <c r="CA7" s="383" t="s">
        <v>319</v>
      </c>
      <c r="CB7" s="383" t="s">
        <v>320</v>
      </c>
      <c r="CC7" s="383" t="s">
        <v>321</v>
      </c>
      <c r="CD7" s="383" t="s">
        <v>322</v>
      </c>
      <c r="CE7" s="383" t="s">
        <v>323</v>
      </c>
      <c r="CF7" s="383" t="s">
        <v>324</v>
      </c>
      <c r="CG7" s="383" t="s">
        <v>325</v>
      </c>
      <c r="CH7" s="383" t="s">
        <v>326</v>
      </c>
      <c r="CI7" s="383" t="s">
        <v>766</v>
      </c>
    </row>
    <row r="8" spans="1:89" ht="21.75" customHeight="1" x14ac:dyDescent="0.25">
      <c r="A8" s="222" t="s">
        <v>194</v>
      </c>
      <c r="B8" s="223" t="s">
        <v>335</v>
      </c>
      <c r="C8" s="224" t="s">
        <v>205</v>
      </c>
      <c r="D8" s="243"/>
      <c r="E8" s="243"/>
      <c r="F8" s="243"/>
      <c r="G8" s="243"/>
      <c r="H8" s="243"/>
      <c r="I8" s="243"/>
      <c r="J8" s="243"/>
      <c r="K8" s="243"/>
      <c r="L8" s="243"/>
      <c r="M8" s="243"/>
      <c r="N8" s="243"/>
      <c r="O8" s="243"/>
      <c r="P8" s="243"/>
      <c r="Q8" s="243"/>
      <c r="R8" s="274"/>
      <c r="S8" s="274"/>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55"/>
      <c r="BU8" s="255"/>
      <c r="BV8" s="255"/>
      <c r="BW8" s="255"/>
      <c r="BX8" s="255"/>
      <c r="BY8" s="255"/>
      <c r="BZ8" s="255">
        <f>SUMIFS('1.a sz. Önkormányzat 2022. '!D8:HY8,'1.a sz. Önkormányzat 2022. '!$D$4:$HY$4,"kötelező",'1.a sz. Önkormányzat 2022. '!$D$2:$HY$2,"Eredeti előirányzat")+SUMIFS(D8:BY8,$D$4:$BY$4,"kötelező",$D$2:$BY$2,"Eredeti előirányzat")</f>
        <v>179586657</v>
      </c>
      <c r="CA8" s="255">
        <f>SUMIFS('1.a sz. Önkormányzat 2022. '!D8:II8,'1.a sz. Önkormányzat 2022. '!$D$4:$II$4,"kötelező",'1.a sz. Önkormányzat 2022. '!$D$2:$II$2,"Módosított előirányzat")+SUMIFS(D8:BY8,$D$4:$BY$4,"kötelező",$D$2:$BY$2,"Módosított előirányzat")</f>
        <v>225195675</v>
      </c>
      <c r="CB8" s="255">
        <f>SUMIFS('1.a sz. Önkormányzat 2022. '!D8:IB8,'1.a sz. Önkormányzat 2022. '!$D$4:$IB$4,"önként vállalt",'1.a sz. Önkormányzat 2022. '!$D$2:$IB$2,"Eredeti előirányzat")+SUMIFS(D8:BY8,$D$4:$BY$4,"önként vállalt",$D$2:$BY$2,"Eredeti előirányzat")</f>
        <v>67827910</v>
      </c>
      <c r="CC8" s="255">
        <f>SUMIFS('1.a sz. Önkormányzat 2022. '!D8:IC8,'1.a sz. Önkormányzat 2022. '!$D$4:$IC$4,"önként vállalt",'1.a sz. Önkormányzat 2022. '!$D$2:$IC$2,"Módosított előirányzat")+SUMIFS(D8:BY8,$D$4:$BY$4,"önként vállalt",$D$2:$BY$2,"Módosított előirányzat")</f>
        <v>72132323</v>
      </c>
      <c r="CD8" s="255">
        <f>SUMIFS('1.a sz. Önkormányzat 2022. '!D8:HY8,'1.a sz. Önkormányzat 2022. '!$D$4:$HY$4,"államigazgatási",'1.a sz. Önkormányzat 2022. '!$D$2:$HY$2,"Eredeti előirányzat")+SUMIFS(D8:BY8,$D$4:$BY$4,"államigazgatási",$D$2:$BY$2,"Eredeti előirányzat")</f>
        <v>0</v>
      </c>
      <c r="CE8" s="255">
        <f>SUMIFS('1.a sz. Önkormányzat 2022. '!D8:HY8,'1.a sz. Önkormányzat 2022. '!$D$4:$HY$4,"államigazgatási",'1.a sz. Önkormányzat 2022. '!$D$2:$HY$2,"Módosított előirányzat")+SUMIFS(D8:BY8,$D$4:$BY$4,"államigazgatási",$D$2:$BY$2,"Módosított előirányzat")</f>
        <v>0</v>
      </c>
      <c r="CF8" s="255">
        <f>BZ8+CB8+CD8</f>
        <v>247414567</v>
      </c>
      <c r="CG8" s="255">
        <f>CA8+CC8+CE8</f>
        <v>297327998</v>
      </c>
      <c r="CH8" s="749">
        <f>+'1.a sz. Önkormányzat 2022. '!HF8</f>
        <v>0</v>
      </c>
      <c r="CI8" s="749">
        <f>+'1.a sz. Önkormányzat 2022. '!HG8</f>
        <v>579760</v>
      </c>
      <c r="CJ8" s="227"/>
    </row>
    <row r="9" spans="1:89" s="229" customFormat="1" ht="21.75" customHeight="1" x14ac:dyDescent="0.25">
      <c r="A9" s="222" t="s">
        <v>195</v>
      </c>
      <c r="B9" s="228" t="s">
        <v>206</v>
      </c>
      <c r="C9" s="224" t="s">
        <v>207</v>
      </c>
      <c r="D9" s="243"/>
      <c r="E9" s="243"/>
      <c r="F9" s="243"/>
      <c r="G9" s="243"/>
      <c r="H9" s="243"/>
      <c r="I9" s="243"/>
      <c r="J9" s="243"/>
      <c r="K9" s="243"/>
      <c r="L9" s="243"/>
      <c r="M9" s="243"/>
      <c r="N9" s="243"/>
      <c r="O9" s="243"/>
      <c r="P9" s="243"/>
      <c r="Q9" s="243"/>
      <c r="R9" s="274"/>
      <c r="S9" s="274"/>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54"/>
      <c r="BU9" s="254"/>
      <c r="BV9" s="254"/>
      <c r="BW9" s="254"/>
      <c r="BX9" s="254"/>
      <c r="BY9" s="254"/>
      <c r="BZ9" s="255">
        <f>SUMIFS('1.a sz. Önkormányzat 2022. '!D9:HY9,'1.a sz. Önkormányzat 2022. '!$D$4:$HY$4,"kötelező",'1.a sz. Önkormányzat 2022. '!$D$2:$HY$2,"Eredeti előirányzat")+SUMIFS(D9:BY9,$D$4:$BY$4,"kötelező",$D$2:$BY$2,"Eredeti előirányzat")</f>
        <v>25968186</v>
      </c>
      <c r="CA9" s="255">
        <f>SUMIFS('1.a sz. Önkormányzat 2022. '!D9:II9,'1.a sz. Önkormányzat 2022. '!$D$4:$II$4,"kötelező",'1.a sz. Önkormányzat 2022. '!$D$2:$II$2,"Módosított előirányzat")+SUMIFS(D9:BY9,$D$4:$BY$4,"kötelező",$D$2:$BY$2,"Módosított előirányzat")</f>
        <v>29835790</v>
      </c>
      <c r="CB9" s="255">
        <f>SUMIFS('1.a sz. Önkormányzat 2022. '!D9:IB9,'1.a sz. Önkormányzat 2022. '!$D$4:$IB$4,"önként vállalt",'1.a sz. Önkormányzat 2022. '!$D$2:$IB$2,"Eredeti előirányzat")+SUMIFS(D9:BY9,$D$4:$BY$4,"önként vállalt",$D$2:$BY$2,"Eredeti előirányzat")</f>
        <v>8986135</v>
      </c>
      <c r="CC9" s="255">
        <f>SUMIFS('1.a sz. Önkormányzat 2022. '!D9:IC9,'1.a sz. Önkormányzat 2022. '!$D$4:$IC$4,"önként vállalt",'1.a sz. Önkormányzat 2022. '!$D$2:$IC$2,"Módosított előirányzat")+SUMIFS(D9:BY9,$D$4:$BY$4,"önként vállalt",$D$2:$BY$2,"Módosított előirányzat")</f>
        <v>11290903</v>
      </c>
      <c r="CD9" s="255">
        <f>SUMIFS('1.a sz. Önkormányzat 2022. '!D9:HY9,'1.a sz. Önkormányzat 2022. '!$D$4:$HY$4,"államigazgatási",'1.a sz. Önkormányzat 2022. '!$D$2:$HY$2,"Eredeti előirányzat")+SUMIFS(D9:BY9,$D$4:$BY$4,"államigazgatási",$D$2:$BY$2,"Eredeti előirányzat")</f>
        <v>0</v>
      </c>
      <c r="CE9" s="255">
        <f>SUMIFS('1.a sz. Önkormányzat 2022. '!D9:HY9,'1.a sz. Önkormányzat 2022. '!$D$4:$HY$4,"államigazgatási",'1.a sz. Önkormányzat 2022. '!$D$2:$HY$2,"Módosított előirányzat")+SUMIFS(D9:BY9,$D$4:$BY$4,"államigazgatási",$D$2:$BY$2,"Módosított előirányzat")</f>
        <v>0</v>
      </c>
      <c r="CF9" s="255">
        <f t="shared" ref="CF9:CF49" si="0">BZ9+CB9+CD9</f>
        <v>34954321</v>
      </c>
      <c r="CG9" s="255">
        <f t="shared" ref="CG9:CG49" si="1">CA9+CC9+CE9</f>
        <v>41126693</v>
      </c>
      <c r="CH9" s="749">
        <f>+'1.a sz. Önkormányzat 2022. '!HF9</f>
        <v>0</v>
      </c>
      <c r="CI9" s="749">
        <f>+'1.a sz. Önkormányzat 2022. '!HG9</f>
        <v>67832</v>
      </c>
      <c r="CJ9" s="227"/>
    </row>
    <row r="10" spans="1:89" ht="21.75" customHeight="1" x14ac:dyDescent="0.25">
      <c r="A10" s="222" t="s">
        <v>196</v>
      </c>
      <c r="B10" s="228" t="s">
        <v>336</v>
      </c>
      <c r="C10" s="224" t="s">
        <v>208</v>
      </c>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43">
        <f>(1500000+4020000+1454785)+29531+8077</f>
        <v>7012393</v>
      </c>
      <c r="BC10" s="243">
        <f>7012393-785920+485920+200000+54000</f>
        <v>6966393</v>
      </c>
      <c r="BD10" s="274"/>
      <c r="BE10" s="274"/>
      <c r="BF10" s="274"/>
      <c r="BG10" s="274"/>
      <c r="BH10" s="274">
        <v>17912080</v>
      </c>
      <c r="BI10" s="274">
        <v>17912080</v>
      </c>
      <c r="BJ10" s="274">
        <v>14800000</v>
      </c>
      <c r="BK10" s="274">
        <f>14800000+4</f>
        <v>14800004</v>
      </c>
      <c r="BL10" s="243">
        <f>+(862500)+625000</f>
        <v>1487500</v>
      </c>
      <c r="BM10" s="243">
        <v>1487500</v>
      </c>
      <c r="BN10" s="243"/>
      <c r="BO10" s="243"/>
      <c r="BP10" s="243"/>
      <c r="BQ10" s="243"/>
      <c r="BR10" s="274">
        <v>40000000</v>
      </c>
      <c r="BS10" s="274">
        <f>40000000+941+978</f>
        <v>40001919</v>
      </c>
      <c r="BT10" s="225"/>
      <c r="BU10" s="225"/>
      <c r="BV10" s="225"/>
      <c r="BW10" s="225"/>
      <c r="BX10" s="225"/>
      <c r="BY10" s="225"/>
      <c r="BZ10" s="255">
        <f>SUMIFS('1.a sz. Önkormányzat 2022. '!D10:HY10,'1.a sz. Önkormányzat 2022. '!$D$4:$HY$4,"kötelező",'1.a sz. Önkormányzat 2022. '!$D$2:$HY$2,"Eredeti előirányzat")+SUMIFS(D10:BY10,$D$4:$BY$4,"kötelező",$D$2:$BY$2,"Eredeti előirányzat")</f>
        <v>1990584287</v>
      </c>
      <c r="CA10" s="255">
        <f>SUMIFS('1.a sz. Önkormányzat 2022. '!D10:II10,'1.a sz. Önkormányzat 2022. '!$D$4:$II$4,"kötelező",'1.a sz. Önkormányzat 2022. '!$D$2:$II$2,"Módosított előirányzat")+SUMIFS(D10:BY10,$D$4:$BY$4,"kötelező",$D$2:$BY$2,"Módosított előirányzat")</f>
        <v>2394367253</v>
      </c>
      <c r="CB10" s="255">
        <f>SUMIFS('1.a sz. Önkormányzat 2022. '!D10:IB10,'1.a sz. Önkormányzat 2022. '!$D$4:$IB$4,"önként vállalt",'1.a sz. Önkormányzat 2022. '!$D$2:$IB$2,"Eredeti előirányzat")+SUMIFS(D10:BY10,$D$4:$BY$4,"önként vállalt",$D$2:$BY$2,"Eredeti előirányzat")</f>
        <v>259339973</v>
      </c>
      <c r="CC10" s="255">
        <f>SUMIFS('1.a sz. Önkormányzat 2022. '!D10:IC10,'1.a sz. Önkormányzat 2022. '!$D$4:$IC$4,"önként vállalt",'1.a sz. Önkormányzat 2022. '!$D$2:$IC$2,"Módosított előirányzat")+SUMIFS(D10:BY10,$D$4:$BY$4,"önként vállalt",$D$2:$BY$2,"Módosított előirányzat")</f>
        <v>404515863</v>
      </c>
      <c r="CD10" s="255">
        <f>SUMIFS('1.a sz. Önkormányzat 2022. '!D10:HY10,'1.a sz. Önkormányzat 2022. '!$D$4:$HY$4,"államigazgatási",'1.a sz. Önkormányzat 2022. '!$D$2:$HY$2,"Eredeti előirányzat")+SUMIFS(D10:BY10,$D$4:$BY$4,"államigazgatási",$D$2:$BY$2,"Eredeti előirányzat")</f>
        <v>0</v>
      </c>
      <c r="CE10" s="255">
        <f>SUMIFS('1.a sz. Önkormányzat 2022. '!D10:HY10,'1.a sz. Önkormányzat 2022. '!$D$4:$HY$4,"államigazgatási",'1.a sz. Önkormányzat 2022. '!$D$2:$HY$2,"Módosított előirányzat")+SUMIFS(D10:BY10,$D$4:$BY$4,"államigazgatási",$D$2:$BY$2,"Módosított előirányzat")</f>
        <v>0</v>
      </c>
      <c r="CF10" s="255">
        <f t="shared" si="0"/>
        <v>2249924260</v>
      </c>
      <c r="CG10" s="255">
        <f t="shared" si="1"/>
        <v>2798883116</v>
      </c>
      <c r="CH10" s="749">
        <f>+'1.a sz. Önkormányzat 2022. '!HF10</f>
        <v>0</v>
      </c>
      <c r="CI10" s="749">
        <f>+'1.a sz. Önkormányzat 2022. '!HG10</f>
        <v>7499350</v>
      </c>
      <c r="CJ10" s="227">
        <v>1288029137</v>
      </c>
      <c r="CK10" s="227" t="e">
        <f>+CJ10-#REF!</f>
        <v>#REF!</v>
      </c>
    </row>
    <row r="11" spans="1:89" ht="21.75" customHeight="1" x14ac:dyDescent="0.25">
      <c r="A11" s="222" t="s">
        <v>197</v>
      </c>
      <c r="B11" s="231" t="s">
        <v>337</v>
      </c>
      <c r="C11" s="224" t="s">
        <v>209</v>
      </c>
      <c r="D11" s="243">
        <f>+'[1]9.sz. Szociális'!E8+'[1]9.sz. Szociális'!E9</f>
        <v>23000000</v>
      </c>
      <c r="E11" s="243">
        <f>23000000-1000000-68810-5000000-111760</f>
        <v>16819430</v>
      </c>
      <c r="F11" s="243">
        <f>+'[1]9.sz. Szociális'!E12</f>
        <v>1500000</v>
      </c>
      <c r="G11" s="243">
        <v>1500000</v>
      </c>
      <c r="H11" s="243">
        <f>+'[1]9.sz. Szociális'!E13</f>
        <v>2300000</v>
      </c>
      <c r="I11" s="243">
        <v>2300000</v>
      </c>
      <c r="J11" s="243">
        <f>+'[1]9.sz. Szociális'!E14</f>
        <v>2000000</v>
      </c>
      <c r="K11" s="243">
        <v>2000000</v>
      </c>
      <c r="L11" s="243">
        <f>+'[1]9.sz. Szociális'!E15</f>
        <v>3000000</v>
      </c>
      <c r="M11" s="243">
        <v>3000000</v>
      </c>
      <c r="N11" s="243">
        <f>+'[1]9.sz. Szociális'!E10</f>
        <v>4000000</v>
      </c>
      <c r="O11" s="243">
        <v>4000000</v>
      </c>
      <c r="P11" s="243">
        <f>+'[1]9.sz. Szociális'!E11</f>
        <v>500000</v>
      </c>
      <c r="Q11" s="243">
        <v>500000</v>
      </c>
      <c r="R11" s="274"/>
      <c r="S11" s="274"/>
      <c r="T11" s="243">
        <f>+'[1]9.sz. Szociális'!E16</f>
        <v>500000</v>
      </c>
      <c r="U11" s="243">
        <v>500000</v>
      </c>
      <c r="V11" s="243">
        <f>+'[1]9.sz. Szociális'!E17</f>
        <v>200000</v>
      </c>
      <c r="W11" s="243">
        <v>200000</v>
      </c>
      <c r="X11" s="243"/>
      <c r="Y11" s="243">
        <v>1000000</v>
      </c>
      <c r="Z11" s="243">
        <f>+'[1]9.sz. Szociális'!E18</f>
        <v>7000000</v>
      </c>
      <c r="AA11" s="243">
        <v>7000000</v>
      </c>
      <c r="AB11" s="243"/>
      <c r="AC11" s="243">
        <f>5000000+4000000</f>
        <v>9000000</v>
      </c>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55"/>
      <c r="BU11" s="255"/>
      <c r="BV11" s="255"/>
      <c r="BW11" s="255"/>
      <c r="BX11" s="255"/>
      <c r="BY11" s="255"/>
      <c r="BZ11" s="255">
        <f>SUMIFS('1.a sz. Önkormányzat 2022. '!D11:HY11,'1.a sz. Önkormányzat 2022. '!$D$4:$HY$4,"kötelező",'1.a sz. Önkormányzat 2022. '!$D$2:$HY$2,"Eredeti előirányzat")+SUMIFS(D11:BY11,$D$4:$BY$4,"kötelező",$D$2:$BY$2,"Eredeti előirányzat")</f>
        <v>44000000</v>
      </c>
      <c r="CA11" s="255">
        <f>SUMIFS('1.a sz. Önkormányzat 2022. '!D11:II11,'1.a sz. Önkormányzat 2022. '!$D$4:$II$4,"kötelező",'1.a sz. Önkormányzat 2022. '!$D$2:$II$2,"Módosított előirányzat")+SUMIFS(D11:BY11,$D$4:$BY$4,"kötelező",$D$2:$BY$2,"Módosított előirányzat")</f>
        <v>47819430</v>
      </c>
      <c r="CB11" s="255">
        <f>SUMIFS('1.a sz. Önkormányzat 2022. '!D11:IB11,'1.a sz. Önkormányzat 2022. '!$D$4:$IB$4,"önként vállalt",'1.a sz. Önkormányzat 2022. '!$D$2:$IB$2,"Eredeti előirányzat")+SUMIFS(D11:BY11,$D$4:$BY$4,"önként vállalt",$D$2:$BY$2,"Eredeti előirányzat")</f>
        <v>0</v>
      </c>
      <c r="CC11" s="255">
        <f>SUMIFS('1.a sz. Önkormányzat 2022. '!D11:IC11,'1.a sz. Önkormányzat 2022. '!$D$4:$IC$4,"önként vállalt",'1.a sz. Önkormányzat 2022. '!$D$2:$IC$2,"Módosított előirányzat")+SUMIFS(D11:BY11,$D$4:$BY$4,"önként vállalt",$D$2:$BY$2,"Módosított előirányzat")</f>
        <v>0</v>
      </c>
      <c r="CD11" s="255">
        <f>SUMIFS('1.a sz. Önkormányzat 2022. '!D11:HY11,'1.a sz. Önkormányzat 2022. '!$D$4:$HY$4,"államigazgatási",'1.a sz. Önkormányzat 2022. '!$D$2:$HY$2,"Eredeti előirányzat")+SUMIFS(D11:BY11,$D$4:$BY$4,"államigazgatási",$D$2:$BY$2,"Eredeti előirányzat")</f>
        <v>0</v>
      </c>
      <c r="CE11" s="255">
        <f>SUMIFS('1.a sz. Önkormányzat 2022. '!D11:HY11,'1.a sz. Önkormányzat 2022. '!$D$4:$HY$4,"államigazgatási",'1.a sz. Önkormányzat 2022. '!$D$2:$HY$2,"Módosított előirányzat")+SUMIFS(D11:BY11,$D$4:$BY$4,"államigazgatási",$D$2:$BY$2,"Módosított előirányzat")</f>
        <v>0</v>
      </c>
      <c r="CF11" s="255">
        <f>BZ11+CB11+CD11</f>
        <v>44000000</v>
      </c>
      <c r="CG11" s="255">
        <f t="shared" si="1"/>
        <v>47819430</v>
      </c>
      <c r="CH11" s="749">
        <f>+'1.a sz. Önkormányzat 2022. '!HF11</f>
        <v>0</v>
      </c>
      <c r="CI11" s="749">
        <f>+'1.a sz. Önkormányzat 2022. '!HG11</f>
        <v>0</v>
      </c>
      <c r="CJ11" s="218">
        <v>43456000</v>
      </c>
      <c r="CK11" s="227" t="e">
        <f>+CJ11-#REF!</f>
        <v>#REF!</v>
      </c>
    </row>
    <row r="12" spans="1:89" ht="21.75" customHeight="1" x14ac:dyDescent="0.25">
      <c r="A12" s="222" t="s">
        <v>198</v>
      </c>
      <c r="B12" s="231" t="s">
        <v>240</v>
      </c>
      <c r="C12" s="224" t="s">
        <v>210</v>
      </c>
      <c r="D12" s="243">
        <f t="shared" ref="D12:BU12" si="2">+D13+D14+D15</f>
        <v>0</v>
      </c>
      <c r="E12" s="243">
        <f t="shared" si="2"/>
        <v>0</v>
      </c>
      <c r="F12" s="243">
        <f t="shared" si="2"/>
        <v>0</v>
      </c>
      <c r="G12" s="243">
        <f t="shared" si="2"/>
        <v>0</v>
      </c>
      <c r="H12" s="243">
        <f t="shared" si="2"/>
        <v>0</v>
      </c>
      <c r="I12" s="243">
        <f t="shared" si="2"/>
        <v>0</v>
      </c>
      <c r="J12" s="243">
        <f t="shared" si="2"/>
        <v>0</v>
      </c>
      <c r="K12" s="243">
        <f t="shared" si="2"/>
        <v>0</v>
      </c>
      <c r="L12" s="243">
        <f t="shared" si="2"/>
        <v>0</v>
      </c>
      <c r="M12" s="243">
        <f t="shared" si="2"/>
        <v>0</v>
      </c>
      <c r="N12" s="243">
        <f t="shared" si="2"/>
        <v>0</v>
      </c>
      <c r="O12" s="243">
        <f t="shared" si="2"/>
        <v>0</v>
      </c>
      <c r="P12" s="243">
        <f t="shared" si="2"/>
        <v>0</v>
      </c>
      <c r="Q12" s="243">
        <f t="shared" si="2"/>
        <v>0</v>
      </c>
      <c r="R12" s="243">
        <f t="shared" si="2"/>
        <v>0</v>
      </c>
      <c r="S12" s="243">
        <f t="shared" si="2"/>
        <v>0</v>
      </c>
      <c r="T12" s="243">
        <f t="shared" si="2"/>
        <v>0</v>
      </c>
      <c r="U12" s="243">
        <f t="shared" si="2"/>
        <v>0</v>
      </c>
      <c r="V12" s="243">
        <f t="shared" si="2"/>
        <v>0</v>
      </c>
      <c r="W12" s="243">
        <f t="shared" si="2"/>
        <v>0</v>
      </c>
      <c r="X12" s="243">
        <f t="shared" si="2"/>
        <v>0</v>
      </c>
      <c r="Y12" s="243">
        <f t="shared" si="2"/>
        <v>0</v>
      </c>
      <c r="Z12" s="243">
        <f t="shared" si="2"/>
        <v>0</v>
      </c>
      <c r="AA12" s="243">
        <f t="shared" si="2"/>
        <v>0</v>
      </c>
      <c r="AB12" s="243">
        <f t="shared" si="2"/>
        <v>0</v>
      </c>
      <c r="AC12" s="243">
        <f t="shared" si="2"/>
        <v>0</v>
      </c>
      <c r="AD12" s="243">
        <f t="shared" si="2"/>
        <v>0</v>
      </c>
      <c r="AE12" s="243">
        <f t="shared" si="2"/>
        <v>0</v>
      </c>
      <c r="AF12" s="243">
        <f t="shared" si="2"/>
        <v>0</v>
      </c>
      <c r="AG12" s="243">
        <f t="shared" si="2"/>
        <v>0</v>
      </c>
      <c r="AH12" s="243">
        <f t="shared" si="2"/>
        <v>0</v>
      </c>
      <c r="AI12" s="243">
        <f t="shared" si="2"/>
        <v>34006</v>
      </c>
      <c r="AJ12" s="243">
        <f t="shared" si="2"/>
        <v>7047905</v>
      </c>
      <c r="AK12" s="243">
        <f t="shared" si="2"/>
        <v>7047905</v>
      </c>
      <c r="AL12" s="243">
        <f t="shared" si="2"/>
        <v>117853492</v>
      </c>
      <c r="AM12" s="243">
        <f t="shared" si="2"/>
        <v>116217201</v>
      </c>
      <c r="AN12" s="243">
        <f t="shared" si="2"/>
        <v>3220000</v>
      </c>
      <c r="AO12" s="243">
        <f t="shared" si="2"/>
        <v>3957452</v>
      </c>
      <c r="AP12" s="243">
        <f t="shared" si="2"/>
        <v>0</v>
      </c>
      <c r="AQ12" s="243">
        <f t="shared" si="2"/>
        <v>5005000</v>
      </c>
      <c r="AR12" s="243">
        <f t="shared" si="2"/>
        <v>0</v>
      </c>
      <c r="AS12" s="243">
        <f t="shared" si="2"/>
        <v>0</v>
      </c>
      <c r="AT12" s="243">
        <f t="shared" si="2"/>
        <v>2590000</v>
      </c>
      <c r="AU12" s="243">
        <f t="shared" si="2"/>
        <v>14020000</v>
      </c>
      <c r="AV12" s="243">
        <f t="shared" si="2"/>
        <v>0</v>
      </c>
      <c r="AW12" s="243">
        <f t="shared" si="2"/>
        <v>1770000</v>
      </c>
      <c r="AX12" s="243">
        <f t="shared" si="2"/>
        <v>3080000</v>
      </c>
      <c r="AY12" s="243">
        <f t="shared" si="2"/>
        <v>3080000</v>
      </c>
      <c r="AZ12" s="243">
        <f t="shared" si="2"/>
        <v>0</v>
      </c>
      <c r="BA12" s="243">
        <f t="shared" si="2"/>
        <v>3375000</v>
      </c>
      <c r="BB12" s="243">
        <f t="shared" si="2"/>
        <v>79620000</v>
      </c>
      <c r="BC12" s="243">
        <f t="shared" si="2"/>
        <v>107352000</v>
      </c>
      <c r="BD12" s="243">
        <f t="shared" si="2"/>
        <v>4000000</v>
      </c>
      <c r="BE12" s="243">
        <f t="shared" si="2"/>
        <v>4000000</v>
      </c>
      <c r="BF12" s="243">
        <f t="shared" si="2"/>
        <v>26600000</v>
      </c>
      <c r="BG12" s="243">
        <f t="shared" si="2"/>
        <v>26600000</v>
      </c>
      <c r="BH12" s="243">
        <f t="shared" si="2"/>
        <v>25216800</v>
      </c>
      <c r="BI12" s="243">
        <f t="shared" si="2"/>
        <v>29216800</v>
      </c>
      <c r="BJ12" s="243">
        <f t="shared" si="2"/>
        <v>14856000</v>
      </c>
      <c r="BK12" s="243">
        <f t="shared" si="2"/>
        <v>14856000</v>
      </c>
      <c r="BL12" s="243">
        <f t="shared" si="2"/>
        <v>0</v>
      </c>
      <c r="BM12" s="243">
        <f t="shared" si="2"/>
        <v>0</v>
      </c>
      <c r="BN12" s="243">
        <f t="shared" si="2"/>
        <v>210500</v>
      </c>
      <c r="BO12" s="243">
        <f t="shared" si="2"/>
        <v>1390500</v>
      </c>
      <c r="BP12" s="243">
        <f t="shared" si="2"/>
        <v>0</v>
      </c>
      <c r="BQ12" s="243">
        <f t="shared" si="2"/>
        <v>0</v>
      </c>
      <c r="BR12" s="243">
        <f t="shared" si="2"/>
        <v>0</v>
      </c>
      <c r="BS12" s="243">
        <f t="shared" si="2"/>
        <v>0</v>
      </c>
      <c r="BT12" s="243">
        <f t="shared" si="2"/>
        <v>0</v>
      </c>
      <c r="BU12" s="243">
        <f t="shared" si="2"/>
        <v>0</v>
      </c>
      <c r="BV12" s="243">
        <f>+BV13+BV14+BV15</f>
        <v>0</v>
      </c>
      <c r="BW12" s="243">
        <f>+BW13+BW14+BW15</f>
        <v>0</v>
      </c>
      <c r="BX12" s="243">
        <f>+BX13+BX14+BX15</f>
        <v>0</v>
      </c>
      <c r="BY12" s="243">
        <f>+BY13+BY14+BY15</f>
        <v>0</v>
      </c>
      <c r="BZ12" s="255">
        <f>SUMIFS('1.a sz. Önkormányzat 2022. '!D12:HY12,'1.a sz. Önkormányzat 2022. '!$D$4:$HY$4,"kötelező",'1.a sz. Önkormányzat 2022. '!$D$2:$HY$2,"Eredeti előirányzat")+SUMIFS(D12:BY12,$D$4:$BY$4,"kötelező",$D$2:$BY$2,"Eredeti előirányzat")</f>
        <v>1891458171</v>
      </c>
      <c r="CA12" s="255">
        <f>SUMIFS('1.a sz. Önkormányzat 2022. '!D12:II12,'1.a sz. Önkormányzat 2022. '!$D$4:$II$4,"kötelező",'1.a sz. Önkormányzat 2022. '!$D$2:$II$2,"Módosított előirányzat")+SUMIFS(D12:BY12,$D$4:$BY$4,"kötelező",$D$2:$BY$2,"Módosított előirányzat")</f>
        <v>2893683396</v>
      </c>
      <c r="CB12" s="255">
        <f>SUMIFS('1.a sz. Önkormányzat 2022. '!D12:IB12,'1.a sz. Önkormányzat 2022. '!$D$4:$IB$4,"önként vállalt",'1.a sz. Önkormányzat 2022. '!$D$2:$IB$2,"Eredeti előirányzat")+SUMIFS(D12:BY12,$D$4:$BY$4,"önként vállalt",$D$2:$BY$2,"Eredeti előirányzat")</f>
        <v>189818697</v>
      </c>
      <c r="CC12" s="255">
        <f>SUMIFS('1.a sz. Önkormányzat 2022. '!D12:IC12,'1.a sz. Önkormányzat 2022. '!$D$4:$IC$4,"önként vállalt",'1.a sz. Önkormányzat 2022. '!$D$2:$IC$2,"Módosított előirányzat")+SUMIFS(D12:BY12,$D$4:$BY$4,"önként vállalt",$D$2:$BY$2,"Módosított előirányzat")</f>
        <v>215713864</v>
      </c>
      <c r="CD12" s="255">
        <f>SUMIFS('1.a sz. Önkormányzat 2022. '!D12:HY12,'1.a sz. Önkormányzat 2022. '!$D$4:$HY$4,"államigazgatási",'1.a sz. Önkormányzat 2022. '!$D$2:$HY$2,"Eredeti előirányzat")+SUMIFS(D12:BY12,$D$4:$BY$4,"államigazgatási",$D$2:$BY$2,"Eredeti előirányzat")</f>
        <v>0</v>
      </c>
      <c r="CE12" s="255">
        <f>SUMIFS('1.a sz. Önkormányzat 2022. '!D12:HY12,'1.a sz. Önkormányzat 2022. '!$D$4:$HY$4,"államigazgatási",'1.a sz. Önkormányzat 2022. '!$D$2:$HY$2,"Módosított előirányzat")+SUMIFS(D12:BY12,$D$4:$BY$4,"államigazgatási",$D$2:$BY$2,"Módosított előirányzat")</f>
        <v>0</v>
      </c>
      <c r="CF12" s="255">
        <f t="shared" si="0"/>
        <v>2081276868</v>
      </c>
      <c r="CG12" s="255">
        <f t="shared" si="1"/>
        <v>3109397260</v>
      </c>
      <c r="CH12" s="749">
        <f>+'1.a sz. Önkormányzat 2022. '!HF12</f>
        <v>0</v>
      </c>
      <c r="CI12" s="749">
        <f>+'1.a sz. Önkormányzat 2022. '!HG12</f>
        <v>0</v>
      </c>
      <c r="CK12" s="227"/>
    </row>
    <row r="13" spans="1:89" ht="21.75" customHeight="1" x14ac:dyDescent="0.25">
      <c r="A13" s="222" t="s">
        <v>199</v>
      </c>
      <c r="B13" s="232" t="s">
        <v>578</v>
      </c>
      <c r="C13" s="224"/>
      <c r="D13" s="243"/>
      <c r="E13" s="243"/>
      <c r="F13" s="243"/>
      <c r="G13" s="243"/>
      <c r="H13" s="243"/>
      <c r="I13" s="243"/>
      <c r="J13" s="243"/>
      <c r="K13" s="243"/>
      <c r="L13" s="243"/>
      <c r="M13" s="243"/>
      <c r="N13" s="243"/>
      <c r="O13" s="243"/>
      <c r="P13" s="243"/>
      <c r="Q13" s="243"/>
      <c r="R13" s="274"/>
      <c r="S13" s="274"/>
      <c r="T13" s="243"/>
      <c r="U13" s="243"/>
      <c r="V13" s="243"/>
      <c r="W13" s="243"/>
      <c r="X13" s="243"/>
      <c r="Y13" s="243"/>
      <c r="Z13" s="243"/>
      <c r="AA13" s="243"/>
      <c r="AB13" s="243"/>
      <c r="AC13" s="243"/>
      <c r="AD13" s="243"/>
      <c r="AE13" s="243"/>
      <c r="AF13" s="243"/>
      <c r="AG13" s="243"/>
      <c r="AH13" s="243"/>
      <c r="AI13" s="243">
        <f>22000+12006</f>
        <v>34006</v>
      </c>
      <c r="AJ13" s="729">
        <f>+'[1]5.sz.Műk.c.pe.átadás'!G32</f>
        <v>7047905</v>
      </c>
      <c r="AK13" s="729">
        <v>7047905</v>
      </c>
      <c r="AL13" s="729">
        <f>+'[1]5.sz.Műk.c.pe.átadás'!G35</f>
        <v>117853492</v>
      </c>
      <c r="AM13" s="729">
        <f>117853492-1636291</f>
        <v>116217201</v>
      </c>
      <c r="AN13" s="729">
        <f>+'[1]5.sz.Műk.c.pe.átadás'!G11+'[1]5.sz.Műk.c.pe.átadás'!G14+'[1]5.sz.Műk.c.pe.átadás'!G12+'[1]5.sz.Műk.c.pe.átadás'!G13+'[1]5.sz.Műk.c.pe.átadás'!G15</f>
        <v>3220000</v>
      </c>
      <c r="AO13" s="243">
        <f>3220000+650000+87452</f>
        <v>3957452</v>
      </c>
      <c r="AP13" s="243"/>
      <c r="AQ13" s="243">
        <f>700000+2505000+500000+600000+200000+100000+200000+150000-100000+100000+50000</f>
        <v>5005000</v>
      </c>
      <c r="AR13" s="243"/>
      <c r="AS13" s="243">
        <f>250000-250000</f>
        <v>0</v>
      </c>
      <c r="AT13" s="729">
        <f>+'[1]5.sz.Műk.c.pe.átadás'!G24+'[1]5.sz.Műk.c.pe.átadás'!G23</f>
        <v>2590000</v>
      </c>
      <c r="AU13" s="729">
        <f>2590000+275000+9725000+240000+100000+500000+110000+180000+200000+100000</f>
        <v>14020000</v>
      </c>
      <c r="AV13" s="243"/>
      <c r="AW13" s="243">
        <v>1770000</v>
      </c>
      <c r="AX13" s="729">
        <f>+'[1]5.sz.Műk.c.pe.átadás'!G17</f>
        <v>3080000</v>
      </c>
      <c r="AY13" s="729">
        <v>3080000</v>
      </c>
      <c r="AZ13" s="243"/>
      <c r="BA13" s="243">
        <f>3175000+200000</f>
        <v>3375000</v>
      </c>
      <c r="BB13" s="729">
        <f>+'[1]5.sz.Műk.c.pe.átadás'!G19</f>
        <v>79620000</v>
      </c>
      <c r="BC13" s="729">
        <f>79620000+300000+3429000+24003000</f>
        <v>107352000</v>
      </c>
      <c r="BD13" s="729">
        <f>+'[1]5.sz.Műk.c.pe.átadás'!E21</f>
        <v>4000000</v>
      </c>
      <c r="BE13" s="729">
        <v>4000000</v>
      </c>
      <c r="BF13" s="729">
        <f>+'[1]5.sz.Műk.c.pe.átadás'!E44+'[1]5.sz.Műk.c.pe.átadás'!E45+'[1]5.sz.Műk.c.pe.átadás'!E46</f>
        <v>26600000</v>
      </c>
      <c r="BG13" s="729">
        <v>26600000</v>
      </c>
      <c r="BH13" s="729">
        <f>+'[1]5.sz.Műk.c.pe.átadás'!G8</f>
        <v>25216800</v>
      </c>
      <c r="BI13" s="729">
        <f>25216800+4000000</f>
        <v>29216800</v>
      </c>
      <c r="BJ13" s="729">
        <f>+'[1]5.sz.Műk.c.pe.átadás'!G7</f>
        <v>14856000</v>
      </c>
      <c r="BK13" s="729">
        <v>14856000</v>
      </c>
      <c r="BL13" s="243"/>
      <c r="BM13" s="243"/>
      <c r="BN13" s="729">
        <f>+'[1]5.sz.Műk.c.pe.átadás'!E28</f>
        <v>210500</v>
      </c>
      <c r="BO13" s="729">
        <f>210500+275000-275000+1250000-70000</f>
        <v>1390500</v>
      </c>
      <c r="BP13" s="729"/>
      <c r="BQ13" s="729"/>
      <c r="BR13" s="243"/>
      <c r="BS13" s="243"/>
      <c r="BT13" s="255"/>
      <c r="BU13" s="255"/>
      <c r="BV13" s="255"/>
      <c r="BW13" s="255"/>
      <c r="BX13" s="255"/>
      <c r="BY13" s="255"/>
      <c r="BZ13" s="255">
        <f>SUMIFS('1.a sz. Önkormányzat 2022. '!D13:HY13,'1.a sz. Önkormányzat 2022. '!$D$4:$HY$4,"kötelező",'1.a sz. Önkormányzat 2022. '!$D$2:$HY$2,"Eredeti előirányzat")+SUMIFS(D13:BY13,$D$4:$BY$4,"kötelező",$D$2:$BY$2,"Eredeti előirányzat")</f>
        <v>96287551</v>
      </c>
      <c r="CA13" s="255">
        <f>SUMIFS('1.a sz. Önkormányzat 2022. '!D13:II13,'1.a sz. Önkormányzat 2022. '!$D$4:$II$4,"kötelező",'1.a sz. Önkormányzat 2022. '!$D$2:$II$2,"Módosított előirányzat")+SUMIFS(D13:BY13,$D$4:$BY$4,"kötelező",$D$2:$BY$2,"Módosított előirányzat")</f>
        <v>122808000</v>
      </c>
      <c r="CB13" s="255">
        <f>SUMIFS('1.a sz. Önkormányzat 2022. '!D13:IB13,'1.a sz. Önkormányzat 2022. '!$D$4:$IB$4,"önként vállalt",'1.a sz. Önkormányzat 2022. '!$D$2:$IB$2,"Eredeti előirányzat")+SUMIFS(D13:BY13,$D$4:$BY$4,"önként vállalt",$D$2:$BY$2,"Eredeti előirányzat")</f>
        <v>189818697</v>
      </c>
      <c r="CC13" s="255">
        <f>SUMIFS('1.a sz. Önkormányzat 2022. '!D13:IC13,'1.a sz. Önkormányzat 2022. '!$D$4:$IC$4,"önként vállalt",'1.a sz. Önkormányzat 2022. '!$D$2:$IC$2,"Módosított előirányzat")+SUMIFS(D13:BY13,$D$4:$BY$4,"önként vállalt",$D$2:$BY$2,"Módosított előirányzat")</f>
        <v>215713864</v>
      </c>
      <c r="CD13" s="255">
        <f>SUMIFS('1.a sz. Önkormányzat 2022. '!D13:HY13,'1.a sz. Önkormányzat 2022. '!$D$4:$HY$4,"államigazgatási",'1.a sz. Önkormányzat 2022. '!$D$2:$HY$2,"Eredeti előirányzat")+SUMIFS(D13:BY13,$D$4:$BY$4,"államigazgatási",$D$2:$BY$2,"Eredeti előirányzat")</f>
        <v>0</v>
      </c>
      <c r="CE13" s="255">
        <f>SUMIFS('1.a sz. Önkormányzat 2022. '!D13:HY13,'1.a sz. Önkormányzat 2022. '!$D$4:$HY$4,"államigazgatási",'1.a sz. Önkormányzat 2022. '!$D$2:$HY$2,"Módosított előirányzat")+SUMIFS(D13:BY13,$D$4:$BY$4,"államigazgatási",$D$2:$BY$2,"Módosított előirányzat")</f>
        <v>0</v>
      </c>
      <c r="CF13" s="255">
        <f t="shared" si="0"/>
        <v>286106248</v>
      </c>
      <c r="CG13" s="255">
        <f t="shared" si="1"/>
        <v>338521864</v>
      </c>
      <c r="CH13" s="749">
        <f>+'1.a sz. Önkormányzat 2022. '!HF13</f>
        <v>0</v>
      </c>
      <c r="CI13" s="749">
        <f>+'1.a sz. Önkormányzat 2022. '!HG13</f>
        <v>0</v>
      </c>
      <c r="CK13" s="227"/>
    </row>
    <row r="14" spans="1:89" s="234" customFormat="1" ht="21.75" customHeight="1" x14ac:dyDescent="0.25">
      <c r="A14" s="222" t="s">
        <v>200</v>
      </c>
      <c r="B14" s="232" t="s">
        <v>579</v>
      </c>
      <c r="C14" s="233"/>
      <c r="D14" s="253"/>
      <c r="E14" s="253"/>
      <c r="F14" s="253"/>
      <c r="G14" s="253"/>
      <c r="H14" s="253"/>
      <c r="I14" s="253"/>
      <c r="J14" s="253"/>
      <c r="K14" s="253"/>
      <c r="L14" s="253"/>
      <c r="M14" s="253"/>
      <c r="N14" s="253"/>
      <c r="O14" s="253"/>
      <c r="P14" s="253"/>
      <c r="Q14" s="253"/>
      <c r="R14" s="287"/>
      <c r="S14" s="287"/>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60"/>
      <c r="BU14" s="260"/>
      <c r="BV14" s="260"/>
      <c r="BW14" s="260"/>
      <c r="BX14" s="260"/>
      <c r="BY14" s="260"/>
      <c r="BZ14" s="255">
        <f>SUMIFS('1.a sz. Önkormányzat 2022. '!D14:HY14,'1.a sz. Önkormányzat 2022. '!$D$4:$HY$4,"kötelező",'1.a sz. Önkormányzat 2022. '!$D$2:$HY$2,"Eredeti előirányzat")+SUMIFS(D14:BY14,$D$4:$BY$4,"kötelező",$D$2:$BY$2,"Eredeti előirányzat")</f>
        <v>897149962</v>
      </c>
      <c r="CA14" s="255">
        <f>SUMIFS('1.a sz. Önkormányzat 2022. '!D14:II14,'1.a sz. Önkormányzat 2022. '!$D$4:$II$4,"kötelező",'1.a sz. Önkormányzat 2022. '!$D$2:$II$2,"Módosított előirányzat")+SUMIFS(D14:BY14,$D$4:$BY$4,"kötelező",$D$2:$BY$2,"Módosított előirányzat")</f>
        <v>1872854738</v>
      </c>
      <c r="CB14" s="255">
        <f>SUMIFS('1.a sz. Önkormányzat 2022. '!D14:IB14,'1.a sz. Önkormányzat 2022. '!$D$4:$IB$4,"önként vállalt",'1.a sz. Önkormányzat 2022. '!$D$2:$IB$2,"Eredeti előirányzat")+SUMIFS(D14:BY14,$D$4:$BY$4,"önként vállalt",$D$2:$BY$2,"Eredeti előirányzat")</f>
        <v>0</v>
      </c>
      <c r="CC14" s="255">
        <f>SUMIFS('1.a sz. Önkormányzat 2022. '!D14:IC14,'1.a sz. Önkormányzat 2022. '!$D$4:$IC$4,"önként vállalt",'1.a sz. Önkormányzat 2022. '!$D$2:$IC$2,"Módosított előirányzat")+SUMIFS(D14:BY14,$D$4:$BY$4,"önként vállalt",$D$2:$BY$2,"Módosított előirányzat")</f>
        <v>0</v>
      </c>
      <c r="CD14" s="255">
        <f>SUMIFS('1.a sz. Önkormányzat 2022. '!D14:HY14,'1.a sz. Önkormányzat 2022. '!$D$4:$HY$4,"államigazgatási",'1.a sz. Önkormányzat 2022. '!$D$2:$HY$2,"Eredeti előirányzat")+SUMIFS(D14:BY14,$D$4:$BY$4,"államigazgatási",$D$2:$BY$2,"Eredeti előirányzat")</f>
        <v>0</v>
      </c>
      <c r="CE14" s="255">
        <f>SUMIFS('1.a sz. Önkormányzat 2022. '!D14:HY14,'1.a sz. Önkormányzat 2022. '!$D$4:$HY$4,"államigazgatási",'1.a sz. Önkormányzat 2022. '!$D$2:$HY$2,"Módosított előirányzat")+SUMIFS(D14:BY14,$D$4:$BY$4,"államigazgatási",$D$2:$BY$2,"Módosított előirányzat")</f>
        <v>0</v>
      </c>
      <c r="CF14" s="255">
        <f t="shared" si="0"/>
        <v>897149962</v>
      </c>
      <c r="CG14" s="255">
        <f t="shared" si="1"/>
        <v>1872854738</v>
      </c>
      <c r="CH14" s="749">
        <f>+'1.a sz. Önkormányzat 2022. '!HF14</f>
        <v>0</v>
      </c>
      <c r="CI14" s="749">
        <f>+'1.a sz. Önkormányzat 2022. '!HG14</f>
        <v>0</v>
      </c>
      <c r="CK14" s="227"/>
    </row>
    <row r="15" spans="1:89" s="234" customFormat="1" ht="21.75" customHeight="1" x14ac:dyDescent="0.25">
      <c r="A15" s="222" t="s">
        <v>201</v>
      </c>
      <c r="B15" s="232" t="s">
        <v>580</v>
      </c>
      <c r="C15" s="233"/>
      <c r="D15" s="253"/>
      <c r="E15" s="253"/>
      <c r="F15" s="253"/>
      <c r="G15" s="253"/>
      <c r="H15" s="253"/>
      <c r="I15" s="253"/>
      <c r="J15" s="253"/>
      <c r="K15" s="253"/>
      <c r="L15" s="253"/>
      <c r="M15" s="253"/>
      <c r="N15" s="253"/>
      <c r="O15" s="253"/>
      <c r="P15" s="253"/>
      <c r="Q15" s="253"/>
      <c r="R15" s="287"/>
      <c r="S15" s="287"/>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3"/>
      <c r="BS15" s="253"/>
      <c r="BT15" s="260"/>
      <c r="BU15" s="260"/>
      <c r="BV15" s="254"/>
      <c r="BW15" s="254"/>
      <c r="BX15" s="254"/>
      <c r="BY15" s="254"/>
      <c r="BZ15" s="255">
        <f>SUMIFS('1.a sz. Önkormányzat 2022. '!D15:HY15,'1.a sz. Önkormányzat 2022. '!$D$4:$HY$4,"kötelező",'1.a sz. Önkormányzat 2022. '!$D$2:$HY$2,"Eredeti előirányzat")+SUMIFS(D15:BY15,$D$4:$BY$4,"kötelező",$D$2:$BY$2,"Eredeti előirányzat")</f>
        <v>898020658</v>
      </c>
      <c r="CA15" s="255">
        <f>SUMIFS('1.a sz. Önkormányzat 2022. '!D15:II15,'1.a sz. Önkormányzat 2022. '!$D$4:$II$4,"kötelező",'1.a sz. Önkormányzat 2022. '!$D$2:$II$2,"Módosított előirányzat")+SUMIFS(D15:BY15,$D$4:$BY$4,"kötelező",$D$2:$BY$2,"Módosított előirányzat")</f>
        <v>898020658</v>
      </c>
      <c r="CB15" s="255">
        <f>SUMIFS('1.a sz. Önkormányzat 2022. '!D15:IB15,'1.a sz. Önkormányzat 2022. '!$D$4:$IB$4,"önként vállalt",'1.a sz. Önkormányzat 2022. '!$D$2:$IB$2,"Eredeti előirányzat")+SUMIFS(D15:BY15,$D$4:$BY$4,"önként vállalt",$D$2:$BY$2,"Eredeti előirányzat")</f>
        <v>0</v>
      </c>
      <c r="CC15" s="255">
        <f>SUMIFS('1.a sz. Önkormányzat 2022. '!D15:IC15,'1.a sz. Önkormányzat 2022. '!$D$4:$IC$4,"önként vállalt",'1.a sz. Önkormányzat 2022. '!$D$2:$IC$2,"Módosított előirányzat")+SUMIFS(D15:BY15,$D$4:$BY$4,"önként vállalt",$D$2:$BY$2,"Módosított előirányzat")</f>
        <v>0</v>
      </c>
      <c r="CD15" s="255">
        <f>SUMIFS('1.a sz. Önkormányzat 2022. '!D15:HY15,'1.a sz. Önkormányzat 2022. '!$D$4:$HY$4,"államigazgatási",'1.a sz. Önkormányzat 2022. '!$D$2:$HY$2,"Eredeti előirányzat")+SUMIFS(D15:BY15,$D$4:$BY$4,"államigazgatási",$D$2:$BY$2,"Eredeti előirányzat")</f>
        <v>0</v>
      </c>
      <c r="CE15" s="255">
        <f>SUMIFS('1.a sz. Önkormányzat 2022. '!D15:HY15,'1.a sz. Önkormányzat 2022. '!$D$4:$HY$4,"államigazgatási",'1.a sz. Önkormányzat 2022. '!$D$2:$HY$2,"Módosított előirányzat")+SUMIFS(D15:BY15,$D$4:$BY$4,"államigazgatási",$D$2:$BY$2,"Módosított előirányzat")</f>
        <v>0</v>
      </c>
      <c r="CF15" s="255">
        <f t="shared" si="0"/>
        <v>898020658</v>
      </c>
      <c r="CG15" s="255">
        <f t="shared" si="1"/>
        <v>898020658</v>
      </c>
      <c r="CH15" s="749">
        <f>+'1.a sz. Önkormányzat 2022. '!HF15</f>
        <v>0</v>
      </c>
      <c r="CI15" s="749">
        <f>+'1.a sz. Önkormányzat 2022. '!HG15</f>
        <v>0</v>
      </c>
      <c r="CK15" s="227"/>
    </row>
    <row r="16" spans="1:89" s="229" customFormat="1" ht="21.75" customHeight="1" x14ac:dyDescent="0.25">
      <c r="A16" s="222" t="s">
        <v>202</v>
      </c>
      <c r="B16" s="235" t="s">
        <v>247</v>
      </c>
      <c r="C16" s="224" t="s">
        <v>211</v>
      </c>
      <c r="D16" s="243"/>
      <c r="E16" s="243"/>
      <c r="F16" s="243"/>
      <c r="G16" s="243"/>
      <c r="H16" s="243"/>
      <c r="I16" s="243"/>
      <c r="J16" s="243"/>
      <c r="K16" s="243"/>
      <c r="L16" s="243"/>
      <c r="M16" s="243"/>
      <c r="N16" s="243"/>
      <c r="O16" s="243"/>
      <c r="P16" s="243"/>
      <c r="Q16" s="243"/>
      <c r="R16" s="274"/>
      <c r="S16" s="274"/>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f>+'[1]6.sz. Beruházások'!E81</f>
        <v>3000000</v>
      </c>
      <c r="BC16" s="243">
        <v>3000000</v>
      </c>
      <c r="BD16" s="243"/>
      <c r="BE16" s="243"/>
      <c r="BF16" s="243"/>
      <c r="BG16" s="243"/>
      <c r="BH16" s="243"/>
      <c r="BI16" s="243"/>
      <c r="BJ16" s="243"/>
      <c r="BK16" s="243"/>
      <c r="BL16" s="243"/>
      <c r="BM16" s="243"/>
      <c r="BN16" s="243"/>
      <c r="BO16" s="243"/>
      <c r="BP16" s="243"/>
      <c r="BQ16" s="243"/>
      <c r="BR16" s="243"/>
      <c r="BS16" s="243"/>
      <c r="BT16" s="254"/>
      <c r="BU16" s="254"/>
      <c r="BV16" s="254"/>
      <c r="BW16" s="254"/>
      <c r="BX16" s="254"/>
      <c r="BY16" s="254"/>
      <c r="BZ16" s="255">
        <f>SUMIFS('1.a sz. Önkormányzat 2022. '!D16:HY16,'1.a sz. Önkormányzat 2022. '!$D$4:$HY$4,"kötelező",'1.a sz. Önkormányzat 2022. '!$D$2:$HY$2,"Eredeti előirányzat")+SUMIFS(D16:BY16,$D$4:$BY$4,"kötelező",$D$2:$BY$2,"Eredeti előirányzat")</f>
        <v>1221123458</v>
      </c>
      <c r="CA16" s="255">
        <f>SUMIFS('1.a sz. Önkormányzat 2022. '!D16:II16,'1.a sz. Önkormányzat 2022. '!$D$4:$II$4,"kötelező",'1.a sz. Önkormányzat 2022. '!$D$2:$II$2,"Módosított előirányzat")+SUMIFS(D16:BY16,$D$4:$BY$4,"kötelező",$D$2:$BY$2,"Módosított előirányzat")</f>
        <v>1449842167</v>
      </c>
      <c r="CB16" s="255">
        <f>SUMIFS('1.a sz. Önkormányzat 2022. '!D16:IB16,'1.a sz. Önkormányzat 2022. '!$D$4:$IB$4,"önként vállalt",'1.a sz. Önkormányzat 2022. '!$D$2:$IB$2,"Eredeti előirányzat")+SUMIFS(D16:BY16,$D$4:$BY$4,"önként vállalt",$D$2:$BY$2,"Eredeti előirányzat")</f>
        <v>552466077</v>
      </c>
      <c r="CC16" s="255">
        <f>SUMIFS('1.a sz. Önkormányzat 2022. '!D16:IC16,'1.a sz. Önkormányzat 2022. '!$D$4:$IC$4,"önként vállalt",'1.a sz. Önkormányzat 2022. '!$D$2:$IC$2,"Módosított előirányzat")+SUMIFS(D16:BY16,$D$4:$BY$4,"önként vállalt",$D$2:$BY$2,"Módosított előirányzat")</f>
        <v>513944745</v>
      </c>
      <c r="CD16" s="255">
        <f>SUMIFS('1.a sz. Önkormányzat 2022. '!D16:HY16,'1.a sz. Önkormányzat 2022. '!$D$4:$HY$4,"államigazgatási",'1.a sz. Önkormányzat 2022. '!$D$2:$HY$2,"Eredeti előirányzat")+SUMIFS(D16:BY16,$D$4:$BY$4,"államigazgatási",$D$2:$BY$2,"Eredeti előirányzat")</f>
        <v>0</v>
      </c>
      <c r="CE16" s="255">
        <f>SUMIFS('1.a sz. Önkormányzat 2022. '!D16:HY16,'1.a sz. Önkormányzat 2022. '!$D$4:$HY$4,"államigazgatási",'1.a sz. Önkormányzat 2022. '!$D$2:$HY$2,"Módosított előirányzat")+SUMIFS(D16:BY16,$D$4:$BY$4,"államigazgatási",$D$2:$BY$2,"Módosított előirányzat")</f>
        <v>0</v>
      </c>
      <c r="CF16" s="255">
        <f>BZ16+CB16+CD16</f>
        <v>1773589535</v>
      </c>
      <c r="CG16" s="255">
        <f t="shared" si="1"/>
        <v>1963786912</v>
      </c>
      <c r="CH16" s="749">
        <f>+'1.a sz. Önkormányzat 2022. '!HF16</f>
        <v>7499350</v>
      </c>
      <c r="CI16" s="749">
        <f>+'1.a sz. Önkormányzat 2022. '!HG16</f>
        <v>41418264</v>
      </c>
      <c r="CJ16" s="229">
        <v>1335639616</v>
      </c>
      <c r="CK16" s="227" t="e">
        <f>+CJ16-#REF!</f>
        <v>#REF!</v>
      </c>
    </row>
    <row r="17" spans="1:89" s="229" customFormat="1" ht="21.75" customHeight="1" x14ac:dyDescent="0.25">
      <c r="A17" s="222" t="s">
        <v>203</v>
      </c>
      <c r="B17" s="231" t="s">
        <v>338</v>
      </c>
      <c r="C17" s="224" t="s">
        <v>212</v>
      </c>
      <c r="D17" s="243"/>
      <c r="E17" s="243"/>
      <c r="F17" s="243"/>
      <c r="G17" s="243"/>
      <c r="H17" s="243"/>
      <c r="I17" s="243"/>
      <c r="J17" s="243"/>
      <c r="K17" s="243"/>
      <c r="L17" s="243"/>
      <c r="M17" s="243"/>
      <c r="N17" s="243"/>
      <c r="O17" s="243"/>
      <c r="P17" s="243"/>
      <c r="Q17" s="243"/>
      <c r="R17" s="274"/>
      <c r="S17" s="274"/>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54"/>
      <c r="BU17" s="254"/>
      <c r="BV17" s="254"/>
      <c r="BW17" s="254"/>
      <c r="BX17" s="254"/>
      <c r="BY17" s="254"/>
      <c r="BZ17" s="255">
        <f>SUMIFS('1.a sz. Önkormányzat 2022. '!D17:HY17,'1.a sz. Önkormányzat 2022. '!$D$4:$HY$4,"kötelező",'1.a sz. Önkormányzat 2022. '!$D$2:$HY$2,"Eredeti előirányzat")+SUMIFS(D17:BY17,$D$4:$BY$4,"kötelező",$D$2:$BY$2,"Eredeti előirányzat")</f>
        <v>227236267</v>
      </c>
      <c r="CA17" s="255">
        <f>SUMIFS('1.a sz. Önkormányzat 2022. '!D17:II17,'1.a sz. Önkormányzat 2022. '!$D$4:$II$4,"kötelező",'1.a sz. Önkormányzat 2022. '!$D$2:$II$2,"Módosított előirányzat")+SUMIFS(D17:BY17,$D$4:$BY$4,"kötelező",$D$2:$BY$2,"Módosított előirányzat")</f>
        <v>174757458</v>
      </c>
      <c r="CB17" s="255">
        <f>SUMIFS('1.a sz. Önkormányzat 2022. '!D17:IB17,'1.a sz. Önkormányzat 2022. '!$D$4:$IB$4,"önként vállalt",'1.a sz. Önkormányzat 2022. '!$D$2:$IB$2,"Eredeti előirányzat")+SUMIFS(D17:BY17,$D$4:$BY$4,"önként vállalt",$D$2:$BY$2,"Eredeti előirányzat")</f>
        <v>0</v>
      </c>
      <c r="CC17" s="255">
        <f>SUMIFS('1.a sz. Önkormányzat 2022. '!D17:IC17,'1.a sz. Önkormányzat 2022. '!$D$4:$IC$4,"önként vállalt",'1.a sz. Önkormányzat 2022. '!$D$2:$IC$2,"Módosított előirányzat")+SUMIFS(D17:BY17,$D$4:$BY$4,"önként vállalt",$D$2:$BY$2,"Módosított előirányzat")</f>
        <v>0</v>
      </c>
      <c r="CD17" s="255">
        <f>SUMIFS('1.a sz. Önkormányzat 2022. '!D17:HY17,'1.a sz. Önkormányzat 2022. '!$D$4:$HY$4,"államigazgatási",'1.a sz. Önkormányzat 2022. '!$D$2:$HY$2,"Eredeti előirányzat")+SUMIFS(D17:BY17,$D$4:$BY$4,"államigazgatási",$D$2:$BY$2,"Eredeti előirányzat")</f>
        <v>0</v>
      </c>
      <c r="CE17" s="255">
        <f>SUMIFS('1.a sz. Önkormányzat 2022. '!D17:HY17,'1.a sz. Önkormányzat 2022. '!$D$4:$HY$4,"államigazgatási",'1.a sz. Önkormányzat 2022. '!$D$2:$HY$2,"Módosított előirányzat")+SUMIFS(D17:BY17,$D$4:$BY$4,"államigazgatási",$D$2:$BY$2,"Módosított előirányzat")</f>
        <v>0</v>
      </c>
      <c r="CF17" s="255">
        <f t="shared" si="0"/>
        <v>227236267</v>
      </c>
      <c r="CG17" s="255">
        <f t="shared" si="1"/>
        <v>174757458</v>
      </c>
      <c r="CH17" s="749">
        <f>+'1.a sz. Önkormányzat 2022. '!HF17</f>
        <v>0</v>
      </c>
      <c r="CI17" s="749">
        <f>+'1.a sz. Önkormányzat 2022. '!HG17</f>
        <v>0</v>
      </c>
      <c r="CJ17" s="229">
        <v>475600396</v>
      </c>
      <c r="CK17" s="227" t="e">
        <f>+CJ17-#REF!</f>
        <v>#REF!</v>
      </c>
    </row>
    <row r="18" spans="1:89" ht="21.75" customHeight="1" x14ac:dyDescent="0.25">
      <c r="A18" s="222" t="s">
        <v>204</v>
      </c>
      <c r="B18" s="231" t="s">
        <v>241</v>
      </c>
      <c r="C18" s="224" t="s">
        <v>213</v>
      </c>
      <c r="D18" s="243">
        <f t="shared" ref="D18:BU18" si="3">+D19</f>
        <v>0</v>
      </c>
      <c r="E18" s="243">
        <f t="shared" si="3"/>
        <v>0</v>
      </c>
      <c r="F18" s="243">
        <f t="shared" si="3"/>
        <v>0</v>
      </c>
      <c r="G18" s="243">
        <f t="shared" si="3"/>
        <v>0</v>
      </c>
      <c r="H18" s="243">
        <f t="shared" si="3"/>
        <v>0</v>
      </c>
      <c r="I18" s="243">
        <f t="shared" si="3"/>
        <v>0</v>
      </c>
      <c r="J18" s="243">
        <f t="shared" si="3"/>
        <v>0</v>
      </c>
      <c r="K18" s="243">
        <f t="shared" si="3"/>
        <v>0</v>
      </c>
      <c r="L18" s="243">
        <f t="shared" si="3"/>
        <v>0</v>
      </c>
      <c r="M18" s="243">
        <f t="shared" si="3"/>
        <v>0</v>
      </c>
      <c r="N18" s="243">
        <f t="shared" si="3"/>
        <v>0</v>
      </c>
      <c r="O18" s="243">
        <f t="shared" si="3"/>
        <v>0</v>
      </c>
      <c r="P18" s="243">
        <f t="shared" si="3"/>
        <v>0</v>
      </c>
      <c r="Q18" s="243">
        <f t="shared" si="3"/>
        <v>0</v>
      </c>
      <c r="R18" s="243">
        <f t="shared" si="3"/>
        <v>0</v>
      </c>
      <c r="S18" s="243">
        <f t="shared" si="3"/>
        <v>0</v>
      </c>
      <c r="T18" s="243">
        <f t="shared" si="3"/>
        <v>0</v>
      </c>
      <c r="U18" s="243">
        <f t="shared" si="3"/>
        <v>0</v>
      </c>
      <c r="V18" s="243">
        <f t="shared" si="3"/>
        <v>0</v>
      </c>
      <c r="W18" s="243">
        <f t="shared" si="3"/>
        <v>0</v>
      </c>
      <c r="X18" s="243"/>
      <c r="Y18" s="243"/>
      <c r="Z18" s="243">
        <f t="shared" si="3"/>
        <v>0</v>
      </c>
      <c r="AA18" s="243">
        <f t="shared" si="3"/>
        <v>0</v>
      </c>
      <c r="AB18" s="243">
        <f t="shared" si="3"/>
        <v>0</v>
      </c>
      <c r="AC18" s="243">
        <f t="shared" si="3"/>
        <v>0</v>
      </c>
      <c r="AD18" s="243">
        <f t="shared" si="3"/>
        <v>6500000</v>
      </c>
      <c r="AE18" s="243">
        <f t="shared" si="3"/>
        <v>1161940</v>
      </c>
      <c r="AF18" s="243">
        <f t="shared" si="3"/>
        <v>4000000</v>
      </c>
      <c r="AG18" s="243">
        <f t="shared" si="3"/>
        <v>4000000</v>
      </c>
      <c r="AH18" s="243">
        <f t="shared" si="3"/>
        <v>0</v>
      </c>
      <c r="AI18" s="243">
        <f t="shared" si="3"/>
        <v>65994</v>
      </c>
      <c r="AJ18" s="243">
        <f t="shared" si="3"/>
        <v>0</v>
      </c>
      <c r="AK18" s="243">
        <f t="shared" si="3"/>
        <v>0</v>
      </c>
      <c r="AL18" s="243">
        <f t="shared" si="3"/>
        <v>0</v>
      </c>
      <c r="AM18" s="243">
        <f t="shared" si="3"/>
        <v>1636291</v>
      </c>
      <c r="AN18" s="243">
        <f t="shared" si="3"/>
        <v>0</v>
      </c>
      <c r="AO18" s="243">
        <f t="shared" si="3"/>
        <v>960000</v>
      </c>
      <c r="AP18" s="243">
        <f t="shared" si="3"/>
        <v>0</v>
      </c>
      <c r="AQ18" s="243">
        <f t="shared" si="3"/>
        <v>0</v>
      </c>
      <c r="AR18" s="243">
        <f t="shared" si="3"/>
        <v>0</v>
      </c>
      <c r="AS18" s="243">
        <f t="shared" si="3"/>
        <v>0</v>
      </c>
      <c r="AT18" s="243">
        <f t="shared" si="3"/>
        <v>0</v>
      </c>
      <c r="AU18" s="243">
        <f t="shared" si="3"/>
        <v>0</v>
      </c>
      <c r="AV18" s="243">
        <f t="shared" si="3"/>
        <v>0</v>
      </c>
      <c r="AW18" s="243">
        <f t="shared" si="3"/>
        <v>0</v>
      </c>
      <c r="AX18" s="243">
        <f t="shared" si="3"/>
        <v>1320000</v>
      </c>
      <c r="AY18" s="243">
        <f t="shared" si="3"/>
        <v>1320000</v>
      </c>
      <c r="AZ18" s="243">
        <f t="shared" si="3"/>
        <v>0</v>
      </c>
      <c r="BA18" s="243">
        <f t="shared" si="3"/>
        <v>0</v>
      </c>
      <c r="BB18" s="243">
        <f t="shared" si="3"/>
        <v>0</v>
      </c>
      <c r="BC18" s="243">
        <f t="shared" si="3"/>
        <v>0</v>
      </c>
      <c r="BD18" s="243">
        <f t="shared" si="3"/>
        <v>0</v>
      </c>
      <c r="BE18" s="243">
        <f t="shared" si="3"/>
        <v>0</v>
      </c>
      <c r="BF18" s="243">
        <f t="shared" si="3"/>
        <v>0</v>
      </c>
      <c r="BG18" s="243">
        <f t="shared" si="3"/>
        <v>0</v>
      </c>
      <c r="BH18" s="243">
        <f t="shared" si="3"/>
        <v>0</v>
      </c>
      <c r="BI18" s="243">
        <f t="shared" si="3"/>
        <v>0</v>
      </c>
      <c r="BJ18" s="243">
        <f t="shared" si="3"/>
        <v>0</v>
      </c>
      <c r="BK18" s="243">
        <f t="shared" si="3"/>
        <v>0</v>
      </c>
      <c r="BL18" s="243">
        <f t="shared" si="3"/>
        <v>0</v>
      </c>
      <c r="BM18" s="243">
        <f t="shared" si="3"/>
        <v>0</v>
      </c>
      <c r="BN18" s="243">
        <f t="shared" si="3"/>
        <v>0</v>
      </c>
      <c r="BO18" s="243">
        <f>+BO19</f>
        <v>2570000</v>
      </c>
      <c r="BP18" s="243">
        <f>+BP19</f>
        <v>0</v>
      </c>
      <c r="BQ18" s="243">
        <f>+BQ19</f>
        <v>1554735</v>
      </c>
      <c r="BR18" s="243">
        <f t="shared" si="3"/>
        <v>0</v>
      </c>
      <c r="BS18" s="243">
        <f t="shared" si="3"/>
        <v>0</v>
      </c>
      <c r="BT18" s="243">
        <f t="shared" si="3"/>
        <v>0</v>
      </c>
      <c r="BU18" s="243">
        <f t="shared" si="3"/>
        <v>0</v>
      </c>
      <c r="BV18" s="243">
        <f>+BV19</f>
        <v>0</v>
      </c>
      <c r="BW18" s="243">
        <f>+BW19</f>
        <v>0</v>
      </c>
      <c r="BX18" s="243">
        <f>+BX19</f>
        <v>0</v>
      </c>
      <c r="BY18" s="243">
        <f>+BY19</f>
        <v>0</v>
      </c>
      <c r="BZ18" s="255">
        <f>SUMIFS('1.a sz. Önkormányzat 2022. '!D18:HY18,'1.a sz. Önkormányzat 2022. '!$D$4:$HY$4,"kötelező",'1.a sz. Önkormányzat 2022. '!$D$2:$HY$2,"Eredeti előirányzat")+SUMIFS(D18:BY18,$D$4:$BY$4,"kötelező",$D$2:$BY$2,"Eredeti előirányzat")</f>
        <v>0</v>
      </c>
      <c r="CA18" s="255">
        <f>SUMIFS('1.a sz. Önkormányzat 2022. '!D18:II18,'1.a sz. Önkormányzat 2022. '!$D$4:$II$4,"kötelező",'1.a sz. Önkormányzat 2022. '!$D$2:$II$2,"Módosított előirányzat")+SUMIFS(D18:BY18,$D$4:$BY$4,"kötelező",$D$2:$BY$2,"Módosított előirányzat")</f>
        <v>1811551</v>
      </c>
      <c r="CB18" s="255">
        <f>SUMIFS('1.a sz. Önkormányzat 2022. '!D18:IB18,'1.a sz. Önkormányzat 2022. '!$D$4:$IB$4,"önként vállalt",'1.a sz. Önkormányzat 2022. '!$D$2:$IB$2,"Eredeti előirányzat")+SUMIFS(D18:BY18,$D$4:$BY$4,"önként vállalt",$D$2:$BY$2,"Eredeti előirányzat")</f>
        <v>13820000</v>
      </c>
      <c r="CC18" s="255">
        <f>SUMIFS('1.a sz. Önkormányzat 2022. '!D18:IC18,'1.a sz. Önkormányzat 2022. '!$D$4:$IC$4,"önként vállalt",'1.a sz. Önkormányzat 2022. '!$D$2:$IC$2,"Módosított előirányzat")+SUMIFS(D18:BY18,$D$4:$BY$4,"önként vállalt",$D$2:$BY$2,"Módosított előirányzat")</f>
        <v>16959710</v>
      </c>
      <c r="CD18" s="255">
        <f>SUMIFS('1.a sz. Önkormányzat 2022. '!D18:HY18,'1.a sz. Önkormányzat 2022. '!$D$4:$HY$4,"államigazgatási",'1.a sz. Önkormányzat 2022. '!$D$2:$HY$2,"Eredeti előirányzat")+SUMIFS(D18:BY18,$D$4:$BY$4,"államigazgatási",$D$2:$BY$2,"Eredeti előirányzat")</f>
        <v>0</v>
      </c>
      <c r="CE18" s="255">
        <f>SUMIFS('1.a sz. Önkormányzat 2022. '!D18:HY18,'1.a sz. Önkormányzat 2022. '!$D$4:$HY$4,"államigazgatási",'1.a sz. Önkormányzat 2022. '!$D$2:$HY$2,"Módosított előirányzat")+SUMIFS(D18:BY18,$D$4:$BY$4,"államigazgatási",$D$2:$BY$2,"Módosított előirányzat")</f>
        <v>0</v>
      </c>
      <c r="CF18" s="255">
        <f t="shared" si="0"/>
        <v>13820000</v>
      </c>
      <c r="CG18" s="255">
        <f t="shared" si="1"/>
        <v>18771261</v>
      </c>
      <c r="CH18" s="749">
        <f>+'1.a sz. Önkormányzat 2022. '!HF18</f>
        <v>0</v>
      </c>
      <c r="CI18" s="749">
        <f>+'1.a sz. Önkormányzat 2022. '!HG18</f>
        <v>0</v>
      </c>
      <c r="CK18" s="227" t="e">
        <f>SUM(CK10:GS17)</f>
        <v>#REF!</v>
      </c>
    </row>
    <row r="19" spans="1:89" ht="21.75" customHeight="1" x14ac:dyDescent="0.25">
      <c r="A19" s="222" t="s">
        <v>231</v>
      </c>
      <c r="B19" s="232" t="s">
        <v>591</v>
      </c>
      <c r="C19" s="224"/>
      <c r="D19" s="243"/>
      <c r="E19" s="243"/>
      <c r="F19" s="243"/>
      <c r="G19" s="243"/>
      <c r="H19" s="243"/>
      <c r="I19" s="243"/>
      <c r="J19" s="243"/>
      <c r="K19" s="243"/>
      <c r="L19" s="243"/>
      <c r="M19" s="243"/>
      <c r="N19" s="243"/>
      <c r="O19" s="243"/>
      <c r="P19" s="243"/>
      <c r="Q19" s="243"/>
      <c r="R19" s="274"/>
      <c r="S19" s="274"/>
      <c r="T19" s="243"/>
      <c r="U19" s="243"/>
      <c r="V19" s="243"/>
      <c r="W19" s="243"/>
      <c r="X19" s="243"/>
      <c r="Y19" s="243"/>
      <c r="Z19" s="243"/>
      <c r="AA19" s="243"/>
      <c r="AB19" s="243"/>
      <c r="AC19" s="243"/>
      <c r="AD19" s="729">
        <f>+'[1]4.sz.Felhalm.c.pe.átadás'!E6+'[1]4.sz.Felhalm.c.pe.átadás'!F8+'[1]4.sz.Felhalm.c.pe.átadás'!F12</f>
        <v>6500000</v>
      </c>
      <c r="AE19" s="729">
        <f>6500000-2500000-778000-210060-350000-1500000</f>
        <v>1161940</v>
      </c>
      <c r="AF19" s="729">
        <f>+'[1]4.sz.Felhalm.c.pe.átadás'!G7</f>
        <v>4000000</v>
      </c>
      <c r="AG19" s="729">
        <v>4000000</v>
      </c>
      <c r="AH19" s="243"/>
      <c r="AI19" s="243">
        <f>78000-12006</f>
        <v>65994</v>
      </c>
      <c r="AJ19" s="243"/>
      <c r="AK19" s="243"/>
      <c r="AL19" s="243"/>
      <c r="AM19" s="243">
        <v>1636291</v>
      </c>
      <c r="AN19" s="243"/>
      <c r="AO19" s="243">
        <f>100000+860000</f>
        <v>960000</v>
      </c>
      <c r="AP19" s="243"/>
      <c r="AQ19" s="243"/>
      <c r="AR19" s="243"/>
      <c r="AS19" s="243"/>
      <c r="AT19" s="243"/>
      <c r="AU19" s="243"/>
      <c r="AV19" s="243"/>
      <c r="AW19" s="243"/>
      <c r="AX19" s="729">
        <f>+'[1]4.sz.Felhalm.c.pe.átadás'!H11</f>
        <v>1320000</v>
      </c>
      <c r="AY19" s="729">
        <v>1320000</v>
      </c>
      <c r="AZ19" s="243"/>
      <c r="BA19" s="243"/>
      <c r="BB19" s="243"/>
      <c r="BC19" s="243"/>
      <c r="BD19" s="243"/>
      <c r="BE19" s="243"/>
      <c r="BF19" s="243"/>
      <c r="BG19" s="243"/>
      <c r="BH19" s="243"/>
      <c r="BI19" s="243"/>
      <c r="BJ19" s="243"/>
      <c r="BK19" s="243"/>
      <c r="BL19" s="243"/>
      <c r="BM19" s="243"/>
      <c r="BN19" s="243"/>
      <c r="BO19" s="243">
        <f>2500000+860000-860000+70000</f>
        <v>2570000</v>
      </c>
      <c r="BP19" s="243"/>
      <c r="BQ19" s="243">
        <v>1554735</v>
      </c>
      <c r="BR19" s="243"/>
      <c r="BS19" s="243"/>
      <c r="BT19" s="255"/>
      <c r="BU19" s="255"/>
      <c r="BV19" s="255"/>
      <c r="BW19" s="255"/>
      <c r="BX19" s="255"/>
      <c r="BY19" s="255"/>
      <c r="BZ19" s="255">
        <f>SUMIFS('1.a sz. Önkormányzat 2022. '!D19:HY19,'1.a sz. Önkormányzat 2022. '!$D$4:$HY$4,"kötelező",'1.a sz. Önkormányzat 2022. '!$D$2:$HY$2,"Eredeti előirányzat")+SUMIFS(D19:BY19,$D$4:$BY$4,"kötelező",$D$2:$BY$2,"Eredeti előirányzat")</f>
        <v>0</v>
      </c>
      <c r="CA19" s="255">
        <f>SUMIFS('1.a sz. Önkormányzat 2022. '!D19:II19,'1.a sz. Önkormányzat 2022. '!$D$4:$II$4,"kötelező",'1.a sz. Önkormányzat 2022. '!$D$2:$II$2,"Módosított előirányzat")+SUMIFS(D19:BY19,$D$4:$BY$4,"kötelező",$D$2:$BY$2,"Módosított előirányzat")</f>
        <v>1811551</v>
      </c>
      <c r="CB19" s="255">
        <f>SUMIFS('1.a sz. Önkormányzat 2022. '!D19:IB19,'1.a sz. Önkormányzat 2022. '!$D$4:$IB$4,"önként vállalt",'1.a sz. Önkormányzat 2022. '!$D$2:$IB$2,"Eredeti előirányzat")+SUMIFS(D19:BY19,$D$4:$BY$4,"önként vállalt",$D$2:$BY$2,"Eredeti előirányzat")</f>
        <v>13820000</v>
      </c>
      <c r="CC19" s="255">
        <f>SUMIFS('1.a sz. Önkormányzat 2022. '!D19:IC19,'1.a sz. Önkormányzat 2022. '!$D$4:$IC$4,"önként vállalt",'1.a sz. Önkormányzat 2022. '!$D$2:$IC$2,"Módosított előirányzat")+SUMIFS(D19:BY19,$D$4:$BY$4,"önként vállalt",$D$2:$BY$2,"Módosított előirányzat")</f>
        <v>16959710</v>
      </c>
      <c r="CD19" s="255">
        <f>SUMIFS('1.a sz. Önkormányzat 2022. '!D19:HY19,'1.a sz. Önkormányzat 2022. '!$D$4:$HY$4,"államigazgatási",'1.a sz. Önkormányzat 2022. '!$D$2:$HY$2,"Eredeti előirányzat")+SUMIFS(D19:BY19,$D$4:$BY$4,"államigazgatási",$D$2:$BY$2,"Eredeti előirányzat")</f>
        <v>0</v>
      </c>
      <c r="CE19" s="255">
        <f>SUMIFS('1.a sz. Önkormányzat 2022. '!D19:HY19,'1.a sz. Önkormányzat 2022. '!$D$4:$HY$4,"államigazgatási",'1.a sz. Önkormányzat 2022. '!$D$2:$HY$2,"Módosított előirányzat")+SUMIFS(D19:BY19,$D$4:$BY$4,"államigazgatási",$D$2:$BY$2,"Módosított előirányzat")</f>
        <v>0</v>
      </c>
      <c r="CF19" s="255">
        <f t="shared" si="0"/>
        <v>13820000</v>
      </c>
      <c r="CG19" s="255">
        <f t="shared" si="1"/>
        <v>18771261</v>
      </c>
      <c r="CH19" s="749">
        <f>+'1.a sz. Önkormányzat 2022. '!HF19</f>
        <v>0</v>
      </c>
      <c r="CI19" s="749">
        <f>+'1.a sz. Önkormányzat 2022. '!HG19</f>
        <v>0</v>
      </c>
      <c r="CK19" s="218">
        <f>160237220+12180711</f>
        <v>172417931</v>
      </c>
    </row>
    <row r="20" spans="1:89" s="229" customFormat="1" ht="21.75" customHeight="1" x14ac:dyDescent="0.25">
      <c r="A20" s="222" t="s">
        <v>232</v>
      </c>
      <c r="B20" s="235" t="s">
        <v>242</v>
      </c>
      <c r="C20" s="224" t="s">
        <v>214</v>
      </c>
      <c r="D20" s="254">
        <f>+D18+D17+D16+D12+D11+D10+D9+D8</f>
        <v>23000000</v>
      </c>
      <c r="E20" s="254">
        <f t="shared" ref="E20:BV20" si="4">+E18+E17+E16+E12+E11+E10+E9+E8</f>
        <v>16819430</v>
      </c>
      <c r="F20" s="254">
        <f t="shared" si="4"/>
        <v>1500000</v>
      </c>
      <c r="G20" s="254">
        <f t="shared" si="4"/>
        <v>1500000</v>
      </c>
      <c r="H20" s="254">
        <f t="shared" si="4"/>
        <v>2300000</v>
      </c>
      <c r="I20" s="254">
        <f t="shared" si="4"/>
        <v>2300000</v>
      </c>
      <c r="J20" s="254">
        <f t="shared" si="4"/>
        <v>2000000</v>
      </c>
      <c r="K20" s="254">
        <f t="shared" si="4"/>
        <v>2000000</v>
      </c>
      <c r="L20" s="254">
        <f t="shared" si="4"/>
        <v>3000000</v>
      </c>
      <c r="M20" s="254">
        <f t="shared" si="4"/>
        <v>3000000</v>
      </c>
      <c r="N20" s="254">
        <f t="shared" si="4"/>
        <v>4000000</v>
      </c>
      <c r="O20" s="254">
        <f t="shared" si="4"/>
        <v>4000000</v>
      </c>
      <c r="P20" s="254">
        <f t="shared" si="4"/>
        <v>500000</v>
      </c>
      <c r="Q20" s="254">
        <f t="shared" si="4"/>
        <v>500000</v>
      </c>
      <c r="R20" s="254">
        <f t="shared" si="4"/>
        <v>0</v>
      </c>
      <c r="S20" s="254">
        <f t="shared" si="4"/>
        <v>0</v>
      </c>
      <c r="T20" s="254">
        <f t="shared" si="4"/>
        <v>500000</v>
      </c>
      <c r="U20" s="254">
        <f t="shared" si="4"/>
        <v>500000</v>
      </c>
      <c r="V20" s="254">
        <f t="shared" si="4"/>
        <v>200000</v>
      </c>
      <c r="W20" s="254">
        <f t="shared" si="4"/>
        <v>200000</v>
      </c>
      <c r="X20" s="254">
        <f>+X18+X17+X16+X12+X11+X10+X9+X8</f>
        <v>0</v>
      </c>
      <c r="Y20" s="254">
        <f>+Y18+Y17+Y16+Y12+Y11+Y10+Y9+Y8</f>
        <v>1000000</v>
      </c>
      <c r="Z20" s="254">
        <f t="shared" si="4"/>
        <v>7000000</v>
      </c>
      <c r="AA20" s="254">
        <f t="shared" si="4"/>
        <v>7000000</v>
      </c>
      <c r="AB20" s="254">
        <f>+AB18+AB17+AB16+AB12+AB11+AB10+AB9+AB8</f>
        <v>0</v>
      </c>
      <c r="AC20" s="254">
        <f>+AC18+AC17+AC16+AC12+AC11+AC10+AC9+AC8</f>
        <v>9000000</v>
      </c>
      <c r="AD20" s="254">
        <f t="shared" si="4"/>
        <v>6500000</v>
      </c>
      <c r="AE20" s="254">
        <f t="shared" si="4"/>
        <v>1161940</v>
      </c>
      <c r="AF20" s="254">
        <f t="shared" si="4"/>
        <v>4000000</v>
      </c>
      <c r="AG20" s="254">
        <f t="shared" si="4"/>
        <v>4000000</v>
      </c>
      <c r="AH20" s="254">
        <f t="shared" si="4"/>
        <v>0</v>
      </c>
      <c r="AI20" s="254">
        <f t="shared" si="4"/>
        <v>100000</v>
      </c>
      <c r="AJ20" s="254">
        <f t="shared" si="4"/>
        <v>7047905</v>
      </c>
      <c r="AK20" s="254">
        <f t="shared" si="4"/>
        <v>7047905</v>
      </c>
      <c r="AL20" s="254">
        <f t="shared" si="4"/>
        <v>117853492</v>
      </c>
      <c r="AM20" s="254">
        <f t="shared" si="4"/>
        <v>117853492</v>
      </c>
      <c r="AN20" s="254">
        <f t="shared" si="4"/>
        <v>3220000</v>
      </c>
      <c r="AO20" s="254">
        <f t="shared" si="4"/>
        <v>4917452</v>
      </c>
      <c r="AP20" s="254">
        <f t="shared" si="4"/>
        <v>0</v>
      </c>
      <c r="AQ20" s="254">
        <f t="shared" si="4"/>
        <v>5005000</v>
      </c>
      <c r="AR20" s="254">
        <f t="shared" si="4"/>
        <v>0</v>
      </c>
      <c r="AS20" s="254">
        <f t="shared" si="4"/>
        <v>0</v>
      </c>
      <c r="AT20" s="254">
        <f t="shared" si="4"/>
        <v>2590000</v>
      </c>
      <c r="AU20" s="254">
        <f t="shared" si="4"/>
        <v>14020000</v>
      </c>
      <c r="AV20" s="254">
        <f t="shared" si="4"/>
        <v>0</v>
      </c>
      <c r="AW20" s="254">
        <f t="shared" si="4"/>
        <v>1770000</v>
      </c>
      <c r="AX20" s="254">
        <f t="shared" si="4"/>
        <v>4400000</v>
      </c>
      <c r="AY20" s="254">
        <f t="shared" si="4"/>
        <v>4400000</v>
      </c>
      <c r="AZ20" s="254">
        <f t="shared" si="4"/>
        <v>0</v>
      </c>
      <c r="BA20" s="254">
        <f t="shared" si="4"/>
        <v>3375000</v>
      </c>
      <c r="BB20" s="254">
        <f t="shared" si="4"/>
        <v>89632393</v>
      </c>
      <c r="BC20" s="254">
        <f t="shared" si="4"/>
        <v>117318393</v>
      </c>
      <c r="BD20" s="254">
        <f t="shared" si="4"/>
        <v>4000000</v>
      </c>
      <c r="BE20" s="254">
        <f t="shared" si="4"/>
        <v>4000000</v>
      </c>
      <c r="BF20" s="254">
        <f t="shared" si="4"/>
        <v>26600000</v>
      </c>
      <c r="BG20" s="254">
        <f t="shared" si="4"/>
        <v>26600000</v>
      </c>
      <c r="BH20" s="254">
        <f t="shared" si="4"/>
        <v>43128880</v>
      </c>
      <c r="BI20" s="254">
        <f t="shared" si="4"/>
        <v>47128880</v>
      </c>
      <c r="BJ20" s="254">
        <f t="shared" si="4"/>
        <v>29656000</v>
      </c>
      <c r="BK20" s="254">
        <f t="shared" si="4"/>
        <v>29656004</v>
      </c>
      <c r="BL20" s="254">
        <f t="shared" si="4"/>
        <v>1487500</v>
      </c>
      <c r="BM20" s="254">
        <f t="shared" si="4"/>
        <v>1487500</v>
      </c>
      <c r="BN20" s="254">
        <f t="shared" si="4"/>
        <v>210500</v>
      </c>
      <c r="BO20" s="254">
        <f t="shared" si="4"/>
        <v>3960500</v>
      </c>
      <c r="BP20" s="254">
        <f t="shared" si="4"/>
        <v>0</v>
      </c>
      <c r="BQ20" s="254">
        <f>+BQ18+BQ17+BQ16+BQ12+BQ11+BQ10+BQ9+BQ8</f>
        <v>1554735</v>
      </c>
      <c r="BR20" s="254">
        <f>+BR18+BR17+BR16+BR12+BR11+BR10+BR9+BR8</f>
        <v>40000000</v>
      </c>
      <c r="BS20" s="254">
        <f>+BS18+BS17+BS16+BS12+BS11+BS10+BS9+BS8</f>
        <v>40001919</v>
      </c>
      <c r="BT20" s="254">
        <f t="shared" si="4"/>
        <v>0</v>
      </c>
      <c r="BU20" s="254">
        <f t="shared" si="4"/>
        <v>0</v>
      </c>
      <c r="BV20" s="254">
        <f t="shared" si="4"/>
        <v>0</v>
      </c>
      <c r="BW20" s="254">
        <f>+BW18+BW17+BW16+BW12+BW11+BW10+BW9+BW8</f>
        <v>0</v>
      </c>
      <c r="BX20" s="254">
        <f>+BX18+BX17+BX16+BX12+BX11+BX10+BX9+BX8</f>
        <v>0</v>
      </c>
      <c r="BY20" s="254">
        <f>+BY18+BY17+BY16+BY12+BY11+BY10+BY9+BY8</f>
        <v>0</v>
      </c>
      <c r="BZ20" s="255">
        <f>SUMIFS('1.a sz. Önkormányzat 2022. '!D20:HY20,'1.a sz. Önkormányzat 2022. '!$D$4:$HY$4,"kötelező",'1.a sz. Önkormányzat 2022. '!$D$2:$HY$2,"Eredeti előirányzat")+SUMIFS(D20:BY20,$D$4:$BY$4,"kötelező",$D$2:$BY$2,"Eredeti előirányzat")</f>
        <v>5579957026</v>
      </c>
      <c r="CA20" s="255">
        <f>SUMIFS('1.a sz. Önkormányzat 2022. '!D20:II20,'1.a sz. Önkormányzat 2022. '!$D$4:$II$4,"kötelező",'1.a sz. Önkormányzat 2022. '!$D$2:$II$2,"Módosított előirányzat")+SUMIFS(D20:BY20,$D$4:$BY$4,"kötelező",$D$2:$BY$2,"Módosított előirányzat")</f>
        <v>7217312720</v>
      </c>
      <c r="CB20" s="255">
        <f>SUMIFS('1.a sz. Önkormányzat 2022. '!D20:IB20,'1.a sz. Önkormányzat 2022. '!$D$4:$IB$4,"önként vállalt",'1.a sz. Önkormányzat 2022. '!$D$2:$IB$2,"Eredeti előirányzat")+SUMIFS(D20:BY20,$D$4:$BY$4,"önként vállalt",$D$2:$BY$2,"Eredeti előirányzat")</f>
        <v>1092258792</v>
      </c>
      <c r="CC20" s="255">
        <f>SUMIFS('1.a sz. Önkormányzat 2022. '!D20:IC20,'1.a sz. Önkormányzat 2022. '!$D$4:$IC$4,"önként vállalt",'1.a sz. Önkormányzat 2022. '!$D$2:$IC$2,"Módosított előirányzat")+SUMIFS(D20:BY20,$D$4:$BY$4,"önként vállalt",$D$2:$BY$2,"Módosított előirányzat")</f>
        <v>1234557408</v>
      </c>
      <c r="CD20" s="255">
        <f>SUMIFS('1.a sz. Önkormányzat 2022. '!D20:HY20,'1.a sz. Önkormányzat 2022. '!$D$4:$HY$4,"államigazgatási",'1.a sz. Önkormányzat 2022. '!$D$2:$HY$2,"Eredeti előirányzat")+SUMIFS(D20:BY20,$D$4:$BY$4,"államigazgatási",$D$2:$BY$2,"Eredeti előirányzat")</f>
        <v>0</v>
      </c>
      <c r="CE20" s="255">
        <f>SUMIFS('1.a sz. Önkormányzat 2022. '!D20:HY20,'1.a sz. Önkormányzat 2022. '!$D$4:$HY$4,"államigazgatási",'1.a sz. Önkormányzat 2022. '!$D$2:$HY$2,"Módosított előirányzat")+SUMIFS(D20:BY20,$D$4:$BY$4,"államigazgatási",$D$2:$BY$2,"Módosított előirányzat")</f>
        <v>0</v>
      </c>
      <c r="CF20" s="255">
        <f t="shared" si="0"/>
        <v>6672215818</v>
      </c>
      <c r="CG20" s="255">
        <f t="shared" si="1"/>
        <v>8451870128</v>
      </c>
      <c r="CH20" s="749">
        <f>+'1.a sz. Önkormányzat 2022. '!HF20</f>
        <v>7499350</v>
      </c>
      <c r="CI20" s="749">
        <f>+'1.a sz. Önkormányzat 2022. '!HG20</f>
        <v>49565206</v>
      </c>
      <c r="CJ20" s="229">
        <v>4468838372</v>
      </c>
      <c r="CK20" s="230" t="e">
        <f>+CK19+CK18</f>
        <v>#REF!</v>
      </c>
    </row>
    <row r="21" spans="1:89" s="229" customFormat="1" ht="21.75" customHeight="1" x14ac:dyDescent="0.25">
      <c r="A21" s="222" t="s">
        <v>233</v>
      </c>
      <c r="B21" s="235" t="s">
        <v>227</v>
      </c>
      <c r="C21" s="224" t="s">
        <v>223</v>
      </c>
      <c r="D21" s="243">
        <f>+D22+D23+D24+D25+D26</f>
        <v>0</v>
      </c>
      <c r="E21" s="243">
        <f t="shared" ref="E21:BV21" si="5">+E22+E23+E24+E25+E26</f>
        <v>0</v>
      </c>
      <c r="F21" s="243">
        <f t="shared" si="5"/>
        <v>0</v>
      </c>
      <c r="G21" s="243">
        <f t="shared" si="5"/>
        <v>0</v>
      </c>
      <c r="H21" s="243">
        <f t="shared" si="5"/>
        <v>0</v>
      </c>
      <c r="I21" s="243">
        <f t="shared" si="5"/>
        <v>0</v>
      </c>
      <c r="J21" s="243">
        <f t="shared" si="5"/>
        <v>0</v>
      </c>
      <c r="K21" s="243">
        <f t="shared" si="5"/>
        <v>0</v>
      </c>
      <c r="L21" s="243">
        <f t="shared" si="5"/>
        <v>0</v>
      </c>
      <c r="M21" s="243">
        <f t="shared" si="5"/>
        <v>0</v>
      </c>
      <c r="N21" s="243">
        <f t="shared" si="5"/>
        <v>0</v>
      </c>
      <c r="O21" s="243">
        <f t="shared" si="5"/>
        <v>0</v>
      </c>
      <c r="P21" s="243">
        <f t="shared" si="5"/>
        <v>0</v>
      </c>
      <c r="Q21" s="243">
        <f t="shared" si="5"/>
        <v>0</v>
      </c>
      <c r="R21" s="243">
        <f t="shared" si="5"/>
        <v>0</v>
      </c>
      <c r="S21" s="243">
        <f t="shared" si="5"/>
        <v>0</v>
      </c>
      <c r="T21" s="243">
        <f t="shared" si="5"/>
        <v>0</v>
      </c>
      <c r="U21" s="243">
        <f t="shared" si="5"/>
        <v>0</v>
      </c>
      <c r="V21" s="243">
        <f t="shared" si="5"/>
        <v>0</v>
      </c>
      <c r="W21" s="243">
        <f t="shared" si="5"/>
        <v>0</v>
      </c>
      <c r="X21" s="243">
        <f>+X22+X23+X24+X25+X26</f>
        <v>0</v>
      </c>
      <c r="Y21" s="243">
        <f>+Y22+Y23+Y24+Y25+Y26</f>
        <v>0</v>
      </c>
      <c r="Z21" s="243">
        <f t="shared" si="5"/>
        <v>0</v>
      </c>
      <c r="AA21" s="243">
        <f t="shared" si="5"/>
        <v>0</v>
      </c>
      <c r="AB21" s="243">
        <f>+AB22+AB23+AB24+AB25+AB26</f>
        <v>0</v>
      </c>
      <c r="AC21" s="243">
        <f>+AC22+AC23+AC24+AC25+AC26</f>
        <v>0</v>
      </c>
      <c r="AD21" s="243">
        <f t="shared" si="5"/>
        <v>0</v>
      </c>
      <c r="AE21" s="243">
        <f t="shared" si="5"/>
        <v>0</v>
      </c>
      <c r="AF21" s="243">
        <f t="shared" si="5"/>
        <v>0</v>
      </c>
      <c r="AG21" s="243">
        <f t="shared" si="5"/>
        <v>0</v>
      </c>
      <c r="AH21" s="243">
        <f t="shared" si="5"/>
        <v>0</v>
      </c>
      <c r="AI21" s="243">
        <f t="shared" si="5"/>
        <v>0</v>
      </c>
      <c r="AJ21" s="243">
        <f t="shared" si="5"/>
        <v>0</v>
      </c>
      <c r="AK21" s="243">
        <f t="shared" si="5"/>
        <v>0</v>
      </c>
      <c r="AL21" s="243">
        <f t="shared" si="5"/>
        <v>0</v>
      </c>
      <c r="AM21" s="243">
        <f t="shared" si="5"/>
        <v>0</v>
      </c>
      <c r="AN21" s="243">
        <f t="shared" si="5"/>
        <v>0</v>
      </c>
      <c r="AO21" s="243">
        <f t="shared" si="5"/>
        <v>0</v>
      </c>
      <c r="AP21" s="243">
        <f t="shared" si="5"/>
        <v>0</v>
      </c>
      <c r="AQ21" s="243">
        <f t="shared" si="5"/>
        <v>0</v>
      </c>
      <c r="AR21" s="243">
        <f t="shared" si="5"/>
        <v>0</v>
      </c>
      <c r="AS21" s="243">
        <f t="shared" si="5"/>
        <v>0</v>
      </c>
      <c r="AT21" s="243">
        <f t="shared" si="5"/>
        <v>0</v>
      </c>
      <c r="AU21" s="243">
        <f t="shared" si="5"/>
        <v>0</v>
      </c>
      <c r="AV21" s="243">
        <f t="shared" si="5"/>
        <v>0</v>
      </c>
      <c r="AW21" s="243">
        <f t="shared" si="5"/>
        <v>0</v>
      </c>
      <c r="AX21" s="243">
        <f t="shared" si="5"/>
        <v>0</v>
      </c>
      <c r="AY21" s="243">
        <f t="shared" si="5"/>
        <v>0</v>
      </c>
      <c r="AZ21" s="243">
        <f t="shared" si="5"/>
        <v>0</v>
      </c>
      <c r="BA21" s="243">
        <f t="shared" si="5"/>
        <v>0</v>
      </c>
      <c r="BB21" s="243">
        <f t="shared" si="5"/>
        <v>0</v>
      </c>
      <c r="BC21" s="243">
        <f t="shared" si="5"/>
        <v>0</v>
      </c>
      <c r="BD21" s="243">
        <f t="shared" si="5"/>
        <v>0</v>
      </c>
      <c r="BE21" s="243">
        <f t="shared" si="5"/>
        <v>0</v>
      </c>
      <c r="BF21" s="243">
        <f t="shared" si="5"/>
        <v>0</v>
      </c>
      <c r="BG21" s="243">
        <f t="shared" si="5"/>
        <v>0</v>
      </c>
      <c r="BH21" s="243">
        <f t="shared" si="5"/>
        <v>0</v>
      </c>
      <c r="BI21" s="243">
        <f t="shared" si="5"/>
        <v>0</v>
      </c>
      <c r="BJ21" s="243">
        <f t="shared" si="5"/>
        <v>0</v>
      </c>
      <c r="BK21" s="243">
        <f t="shared" si="5"/>
        <v>0</v>
      </c>
      <c r="BL21" s="243">
        <f t="shared" si="5"/>
        <v>0</v>
      </c>
      <c r="BM21" s="243">
        <f t="shared" si="5"/>
        <v>0</v>
      </c>
      <c r="BN21" s="243">
        <f t="shared" si="5"/>
        <v>0</v>
      </c>
      <c r="BO21" s="243">
        <f t="shared" si="5"/>
        <v>0</v>
      </c>
      <c r="BP21" s="243"/>
      <c r="BQ21" s="243"/>
      <c r="BR21" s="243">
        <f>+BR22+BR23+BR24+BR25+BR26</f>
        <v>91696060</v>
      </c>
      <c r="BS21" s="243">
        <f>+BS22+BS23+BS24+BS25+BS26</f>
        <v>91696060</v>
      </c>
      <c r="BT21" s="243">
        <f t="shared" si="5"/>
        <v>0</v>
      </c>
      <c r="BU21" s="243">
        <f t="shared" si="5"/>
        <v>0</v>
      </c>
      <c r="BV21" s="243">
        <f t="shared" si="5"/>
        <v>0</v>
      </c>
      <c r="BW21" s="243">
        <f>+BW22+BW23+BW24+BW25+BW26</f>
        <v>295068529</v>
      </c>
      <c r="BX21" s="243">
        <f>+BX22+BX23+BX24+BX25+BX26</f>
        <v>0</v>
      </c>
      <c r="BY21" s="243">
        <f>+BY22+BY23+BY24+BY25+BY26</f>
        <v>0</v>
      </c>
      <c r="BZ21" s="255">
        <f>SUMIFS('1.a sz. Önkormányzat 2022. '!D21:HY21,'1.a sz. Önkormányzat 2022. '!$D$4:$HY$4,"kötelező",'1.a sz. Önkormányzat 2022. '!$D$2:$HY$2,"Eredeti előirányzat")+SUMIFS(D21:BY21,$D$4:$BY$4,"kötelező",$D$2:$BY$2,"Eredeti előirányzat")</f>
        <v>3575792043</v>
      </c>
      <c r="CA21" s="255">
        <f>SUMIFS('1.a sz. Önkormányzat 2022. '!D21:II21,'1.a sz. Önkormányzat 2022. '!$D$4:$II$4,"kötelező",'1.a sz. Önkormányzat 2022. '!$D$2:$II$2,"Módosított előirányzat")+SUMIFS(D21:BY21,$D$4:$BY$4,"kötelező",$D$2:$BY$2,"Módosított előirányzat")</f>
        <v>4079816808</v>
      </c>
      <c r="CB21" s="255">
        <f>SUMIFS('1.a sz. Önkormányzat 2022. '!D21:IB21,'1.a sz. Önkormányzat 2022. '!$D$4:$IB$4,"önként vállalt",'1.a sz. Önkormányzat 2022. '!$D$2:$IB$2,"Eredeti előirányzat")+SUMIFS(D21:BY21,$D$4:$BY$4,"önként vállalt",$D$2:$BY$2,"Eredeti előirányzat")</f>
        <v>91696060</v>
      </c>
      <c r="CC21" s="255">
        <f>SUMIFS('1.a sz. Önkormányzat 2022. '!D21:IC21,'1.a sz. Önkormányzat 2022. '!$D$4:$IC$4,"önként vállalt",'1.a sz. Önkormányzat 2022. '!$D$2:$IC$2,"Módosított előirányzat")+SUMIFS(D21:BY21,$D$4:$BY$4,"önként vállalt",$D$2:$BY$2,"Módosított előirányzat")</f>
        <v>91696060</v>
      </c>
      <c r="CD21" s="255">
        <f>SUMIFS('1.a sz. Önkormányzat 2022. '!D21:HY21,'1.a sz. Önkormányzat 2022. '!$D$4:$HY$4,"államigazgatási",'1.a sz. Önkormányzat 2022. '!$D$2:$HY$2,"Eredeti előirányzat")+SUMIFS(D21:BY21,$D$4:$BY$4,"államigazgatási",$D$2:$BY$2,"Eredeti előirányzat")</f>
        <v>0</v>
      </c>
      <c r="CE21" s="255">
        <f>SUMIFS('1.a sz. Önkormányzat 2022. '!D21:HY21,'1.a sz. Önkormányzat 2022. '!$D$4:$HY$4,"államigazgatási",'1.a sz. Önkormányzat 2022. '!$D$2:$HY$2,"Módosított előirányzat")+SUMIFS(D21:BY21,$D$4:$BY$4,"államigazgatási",$D$2:$BY$2,"Módosított előirányzat")</f>
        <v>0</v>
      </c>
      <c r="CF21" s="255">
        <f t="shared" si="0"/>
        <v>3667488103</v>
      </c>
      <c r="CG21" s="255">
        <f t="shared" si="1"/>
        <v>4171512868</v>
      </c>
      <c r="CH21" s="749">
        <f>+'1.a sz. Önkormányzat 2022. '!HF21</f>
        <v>0</v>
      </c>
      <c r="CI21" s="749">
        <f>+'1.a sz. Önkormányzat 2022. '!HG21</f>
        <v>0</v>
      </c>
      <c r="CJ21" s="230" t="e">
        <f>+CJ20-#REF!</f>
        <v>#REF!</v>
      </c>
    </row>
    <row r="22" spans="1:89" s="237" customFormat="1" ht="21.75" customHeight="1" x14ac:dyDescent="0.25">
      <c r="A22" s="222" t="s">
        <v>234</v>
      </c>
      <c r="B22" s="236" t="s">
        <v>182</v>
      </c>
      <c r="C22" s="233"/>
      <c r="D22" s="253"/>
      <c r="E22" s="253"/>
      <c r="F22" s="253"/>
      <c r="G22" s="253"/>
      <c r="H22" s="253"/>
      <c r="I22" s="253"/>
      <c r="J22" s="253"/>
      <c r="K22" s="253"/>
      <c r="L22" s="253"/>
      <c r="M22" s="253"/>
      <c r="N22" s="253"/>
      <c r="O22" s="253"/>
      <c r="P22" s="253"/>
      <c r="Q22" s="253"/>
      <c r="R22" s="287"/>
      <c r="S22" s="287"/>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730">
        <v>63513436</v>
      </c>
      <c r="BS22" s="730">
        <f>63513436+44181211+8420273+15009215-67610699</f>
        <v>63513436</v>
      </c>
      <c r="BT22" s="264"/>
      <c r="BU22" s="264"/>
      <c r="BV22" s="264"/>
      <c r="BW22" s="264">
        <f>67610699+33373175+19202276+41633326+17158949+6855049+2125451+107109604</f>
        <v>295068529</v>
      </c>
      <c r="BX22" s="264"/>
      <c r="BY22" s="264"/>
      <c r="BZ22" s="255">
        <f>SUMIFS('1.a sz. Önkormányzat 2022. '!D22:HY22,'1.a sz. Önkormányzat 2022. '!$D$4:$HY$4,"kötelező",'1.a sz. Önkormányzat 2022. '!$D$2:$HY$2,"Eredeti előirányzat")+SUMIFS(D22:BY22,$D$4:$BY$4,"kötelező",$D$2:$BY$2,"Eredeti előirányzat")</f>
        <v>0</v>
      </c>
      <c r="CA22" s="255">
        <f>SUMIFS('1.a sz. Önkormányzat 2022. '!D22:II22,'1.a sz. Önkormányzat 2022. '!$D$4:$II$4,"kötelező",'1.a sz. Önkormányzat 2022. '!$D$2:$II$2,"Módosított előirányzat")+SUMIFS(D22:BY22,$D$4:$BY$4,"kötelező",$D$2:$BY$2,"Módosított előirányzat")</f>
        <v>295068529</v>
      </c>
      <c r="CB22" s="255">
        <f>SUMIFS('1.a sz. Önkormányzat 2022. '!D22:IB22,'1.a sz. Önkormányzat 2022. '!$D$4:$IB$4,"önként vállalt",'1.a sz. Önkormányzat 2022. '!$D$2:$IB$2,"Eredeti előirányzat")+SUMIFS(D22:BY22,$D$4:$BY$4,"önként vállalt",$D$2:$BY$2,"Eredeti előirányzat")</f>
        <v>63513436</v>
      </c>
      <c r="CC22" s="255">
        <f>SUMIFS('1.a sz. Önkormányzat 2022. '!D22:IC22,'1.a sz. Önkormányzat 2022. '!$D$4:$IC$4,"önként vállalt",'1.a sz. Önkormányzat 2022. '!$D$2:$IC$2,"Módosított előirányzat")+SUMIFS(D22:BY22,$D$4:$BY$4,"önként vállalt",$D$2:$BY$2,"Módosított előirányzat")</f>
        <v>63513436</v>
      </c>
      <c r="CD22" s="255">
        <f>SUMIFS('1.a sz. Önkormányzat 2022. '!D22:HY22,'1.a sz. Önkormányzat 2022. '!$D$4:$HY$4,"államigazgatási",'1.a sz. Önkormányzat 2022. '!$D$2:$HY$2,"Eredeti előirányzat")+SUMIFS(D22:BY22,$D$4:$BY$4,"államigazgatási",$D$2:$BY$2,"Eredeti előirányzat")</f>
        <v>0</v>
      </c>
      <c r="CE22" s="255">
        <f>SUMIFS('1.a sz. Önkormányzat 2022. '!D22:HY22,'1.a sz. Önkormányzat 2022. '!$D$4:$HY$4,"államigazgatási",'1.a sz. Önkormányzat 2022. '!$D$2:$HY$2,"Módosított előirányzat")+SUMIFS(D22:BY22,$D$4:$BY$4,"államigazgatási",$D$2:$BY$2,"Módosított előirányzat")</f>
        <v>0</v>
      </c>
      <c r="CF22" s="255">
        <f t="shared" si="0"/>
        <v>63513436</v>
      </c>
      <c r="CG22" s="255">
        <f t="shared" si="1"/>
        <v>358581965</v>
      </c>
      <c r="CH22" s="749">
        <f>+'1.a sz. Önkormányzat 2022. '!HF22</f>
        <v>0</v>
      </c>
      <c r="CI22" s="749">
        <f>+'1.a sz. Önkormányzat 2022. '!HG22</f>
        <v>0</v>
      </c>
    </row>
    <row r="23" spans="1:89" s="237" customFormat="1" ht="21.75" customHeight="1" x14ac:dyDescent="0.25">
      <c r="A23" s="222" t="s">
        <v>235</v>
      </c>
      <c r="B23" s="236" t="s">
        <v>569</v>
      </c>
      <c r="C23" s="233"/>
      <c r="D23" s="253"/>
      <c r="E23" s="253"/>
      <c r="F23" s="253"/>
      <c r="G23" s="253"/>
      <c r="H23" s="253"/>
      <c r="I23" s="253"/>
      <c r="J23" s="253"/>
      <c r="K23" s="253"/>
      <c r="L23" s="253"/>
      <c r="M23" s="253"/>
      <c r="N23" s="253"/>
      <c r="O23" s="253"/>
      <c r="P23" s="253"/>
      <c r="Q23" s="253"/>
      <c r="R23" s="287"/>
      <c r="S23" s="287"/>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64"/>
      <c r="BU23" s="264"/>
      <c r="BV23" s="264"/>
      <c r="BW23" s="264"/>
      <c r="BX23" s="264"/>
      <c r="BY23" s="264"/>
      <c r="BZ23" s="255">
        <f>SUMIFS('1.a sz. Önkormányzat 2022. '!D23:HY23,'1.a sz. Önkormányzat 2022. '!$D$4:$HY$4,"kötelező",'1.a sz. Önkormányzat 2022. '!$D$2:$HY$2,"Eredeti előirányzat")+SUMIFS(D23:BY23,$D$4:$BY$4,"kötelező",$D$2:$BY$2,"Eredeti előirányzat")</f>
        <v>3513510223</v>
      </c>
      <c r="CA23" s="255">
        <f>SUMIFS('1.a sz. Önkormányzat 2022. '!D23:II23,'1.a sz. Önkormányzat 2022. '!$D$4:$II$4,"kötelező",'1.a sz. Önkormányzat 2022. '!$D$2:$II$2,"Módosított előirányzat")+SUMIFS(D23:BY23,$D$4:$BY$4,"kötelező",$D$2:$BY$2,"Módosított előirányzat")</f>
        <v>3686246941</v>
      </c>
      <c r="CB23" s="255">
        <f>SUMIFS('1.a sz. Önkormányzat 2022. '!D23:IB23,'1.a sz. Önkormányzat 2022. '!$D$4:$IB$4,"önként vállalt",'1.a sz. Önkormányzat 2022. '!$D$2:$IB$2,"Eredeti előirányzat")+SUMIFS(D23:BY23,$D$4:$BY$4,"önként vállalt",$D$2:$BY$2,"Eredeti előirányzat")</f>
        <v>0</v>
      </c>
      <c r="CC23" s="255">
        <f>SUMIFS('1.a sz. Önkormányzat 2022. '!D23:IC23,'1.a sz. Önkormányzat 2022. '!$D$4:$IC$4,"önként vállalt",'1.a sz. Önkormányzat 2022. '!$D$2:$IC$2,"Módosított előirányzat")+SUMIFS(D23:BY23,$D$4:$BY$4,"önként vállalt",$D$2:$BY$2,"Módosított előirányzat")</f>
        <v>0</v>
      </c>
      <c r="CD23" s="255">
        <f>SUMIFS('1.a sz. Önkormányzat 2022. '!D23:HY23,'1.a sz. Önkormányzat 2022. '!$D$4:$HY$4,"államigazgatási",'1.a sz. Önkormányzat 2022. '!$D$2:$HY$2,"Eredeti előirányzat")+SUMIFS(D23:BY23,$D$4:$BY$4,"államigazgatási",$D$2:$BY$2,"Eredeti előirányzat")</f>
        <v>0</v>
      </c>
      <c r="CE23" s="255">
        <f>SUMIFS('1.a sz. Önkormányzat 2022. '!D23:HY23,'1.a sz. Önkormányzat 2022. '!$D$4:$HY$4,"államigazgatási",'1.a sz. Önkormányzat 2022. '!$D$2:$HY$2,"Módosított előirányzat")+SUMIFS(D23:BY23,$D$4:$BY$4,"államigazgatási",$D$2:$BY$2,"Módosított előirányzat")</f>
        <v>0</v>
      </c>
      <c r="CF23" s="255">
        <f t="shared" si="0"/>
        <v>3513510223</v>
      </c>
      <c r="CG23" s="255">
        <f t="shared" si="1"/>
        <v>3686246941</v>
      </c>
      <c r="CH23" s="749">
        <f>+'1.a sz. Önkormányzat 2022. '!HF23</f>
        <v>0</v>
      </c>
      <c r="CI23" s="749">
        <f>+'1.a sz. Önkormányzat 2022. '!HG23</f>
        <v>0</v>
      </c>
    </row>
    <row r="24" spans="1:89" s="237" customFormat="1" ht="21.75" customHeight="1" x14ac:dyDescent="0.25">
      <c r="A24" s="222" t="s">
        <v>236</v>
      </c>
      <c r="B24" s="236" t="s">
        <v>570</v>
      </c>
      <c r="C24" s="233"/>
      <c r="D24" s="253"/>
      <c r="E24" s="253"/>
      <c r="F24" s="253"/>
      <c r="G24" s="253"/>
      <c r="H24" s="253"/>
      <c r="I24" s="253"/>
      <c r="J24" s="253"/>
      <c r="K24" s="253"/>
      <c r="L24" s="253"/>
      <c r="M24" s="253"/>
      <c r="N24" s="253"/>
      <c r="O24" s="253"/>
      <c r="P24" s="253"/>
      <c r="Q24" s="253"/>
      <c r="R24" s="287"/>
      <c r="S24" s="287"/>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64"/>
      <c r="BU24" s="264"/>
      <c r="BV24" s="264"/>
      <c r="BW24" s="264"/>
      <c r="BX24" s="264"/>
      <c r="BY24" s="264"/>
      <c r="BZ24" s="255">
        <f>SUMIFS('1.a sz. Önkormányzat 2022. '!D24:HY24,'1.a sz. Önkormányzat 2022. '!$D$4:$HY$4,"kötelező",'1.a sz. Önkormányzat 2022. '!$D$2:$HY$2,"Eredeti előirányzat")+SUMIFS(D24:BY24,$D$4:$BY$4,"kötelező",$D$2:$BY$2,"Eredeti előirányzat")</f>
        <v>62281820</v>
      </c>
      <c r="CA24" s="255">
        <f>SUMIFS('1.a sz. Önkormányzat 2022. '!D24:II24,'1.a sz. Önkormányzat 2022. '!$D$4:$II$4,"kötelező",'1.a sz. Önkormányzat 2022. '!$D$2:$II$2,"Módosított előirányzat")+SUMIFS(D24:BY24,$D$4:$BY$4,"kötelező",$D$2:$BY$2,"Módosított előirányzat")</f>
        <v>98501338</v>
      </c>
      <c r="CB24" s="255">
        <f>SUMIFS('1.a sz. Önkormányzat 2022. '!D24:IB24,'1.a sz. Önkormányzat 2022. '!$D$4:$IB$4,"önként vállalt",'1.a sz. Önkormányzat 2022. '!$D$2:$IB$2,"Eredeti előirányzat")+SUMIFS(D24:BY24,$D$4:$BY$4,"önként vállalt",$D$2:$BY$2,"Eredeti előirányzat")</f>
        <v>0</v>
      </c>
      <c r="CC24" s="255">
        <f>SUMIFS('1.a sz. Önkormányzat 2022. '!D24:IC24,'1.a sz. Önkormányzat 2022. '!$D$4:$IC$4,"önként vállalt",'1.a sz. Önkormányzat 2022. '!$D$2:$IC$2,"Módosított előirányzat")+SUMIFS(D24:BY24,$D$4:$BY$4,"önként vállalt",$D$2:$BY$2,"Módosított előirányzat")</f>
        <v>0</v>
      </c>
      <c r="CD24" s="255">
        <f>SUMIFS('1.a sz. Önkormányzat 2022. '!D24:HY24,'1.a sz. Önkormányzat 2022. '!$D$4:$HY$4,"államigazgatási",'1.a sz. Önkormányzat 2022. '!$D$2:$HY$2,"Eredeti előirányzat")+SUMIFS(D24:BY24,$D$4:$BY$4,"államigazgatási",$D$2:$BY$2,"Eredeti előirányzat")</f>
        <v>0</v>
      </c>
      <c r="CE24" s="255">
        <f>SUMIFS('1.a sz. Önkormányzat 2022. '!D24:HY24,'1.a sz. Önkormányzat 2022. '!$D$4:$HY$4,"államigazgatási",'1.a sz. Önkormányzat 2022. '!$D$2:$HY$2,"Módosított előirányzat")+SUMIFS(D24:BY24,$D$4:$BY$4,"államigazgatási",$D$2:$BY$2,"Módosított előirányzat")</f>
        <v>0</v>
      </c>
      <c r="CF24" s="255">
        <f t="shared" si="0"/>
        <v>62281820</v>
      </c>
      <c r="CG24" s="255">
        <f t="shared" si="1"/>
        <v>98501338</v>
      </c>
      <c r="CH24" s="749">
        <f>+'1.a sz. Önkormányzat 2022. '!HF24</f>
        <v>0</v>
      </c>
      <c r="CI24" s="749">
        <f>+'1.a sz. Önkormányzat 2022. '!HG24</f>
        <v>0</v>
      </c>
    </row>
    <row r="25" spans="1:89" s="237" customFormat="1" ht="21.75" customHeight="1" x14ac:dyDescent="0.25">
      <c r="A25" s="222" t="s">
        <v>237</v>
      </c>
      <c r="B25" s="236" t="s">
        <v>126</v>
      </c>
      <c r="C25" s="233"/>
      <c r="D25" s="253"/>
      <c r="E25" s="253"/>
      <c r="F25" s="253"/>
      <c r="G25" s="253"/>
      <c r="H25" s="253"/>
      <c r="I25" s="253"/>
      <c r="J25" s="253"/>
      <c r="K25" s="253"/>
      <c r="L25" s="253"/>
      <c r="M25" s="253"/>
      <c r="N25" s="253"/>
      <c r="O25" s="253"/>
      <c r="P25" s="253"/>
      <c r="Q25" s="253"/>
      <c r="R25" s="287"/>
      <c r="S25" s="287"/>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730">
        <v>28182624</v>
      </c>
      <c r="BS25" s="730">
        <v>28182624</v>
      </c>
      <c r="BT25" s="264"/>
      <c r="BU25" s="264"/>
      <c r="BV25" s="264"/>
      <c r="BW25" s="264"/>
      <c r="BX25" s="264"/>
      <c r="BY25" s="264"/>
      <c r="BZ25" s="255">
        <f>SUMIFS('1.a sz. Önkormányzat 2022. '!D25:HY25,'1.a sz. Önkormányzat 2022. '!$D$4:$HY$4,"kötelező",'1.a sz. Önkormányzat 2022. '!$D$2:$HY$2,"Eredeti előirányzat")+SUMIFS(D25:BY25,$D$4:$BY$4,"kötelező",$D$2:$BY$2,"Eredeti előirányzat")</f>
        <v>0</v>
      </c>
      <c r="CA25" s="255">
        <f>SUMIFS('1.a sz. Önkormányzat 2022. '!D25:II25,'1.a sz. Önkormányzat 2022. '!$D$4:$II$4,"kötelező",'1.a sz. Önkormányzat 2022. '!$D$2:$II$2,"Módosított előirányzat")+SUMIFS(D25:BY25,$D$4:$BY$4,"kötelező",$D$2:$BY$2,"Módosított előirányzat")</f>
        <v>0</v>
      </c>
      <c r="CB25" s="255">
        <f>SUMIFS('1.a sz. Önkormányzat 2022. '!D25:IB25,'1.a sz. Önkormányzat 2022. '!$D$4:$IB$4,"önként vállalt",'1.a sz. Önkormányzat 2022. '!$D$2:$IB$2,"Eredeti előirányzat")+SUMIFS(D25:BY25,$D$4:$BY$4,"önként vállalt",$D$2:$BY$2,"Eredeti előirányzat")</f>
        <v>28182624</v>
      </c>
      <c r="CC25" s="255">
        <f>SUMIFS('1.a sz. Önkormányzat 2022. '!D25:IC25,'1.a sz. Önkormányzat 2022. '!$D$4:$IC$4,"önként vállalt",'1.a sz. Önkormányzat 2022. '!$D$2:$IC$2,"Módosított előirányzat")+SUMIFS(D25:BY25,$D$4:$BY$4,"önként vállalt",$D$2:$BY$2,"Módosított előirányzat")</f>
        <v>28182624</v>
      </c>
      <c r="CD25" s="255">
        <f>SUMIFS('1.a sz. Önkormányzat 2022. '!D25:HY25,'1.a sz. Önkormányzat 2022. '!$D$4:$HY$4,"államigazgatási",'1.a sz. Önkormányzat 2022. '!$D$2:$HY$2,"Eredeti előirányzat")+SUMIFS(D25:BY25,$D$4:$BY$4,"államigazgatási",$D$2:$BY$2,"Eredeti előirányzat")</f>
        <v>0</v>
      </c>
      <c r="CE25" s="255">
        <f>SUMIFS('1.a sz. Önkormányzat 2022. '!D25:HY25,'1.a sz. Önkormányzat 2022. '!$D$4:$HY$4,"államigazgatási",'1.a sz. Önkormányzat 2022. '!$D$2:$HY$2,"Módosított előirányzat")+SUMIFS(D25:BY25,$D$4:$BY$4,"államigazgatási",$D$2:$BY$2,"Módosított előirányzat")</f>
        <v>0</v>
      </c>
      <c r="CF25" s="255">
        <f t="shared" si="0"/>
        <v>28182624</v>
      </c>
      <c r="CG25" s="255">
        <f t="shared" si="1"/>
        <v>28182624</v>
      </c>
      <c r="CH25" s="749">
        <f>+'1.a sz. Önkormányzat 2022. '!HF25</f>
        <v>0</v>
      </c>
      <c r="CI25" s="749">
        <f>+'1.a sz. Önkormányzat 2022. '!HG25</f>
        <v>0</v>
      </c>
    </row>
    <row r="26" spans="1:89" s="237" customFormat="1" ht="21.75" customHeight="1" x14ac:dyDescent="0.25">
      <c r="A26" s="222" t="s">
        <v>238</v>
      </c>
      <c r="B26" s="236" t="s">
        <v>847</v>
      </c>
      <c r="C26" s="233"/>
      <c r="D26" s="253"/>
      <c r="E26" s="253"/>
      <c r="F26" s="253"/>
      <c r="G26" s="253"/>
      <c r="H26" s="253"/>
      <c r="I26" s="253"/>
      <c r="J26" s="253"/>
      <c r="K26" s="253"/>
      <c r="L26" s="253"/>
      <c r="M26" s="253"/>
      <c r="N26" s="253"/>
      <c r="O26" s="253"/>
      <c r="P26" s="253"/>
      <c r="Q26" s="253"/>
      <c r="R26" s="287"/>
      <c r="S26" s="287"/>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64"/>
      <c r="BU26" s="264"/>
      <c r="BV26" s="264"/>
      <c r="BW26" s="264"/>
      <c r="BX26" s="264"/>
      <c r="BY26" s="264"/>
      <c r="BZ26" s="255">
        <f>SUMIFS('1.a sz. Önkormányzat 2022. '!D26:HY26,'1.a sz. Önkormányzat 2022. '!$D$4:$HY$4,"kötelező",'1.a sz. Önkormányzat 2022. '!$D$2:$HY$2,"Eredeti előirányzat")+SUMIFS(D26:BY26,$D$4:$BY$4,"kötelező",$D$2:$BY$2,"Eredeti előirányzat")</f>
        <v>0</v>
      </c>
      <c r="CA26" s="255">
        <f>SUMIFS('1.a sz. Önkormányzat 2022. '!D26:II26,'1.a sz. Önkormányzat 2022. '!$D$4:$II$4,"kötelező",'1.a sz. Önkormányzat 2022. '!$D$2:$II$2,"Módosított előirányzat")+SUMIFS(D26:BY26,$D$4:$BY$4,"kötelező",$D$2:$BY$2,"Módosított előirányzat")</f>
        <v>0</v>
      </c>
      <c r="CB26" s="255">
        <f>SUMIFS('1.a sz. Önkormányzat 2022. '!D26:IB26,'1.a sz. Önkormányzat 2022. '!$D$4:$IB$4,"önként vállalt",'1.a sz. Önkormányzat 2022. '!$D$2:$IB$2,"Eredeti előirányzat")+SUMIFS(D26:BY26,$D$4:$BY$4,"önként vállalt",$D$2:$BY$2,"Eredeti előirányzat")</f>
        <v>0</v>
      </c>
      <c r="CC26" s="255">
        <f>SUMIFS('1.a sz. Önkormányzat 2022. '!D26:IC26,'1.a sz. Önkormányzat 2022. '!$D$4:$IC$4,"önként vállalt",'1.a sz. Önkormányzat 2022. '!$D$2:$IC$2,"Módosított előirányzat")+SUMIFS(D26:BY26,$D$4:$BY$4,"önként vállalt",$D$2:$BY$2,"Módosított előirányzat")</f>
        <v>0</v>
      </c>
      <c r="CD26" s="255">
        <f>SUMIFS('1.a sz. Önkormányzat 2022. '!D26:HY26,'1.a sz. Önkormányzat 2022. '!$D$4:$HY$4,"államigazgatási",'1.a sz. Önkormányzat 2022. '!$D$2:$HY$2,"Eredeti előirányzat")+SUMIFS(D26:BY26,$D$4:$BY$4,"államigazgatási",$D$2:$BY$2,"Eredeti előirányzat")</f>
        <v>0</v>
      </c>
      <c r="CE26" s="255">
        <f>SUMIFS('1.a sz. Önkormányzat 2022. '!D26:HY26,'1.a sz. Önkormányzat 2022. '!$D$4:$HY$4,"államigazgatási",'1.a sz. Önkormányzat 2022. '!$D$2:$HY$2,"Módosított előirányzat")+SUMIFS(D26:BY26,$D$4:$BY$4,"államigazgatási",$D$2:$BY$2,"Módosított előirányzat")</f>
        <v>0</v>
      </c>
      <c r="CF26" s="255">
        <f t="shared" si="0"/>
        <v>0</v>
      </c>
      <c r="CG26" s="255">
        <f t="shared" si="1"/>
        <v>0</v>
      </c>
      <c r="CH26" s="749">
        <f>+'1.a sz. Önkormányzat 2022. '!HF26</f>
        <v>0</v>
      </c>
      <c r="CI26" s="749">
        <f>+'1.a sz. Önkormányzat 2022. '!HG26</f>
        <v>0</v>
      </c>
    </row>
    <row r="27" spans="1:89" s="229" customFormat="1" ht="21.75" customHeight="1" x14ac:dyDescent="0.25">
      <c r="A27" s="222" t="s">
        <v>239</v>
      </c>
      <c r="B27" s="238" t="s">
        <v>32</v>
      </c>
      <c r="C27" s="224"/>
      <c r="D27" s="243">
        <f>+D8+D9+D10+D11+D13+D14+D22+D23+D15+D26</f>
        <v>23000000</v>
      </c>
      <c r="E27" s="243">
        <f t="shared" ref="E27:BV27" si="6">+E8+E9+E10+E11+E13+E14+E22+E23+E15+E26</f>
        <v>16819430</v>
      </c>
      <c r="F27" s="243">
        <f t="shared" si="6"/>
        <v>1500000</v>
      </c>
      <c r="G27" s="243">
        <f t="shared" si="6"/>
        <v>1500000</v>
      </c>
      <c r="H27" s="243">
        <f t="shared" si="6"/>
        <v>2300000</v>
      </c>
      <c r="I27" s="243">
        <f t="shared" si="6"/>
        <v>2300000</v>
      </c>
      <c r="J27" s="243">
        <f t="shared" si="6"/>
        <v>2000000</v>
      </c>
      <c r="K27" s="243">
        <f t="shared" si="6"/>
        <v>2000000</v>
      </c>
      <c r="L27" s="243">
        <f t="shared" si="6"/>
        <v>3000000</v>
      </c>
      <c r="M27" s="243">
        <f t="shared" si="6"/>
        <v>3000000</v>
      </c>
      <c r="N27" s="243">
        <f t="shared" si="6"/>
        <v>4000000</v>
      </c>
      <c r="O27" s="243">
        <f t="shared" si="6"/>
        <v>4000000</v>
      </c>
      <c r="P27" s="243">
        <f t="shared" si="6"/>
        <v>500000</v>
      </c>
      <c r="Q27" s="243">
        <f t="shared" si="6"/>
        <v>500000</v>
      </c>
      <c r="R27" s="243">
        <f t="shared" si="6"/>
        <v>0</v>
      </c>
      <c r="S27" s="243">
        <f t="shared" si="6"/>
        <v>0</v>
      </c>
      <c r="T27" s="243">
        <f t="shared" si="6"/>
        <v>500000</v>
      </c>
      <c r="U27" s="243">
        <f t="shared" si="6"/>
        <v>500000</v>
      </c>
      <c r="V27" s="243">
        <f t="shared" si="6"/>
        <v>200000</v>
      </c>
      <c r="W27" s="243">
        <f t="shared" si="6"/>
        <v>200000</v>
      </c>
      <c r="X27" s="243">
        <f>+X8+X9+X10+X11+X13+X14+X22+X23+X15+X26</f>
        <v>0</v>
      </c>
      <c r="Y27" s="243">
        <f>+Y8+Y9+Y10+Y11+Y13+Y14+Y22+Y23+Y15+Y26</f>
        <v>1000000</v>
      </c>
      <c r="Z27" s="243">
        <f t="shared" si="6"/>
        <v>7000000</v>
      </c>
      <c r="AA27" s="243">
        <f t="shared" si="6"/>
        <v>7000000</v>
      </c>
      <c r="AB27" s="243">
        <f>+AB8+AB9+AB10+AB11+AB13+AB14+AB22+AB23+AB15+AB26</f>
        <v>0</v>
      </c>
      <c r="AC27" s="243">
        <f>+AC8+AC9+AC10+AC11+AC13+AC14+AC22+AC23+AC15+AC26</f>
        <v>9000000</v>
      </c>
      <c r="AD27" s="243">
        <f t="shared" si="6"/>
        <v>0</v>
      </c>
      <c r="AE27" s="243">
        <f t="shared" si="6"/>
        <v>0</v>
      </c>
      <c r="AF27" s="243">
        <f t="shared" si="6"/>
        <v>0</v>
      </c>
      <c r="AG27" s="243">
        <f t="shared" si="6"/>
        <v>0</v>
      </c>
      <c r="AH27" s="243">
        <f t="shared" si="6"/>
        <v>0</v>
      </c>
      <c r="AI27" s="243">
        <f t="shared" si="6"/>
        <v>34006</v>
      </c>
      <c r="AJ27" s="243">
        <f t="shared" si="6"/>
        <v>7047905</v>
      </c>
      <c r="AK27" s="243">
        <f t="shared" si="6"/>
        <v>7047905</v>
      </c>
      <c r="AL27" s="243">
        <f t="shared" si="6"/>
        <v>117853492</v>
      </c>
      <c r="AM27" s="243">
        <f t="shared" si="6"/>
        <v>116217201</v>
      </c>
      <c r="AN27" s="243">
        <f t="shared" si="6"/>
        <v>3220000</v>
      </c>
      <c r="AO27" s="243">
        <f t="shared" si="6"/>
        <v>3957452</v>
      </c>
      <c r="AP27" s="243">
        <f t="shared" si="6"/>
        <v>0</v>
      </c>
      <c r="AQ27" s="243">
        <f t="shared" si="6"/>
        <v>5005000</v>
      </c>
      <c r="AR27" s="243">
        <f t="shared" si="6"/>
        <v>0</v>
      </c>
      <c r="AS27" s="243">
        <f t="shared" si="6"/>
        <v>0</v>
      </c>
      <c r="AT27" s="243">
        <f t="shared" si="6"/>
        <v>2590000</v>
      </c>
      <c r="AU27" s="243">
        <f t="shared" si="6"/>
        <v>14020000</v>
      </c>
      <c r="AV27" s="243">
        <f t="shared" si="6"/>
        <v>0</v>
      </c>
      <c r="AW27" s="243">
        <f t="shared" si="6"/>
        <v>1770000</v>
      </c>
      <c r="AX27" s="243">
        <f t="shared" si="6"/>
        <v>3080000</v>
      </c>
      <c r="AY27" s="243">
        <f t="shared" si="6"/>
        <v>3080000</v>
      </c>
      <c r="AZ27" s="243">
        <f t="shared" si="6"/>
        <v>0</v>
      </c>
      <c r="BA27" s="243">
        <f t="shared" si="6"/>
        <v>3375000</v>
      </c>
      <c r="BB27" s="243">
        <f t="shared" si="6"/>
        <v>86632393</v>
      </c>
      <c r="BC27" s="243">
        <f t="shared" si="6"/>
        <v>114318393</v>
      </c>
      <c r="BD27" s="243">
        <f t="shared" si="6"/>
        <v>4000000</v>
      </c>
      <c r="BE27" s="243">
        <f t="shared" si="6"/>
        <v>4000000</v>
      </c>
      <c r="BF27" s="243">
        <f t="shared" si="6"/>
        <v>26600000</v>
      </c>
      <c r="BG27" s="243">
        <f t="shared" si="6"/>
        <v>26600000</v>
      </c>
      <c r="BH27" s="243">
        <f t="shared" si="6"/>
        <v>43128880</v>
      </c>
      <c r="BI27" s="243">
        <f t="shared" si="6"/>
        <v>47128880</v>
      </c>
      <c r="BJ27" s="243">
        <f t="shared" si="6"/>
        <v>29656000</v>
      </c>
      <c r="BK27" s="243">
        <f t="shared" si="6"/>
        <v>29656004</v>
      </c>
      <c r="BL27" s="243">
        <f t="shared" si="6"/>
        <v>1487500</v>
      </c>
      <c r="BM27" s="243">
        <f t="shared" si="6"/>
        <v>1487500</v>
      </c>
      <c r="BN27" s="243">
        <f t="shared" si="6"/>
        <v>210500</v>
      </c>
      <c r="BO27" s="243">
        <f t="shared" si="6"/>
        <v>1390500</v>
      </c>
      <c r="BP27" s="243">
        <f>+BP8+BP9+BP10+BP11+BP13+BP14+BP22+BP23+BP15+BP26</f>
        <v>0</v>
      </c>
      <c r="BQ27" s="243">
        <f>+BQ8+BQ9+BQ10+BQ11+BQ13+BQ14+BQ22+BQ23+BQ15+BQ26</f>
        <v>0</v>
      </c>
      <c r="BR27" s="243">
        <f t="shared" si="6"/>
        <v>103513436</v>
      </c>
      <c r="BS27" s="243">
        <f>+BS8+BS9+BS10+BS11+BS13+BS14+BS22+BS23+BS15+BS26</f>
        <v>103515355</v>
      </c>
      <c r="BT27" s="243">
        <f t="shared" si="6"/>
        <v>0</v>
      </c>
      <c r="BU27" s="243">
        <f t="shared" si="6"/>
        <v>0</v>
      </c>
      <c r="BV27" s="243">
        <f t="shared" si="6"/>
        <v>0</v>
      </c>
      <c r="BW27" s="243">
        <f>+BW8+BW9+BW10+BW11+BW13+BW14+BW22+BW23+BW15+BW26</f>
        <v>295068529</v>
      </c>
      <c r="BX27" s="243">
        <f>+BX8+BX9+BX10+BX11+BX13+BX14+BX22+BX23+BX15+BX26</f>
        <v>0</v>
      </c>
      <c r="BY27" s="243">
        <f>+BY8+BY9+BY10+BY11+BY13+BY14+BY22+BY23+BY15+BY26</f>
        <v>0</v>
      </c>
      <c r="BZ27" s="255">
        <f>SUMIFS('1.a sz. Önkormányzat 2022. '!D27:HY27,'1.a sz. Önkormányzat 2022. '!$D$4:$HY$4,"kötelező",'1.a sz. Önkormányzat 2022. '!$D$2:$HY$2,"Eredeti előirányzat")+SUMIFS(D27:BY27,$D$4:$BY$4,"kötelező",$D$2:$BY$2,"Eredeti előirányzat")</f>
        <v>7645107524</v>
      </c>
      <c r="CA27" s="255">
        <f>SUMIFS('1.a sz. Önkormányzat 2022. '!D27:II27,'1.a sz. Önkormányzat 2022. '!$D$4:$II$4,"kötelező",'1.a sz. Önkormányzat 2022. '!$D$2:$II$2,"Módosított előirányzat")+SUMIFS(D27:BY27,$D$4:$BY$4,"kötelező",$D$2:$BY$2,"Módosított előirányzat")</f>
        <v>9572217014</v>
      </c>
      <c r="CB27" s="255">
        <f>SUMIFS('1.a sz. Önkormányzat 2022. '!D27:IB27,'1.a sz. Önkormányzat 2022. '!$D$4:$IB$4,"önként vállalt",'1.a sz. Önkormányzat 2022. '!$D$2:$IB$2,"Eredeti előirányzat")+SUMIFS(D27:BY27,$D$4:$BY$4,"önként vállalt",$D$2:$BY$2,"Eredeti előirányzat")</f>
        <v>589486151</v>
      </c>
      <c r="CC27" s="255">
        <f>SUMIFS('1.a sz. Önkormányzat 2022. '!D27:IC27,'1.a sz. Önkormányzat 2022. '!$D$4:$IC$4,"önként vállalt",'1.a sz. Önkormányzat 2022. '!$D$2:$IC$2,"Módosított előirányzat")+SUMIFS(D27:BY27,$D$4:$BY$4,"önként vállalt",$D$2:$BY$2,"Módosított előirányzat")</f>
        <v>767166389</v>
      </c>
      <c r="CD27" s="255">
        <f>SUMIFS('1.a sz. Önkormányzat 2022. '!D27:HY27,'1.a sz. Önkormányzat 2022. '!$D$4:$HY$4,"államigazgatási",'1.a sz. Önkormányzat 2022. '!$D$2:$HY$2,"Eredeti előirányzat")+SUMIFS(D27:BY27,$D$4:$BY$4,"államigazgatási",$D$2:$BY$2,"Eredeti előirányzat")</f>
        <v>0</v>
      </c>
      <c r="CE27" s="255">
        <f>SUMIFS('1.a sz. Önkormányzat 2022. '!D27:HY27,'1.a sz. Önkormányzat 2022. '!$D$4:$HY$4,"államigazgatási",'1.a sz. Önkormányzat 2022. '!$D$2:$HY$2,"Módosított előirányzat")+SUMIFS(D27:BY27,$D$4:$BY$4,"államigazgatási",$D$2:$BY$2,"Módosított előirányzat")</f>
        <v>0</v>
      </c>
      <c r="CF27" s="255">
        <f t="shared" si="0"/>
        <v>8234593675</v>
      </c>
      <c r="CG27" s="255">
        <f t="shared" si="1"/>
        <v>10339383403</v>
      </c>
      <c r="CH27" s="749">
        <f>+'1.a sz. Önkormányzat 2022. '!HF27</f>
        <v>0</v>
      </c>
      <c r="CI27" s="749">
        <f>+'1.a sz. Önkormányzat 2022. '!HG27</f>
        <v>8146942</v>
      </c>
    </row>
    <row r="28" spans="1:89" s="229" customFormat="1" ht="21.75" customHeight="1" x14ac:dyDescent="0.25">
      <c r="A28" s="222" t="s">
        <v>266</v>
      </c>
      <c r="B28" s="238" t="s">
        <v>33</v>
      </c>
      <c r="C28" s="224"/>
      <c r="D28" s="243">
        <f>+D16+D17+D18+D24+D25</f>
        <v>0</v>
      </c>
      <c r="E28" s="243">
        <f t="shared" ref="E28:BV28" si="7">+E16+E17+E18+E24+E25</f>
        <v>0</v>
      </c>
      <c r="F28" s="243">
        <f t="shared" si="7"/>
        <v>0</v>
      </c>
      <c r="G28" s="243">
        <f t="shared" si="7"/>
        <v>0</v>
      </c>
      <c r="H28" s="243">
        <f t="shared" si="7"/>
        <v>0</v>
      </c>
      <c r="I28" s="243">
        <f t="shared" si="7"/>
        <v>0</v>
      </c>
      <c r="J28" s="243">
        <f t="shared" si="7"/>
        <v>0</v>
      </c>
      <c r="K28" s="243">
        <f t="shared" si="7"/>
        <v>0</v>
      </c>
      <c r="L28" s="243">
        <f t="shared" si="7"/>
        <v>0</v>
      </c>
      <c r="M28" s="243">
        <f t="shared" si="7"/>
        <v>0</v>
      </c>
      <c r="N28" s="243">
        <f t="shared" si="7"/>
        <v>0</v>
      </c>
      <c r="O28" s="243">
        <f t="shared" si="7"/>
        <v>0</v>
      </c>
      <c r="P28" s="243">
        <f t="shared" si="7"/>
        <v>0</v>
      </c>
      <c r="Q28" s="243">
        <f t="shared" si="7"/>
        <v>0</v>
      </c>
      <c r="R28" s="243">
        <f t="shared" si="7"/>
        <v>0</v>
      </c>
      <c r="S28" s="243">
        <f t="shared" si="7"/>
        <v>0</v>
      </c>
      <c r="T28" s="243">
        <f t="shared" si="7"/>
        <v>0</v>
      </c>
      <c r="U28" s="243">
        <f t="shared" si="7"/>
        <v>0</v>
      </c>
      <c r="V28" s="243">
        <f t="shared" si="7"/>
        <v>0</v>
      </c>
      <c r="W28" s="243">
        <f t="shared" si="7"/>
        <v>0</v>
      </c>
      <c r="X28" s="243">
        <f>+X16+X17+X18+X24+X25</f>
        <v>0</v>
      </c>
      <c r="Y28" s="243">
        <f>+Y16+Y17+Y18+Y24+Y25</f>
        <v>0</v>
      </c>
      <c r="Z28" s="243">
        <f t="shared" si="7"/>
        <v>0</v>
      </c>
      <c r="AA28" s="243">
        <f t="shared" si="7"/>
        <v>0</v>
      </c>
      <c r="AB28" s="243">
        <f>+AB16+AB17+AB18+AB24+AB25</f>
        <v>0</v>
      </c>
      <c r="AC28" s="243">
        <f>+AC16+AC17+AC18+AC24+AC25</f>
        <v>0</v>
      </c>
      <c r="AD28" s="243">
        <f t="shared" si="7"/>
        <v>6500000</v>
      </c>
      <c r="AE28" s="243">
        <f t="shared" si="7"/>
        <v>1161940</v>
      </c>
      <c r="AF28" s="243">
        <f t="shared" si="7"/>
        <v>4000000</v>
      </c>
      <c r="AG28" s="243">
        <f t="shared" si="7"/>
        <v>4000000</v>
      </c>
      <c r="AH28" s="243">
        <f t="shared" si="7"/>
        <v>0</v>
      </c>
      <c r="AI28" s="243">
        <f t="shared" si="7"/>
        <v>65994</v>
      </c>
      <c r="AJ28" s="243">
        <f t="shared" si="7"/>
        <v>0</v>
      </c>
      <c r="AK28" s="243">
        <f t="shared" si="7"/>
        <v>0</v>
      </c>
      <c r="AL28" s="243">
        <f t="shared" si="7"/>
        <v>0</v>
      </c>
      <c r="AM28" s="243">
        <f t="shared" si="7"/>
        <v>1636291</v>
      </c>
      <c r="AN28" s="243">
        <f t="shared" si="7"/>
        <v>0</v>
      </c>
      <c r="AO28" s="243">
        <f t="shared" si="7"/>
        <v>960000</v>
      </c>
      <c r="AP28" s="243">
        <f t="shared" si="7"/>
        <v>0</v>
      </c>
      <c r="AQ28" s="243">
        <f t="shared" si="7"/>
        <v>0</v>
      </c>
      <c r="AR28" s="243">
        <f t="shared" si="7"/>
        <v>0</v>
      </c>
      <c r="AS28" s="243">
        <f t="shared" si="7"/>
        <v>0</v>
      </c>
      <c r="AT28" s="243">
        <f t="shared" si="7"/>
        <v>0</v>
      </c>
      <c r="AU28" s="243">
        <f t="shared" si="7"/>
        <v>0</v>
      </c>
      <c r="AV28" s="243">
        <f t="shared" si="7"/>
        <v>0</v>
      </c>
      <c r="AW28" s="243">
        <f t="shared" si="7"/>
        <v>0</v>
      </c>
      <c r="AX28" s="243">
        <f t="shared" si="7"/>
        <v>1320000</v>
      </c>
      <c r="AY28" s="243">
        <f t="shared" si="7"/>
        <v>1320000</v>
      </c>
      <c r="AZ28" s="243">
        <f t="shared" si="7"/>
        <v>0</v>
      </c>
      <c r="BA28" s="243">
        <f t="shared" si="7"/>
        <v>0</v>
      </c>
      <c r="BB28" s="243">
        <f t="shared" si="7"/>
        <v>3000000</v>
      </c>
      <c r="BC28" s="243">
        <f t="shared" si="7"/>
        <v>3000000</v>
      </c>
      <c r="BD28" s="243">
        <f t="shared" si="7"/>
        <v>0</v>
      </c>
      <c r="BE28" s="243">
        <f t="shared" si="7"/>
        <v>0</v>
      </c>
      <c r="BF28" s="243">
        <f t="shared" si="7"/>
        <v>0</v>
      </c>
      <c r="BG28" s="243">
        <f t="shared" si="7"/>
        <v>0</v>
      </c>
      <c r="BH28" s="243">
        <f t="shared" si="7"/>
        <v>0</v>
      </c>
      <c r="BI28" s="243">
        <f t="shared" si="7"/>
        <v>0</v>
      </c>
      <c r="BJ28" s="243">
        <f t="shared" si="7"/>
        <v>0</v>
      </c>
      <c r="BK28" s="243">
        <f t="shared" si="7"/>
        <v>0</v>
      </c>
      <c r="BL28" s="243">
        <f t="shared" si="7"/>
        <v>0</v>
      </c>
      <c r="BM28" s="243">
        <f t="shared" si="7"/>
        <v>0</v>
      </c>
      <c r="BN28" s="243">
        <f t="shared" si="7"/>
        <v>0</v>
      </c>
      <c r="BO28" s="243">
        <f t="shared" si="7"/>
        <v>2570000</v>
      </c>
      <c r="BP28" s="243">
        <f>+BP16+BP17+BP18+BP24+BP25</f>
        <v>0</v>
      </c>
      <c r="BQ28" s="243">
        <f>+BQ16+BQ17+BQ18+BQ24+BQ25</f>
        <v>1554735</v>
      </c>
      <c r="BR28" s="243">
        <f t="shared" si="7"/>
        <v>28182624</v>
      </c>
      <c r="BS28" s="243">
        <f>+BS16+BS17+BS18+BS24+BS25</f>
        <v>28182624</v>
      </c>
      <c r="BT28" s="243">
        <f t="shared" si="7"/>
        <v>0</v>
      </c>
      <c r="BU28" s="243">
        <f t="shared" si="7"/>
        <v>0</v>
      </c>
      <c r="BV28" s="243">
        <f t="shared" si="7"/>
        <v>0</v>
      </c>
      <c r="BW28" s="243">
        <f>+BW16+BW17+BW18+BW24+BW25</f>
        <v>0</v>
      </c>
      <c r="BX28" s="243">
        <f>+BX16+BX17+BX18+BX24+BX25</f>
        <v>0</v>
      </c>
      <c r="BY28" s="243">
        <f>+BY16+BY17+BY18+BY24+BY25</f>
        <v>0</v>
      </c>
      <c r="BZ28" s="255">
        <f>SUMIFS('1.a sz. Önkormányzat 2022. '!D28:HY28,'1.a sz. Önkormányzat 2022. '!$D$4:$HY$4,"kötelező",'1.a sz. Önkormányzat 2022. '!$D$2:$HY$2,"Eredeti előirányzat")+SUMIFS(D28:BY28,$D$4:$BY$4,"kötelező",$D$2:$BY$2,"Eredeti előirányzat")</f>
        <v>1510641545</v>
      </c>
      <c r="CA28" s="255">
        <f>SUMIFS('1.a sz. Önkormányzat 2022. '!D28:II28,'1.a sz. Önkormányzat 2022. '!$D$4:$II$4,"kötelező",'1.a sz. Önkormányzat 2022. '!$D$2:$II$2,"Módosított előirányzat")+SUMIFS(D28:BY28,$D$4:$BY$4,"kötelező",$D$2:$BY$2,"Módosított előirányzat")</f>
        <v>1724912514</v>
      </c>
      <c r="CB28" s="255">
        <f>SUMIFS('1.a sz. Önkormányzat 2022. '!D28:IB28,'1.a sz. Önkormányzat 2022. '!$D$4:$IB$4,"önként vállalt",'1.a sz. Önkormányzat 2022. '!$D$2:$IB$2,"Eredeti előirányzat")+SUMIFS(D28:BY28,$D$4:$BY$4,"önként vállalt",$D$2:$BY$2,"Eredeti előirányzat")</f>
        <v>594468701</v>
      </c>
      <c r="CC28" s="255">
        <f>SUMIFS('1.a sz. Önkormányzat 2022. '!D28:IC28,'1.a sz. Önkormányzat 2022. '!$D$4:$IC$4,"önként vállalt",'1.a sz. Önkormányzat 2022. '!$D$2:$IC$2,"Módosított előirányzat")+SUMIFS(D28:BY28,$D$4:$BY$4,"önként vállalt",$D$2:$BY$2,"Módosított előirányzat")</f>
        <v>559087079</v>
      </c>
      <c r="CD28" s="255">
        <f>SUMIFS('1.a sz. Önkormányzat 2022. '!D28:HY28,'1.a sz. Önkormányzat 2022. '!$D$4:$HY$4,"államigazgatási",'1.a sz. Önkormányzat 2022. '!$D$2:$HY$2,"Eredeti előirányzat")+SUMIFS(D28:BY28,$D$4:$BY$4,"államigazgatási",$D$2:$BY$2,"Eredeti előirányzat")</f>
        <v>0</v>
      </c>
      <c r="CE28" s="255">
        <f>SUMIFS('1.a sz. Önkormányzat 2022. '!D28:HY28,'1.a sz. Önkormányzat 2022. '!$D$4:$HY$4,"államigazgatási",'1.a sz. Önkormányzat 2022. '!$D$2:$HY$2,"Módosított előirányzat")+SUMIFS(D28:BY28,$D$4:$BY$4,"államigazgatási",$D$2:$BY$2,"Módosított előirányzat")</f>
        <v>0</v>
      </c>
      <c r="CF28" s="255">
        <f t="shared" si="0"/>
        <v>2105110246</v>
      </c>
      <c r="CG28" s="255">
        <f t="shared" si="1"/>
        <v>2283999593</v>
      </c>
      <c r="CH28" s="749">
        <f>+'1.a sz. Önkormányzat 2022. '!HF28</f>
        <v>7499350</v>
      </c>
      <c r="CI28" s="749">
        <f>+'1.a sz. Önkormányzat 2022. '!HG28</f>
        <v>41418264</v>
      </c>
    </row>
    <row r="29" spans="1:89" s="229" customFormat="1" ht="21.75" customHeight="1" x14ac:dyDescent="0.25">
      <c r="A29" s="222" t="s">
        <v>267</v>
      </c>
      <c r="B29" s="238" t="s">
        <v>333</v>
      </c>
      <c r="C29" s="224" t="s">
        <v>31</v>
      </c>
      <c r="D29" s="243">
        <f>+D27+D28</f>
        <v>23000000</v>
      </c>
      <c r="E29" s="243">
        <f t="shared" ref="E29:BV29" si="8">+E27+E28</f>
        <v>16819430</v>
      </c>
      <c r="F29" s="243">
        <f t="shared" si="8"/>
        <v>1500000</v>
      </c>
      <c r="G29" s="243">
        <f t="shared" si="8"/>
        <v>1500000</v>
      </c>
      <c r="H29" s="243">
        <f t="shared" si="8"/>
        <v>2300000</v>
      </c>
      <c r="I29" s="243">
        <f t="shared" si="8"/>
        <v>2300000</v>
      </c>
      <c r="J29" s="243">
        <f t="shared" si="8"/>
        <v>2000000</v>
      </c>
      <c r="K29" s="243">
        <f t="shared" si="8"/>
        <v>2000000</v>
      </c>
      <c r="L29" s="243">
        <f t="shared" si="8"/>
        <v>3000000</v>
      </c>
      <c r="M29" s="243">
        <f t="shared" si="8"/>
        <v>3000000</v>
      </c>
      <c r="N29" s="243">
        <f t="shared" si="8"/>
        <v>4000000</v>
      </c>
      <c r="O29" s="243">
        <f t="shared" si="8"/>
        <v>4000000</v>
      </c>
      <c r="P29" s="243">
        <f t="shared" si="8"/>
        <v>500000</v>
      </c>
      <c r="Q29" s="243">
        <f t="shared" si="8"/>
        <v>500000</v>
      </c>
      <c r="R29" s="243">
        <f t="shared" si="8"/>
        <v>0</v>
      </c>
      <c r="S29" s="243">
        <f t="shared" si="8"/>
        <v>0</v>
      </c>
      <c r="T29" s="243">
        <f t="shared" si="8"/>
        <v>500000</v>
      </c>
      <c r="U29" s="243">
        <f t="shared" si="8"/>
        <v>500000</v>
      </c>
      <c r="V29" s="243">
        <f t="shared" si="8"/>
        <v>200000</v>
      </c>
      <c r="W29" s="243">
        <f t="shared" si="8"/>
        <v>200000</v>
      </c>
      <c r="X29" s="243">
        <f>+X27+X28</f>
        <v>0</v>
      </c>
      <c r="Y29" s="243">
        <f>+Y27+Y28</f>
        <v>1000000</v>
      </c>
      <c r="Z29" s="243">
        <f t="shared" si="8"/>
        <v>7000000</v>
      </c>
      <c r="AA29" s="243">
        <f t="shared" si="8"/>
        <v>7000000</v>
      </c>
      <c r="AB29" s="243">
        <f>+AB27+AB28</f>
        <v>0</v>
      </c>
      <c r="AC29" s="243">
        <f>+AC27+AC28</f>
        <v>9000000</v>
      </c>
      <c r="AD29" s="243">
        <f t="shared" si="8"/>
        <v>6500000</v>
      </c>
      <c r="AE29" s="243">
        <f t="shared" si="8"/>
        <v>1161940</v>
      </c>
      <c r="AF29" s="243">
        <f t="shared" si="8"/>
        <v>4000000</v>
      </c>
      <c r="AG29" s="243">
        <f t="shared" si="8"/>
        <v>4000000</v>
      </c>
      <c r="AH29" s="243">
        <f t="shared" si="8"/>
        <v>0</v>
      </c>
      <c r="AI29" s="243">
        <f t="shared" si="8"/>
        <v>100000</v>
      </c>
      <c r="AJ29" s="243">
        <f t="shared" si="8"/>
        <v>7047905</v>
      </c>
      <c r="AK29" s="243">
        <f t="shared" si="8"/>
        <v>7047905</v>
      </c>
      <c r="AL29" s="243">
        <f t="shared" si="8"/>
        <v>117853492</v>
      </c>
      <c r="AM29" s="243">
        <f t="shared" si="8"/>
        <v>117853492</v>
      </c>
      <c r="AN29" s="243">
        <f t="shared" si="8"/>
        <v>3220000</v>
      </c>
      <c r="AO29" s="243">
        <f t="shared" si="8"/>
        <v>4917452</v>
      </c>
      <c r="AP29" s="243">
        <f t="shared" si="8"/>
        <v>0</v>
      </c>
      <c r="AQ29" s="243">
        <f t="shared" si="8"/>
        <v>5005000</v>
      </c>
      <c r="AR29" s="243">
        <f t="shared" si="8"/>
        <v>0</v>
      </c>
      <c r="AS29" s="243">
        <f t="shared" si="8"/>
        <v>0</v>
      </c>
      <c r="AT29" s="243">
        <f t="shared" si="8"/>
        <v>2590000</v>
      </c>
      <c r="AU29" s="243">
        <f t="shared" si="8"/>
        <v>14020000</v>
      </c>
      <c r="AV29" s="243">
        <f t="shared" si="8"/>
        <v>0</v>
      </c>
      <c r="AW29" s="243">
        <f t="shared" si="8"/>
        <v>1770000</v>
      </c>
      <c r="AX29" s="243">
        <f t="shared" si="8"/>
        <v>4400000</v>
      </c>
      <c r="AY29" s="243">
        <f t="shared" si="8"/>
        <v>4400000</v>
      </c>
      <c r="AZ29" s="243">
        <f t="shared" si="8"/>
        <v>0</v>
      </c>
      <c r="BA29" s="243">
        <f t="shared" si="8"/>
        <v>3375000</v>
      </c>
      <c r="BB29" s="243">
        <f t="shared" si="8"/>
        <v>89632393</v>
      </c>
      <c r="BC29" s="243">
        <f t="shared" si="8"/>
        <v>117318393</v>
      </c>
      <c r="BD29" s="243">
        <f t="shared" si="8"/>
        <v>4000000</v>
      </c>
      <c r="BE29" s="243">
        <f t="shared" si="8"/>
        <v>4000000</v>
      </c>
      <c r="BF29" s="243">
        <f t="shared" si="8"/>
        <v>26600000</v>
      </c>
      <c r="BG29" s="243">
        <f t="shared" si="8"/>
        <v>26600000</v>
      </c>
      <c r="BH29" s="243">
        <f t="shared" si="8"/>
        <v>43128880</v>
      </c>
      <c r="BI29" s="243">
        <f t="shared" si="8"/>
        <v>47128880</v>
      </c>
      <c r="BJ29" s="243">
        <f t="shared" si="8"/>
        <v>29656000</v>
      </c>
      <c r="BK29" s="243">
        <f t="shared" si="8"/>
        <v>29656004</v>
      </c>
      <c r="BL29" s="243">
        <f t="shared" si="8"/>
        <v>1487500</v>
      </c>
      <c r="BM29" s="243">
        <f t="shared" si="8"/>
        <v>1487500</v>
      </c>
      <c r="BN29" s="243">
        <f t="shared" si="8"/>
        <v>210500</v>
      </c>
      <c r="BO29" s="243">
        <f t="shared" si="8"/>
        <v>3960500</v>
      </c>
      <c r="BP29" s="243">
        <f>+BP27+BP28</f>
        <v>0</v>
      </c>
      <c r="BQ29" s="243">
        <f>+BQ27+BQ28</f>
        <v>1554735</v>
      </c>
      <c r="BR29" s="243">
        <f t="shared" si="8"/>
        <v>131696060</v>
      </c>
      <c r="BS29" s="243">
        <f>+BS27+BS28</f>
        <v>131697979</v>
      </c>
      <c r="BT29" s="243">
        <f t="shared" si="8"/>
        <v>0</v>
      </c>
      <c r="BU29" s="243">
        <f t="shared" si="8"/>
        <v>0</v>
      </c>
      <c r="BV29" s="243">
        <f t="shared" si="8"/>
        <v>0</v>
      </c>
      <c r="BW29" s="243">
        <f>+BW27+BW28</f>
        <v>295068529</v>
      </c>
      <c r="BX29" s="243">
        <f>+BX27+BX28</f>
        <v>0</v>
      </c>
      <c r="BY29" s="243">
        <f>+BY27+BY28</f>
        <v>0</v>
      </c>
      <c r="BZ29" s="255">
        <f>SUMIFS('1.a sz. Önkormányzat 2022. '!D29:HY29,'1.a sz. Önkormányzat 2022. '!$D$4:$HY$4,"kötelező",'1.a sz. Önkormányzat 2022. '!$D$2:$HY$2,"Eredeti előirányzat")+SUMIFS(D29:BY29,$D$4:$BY$4,"kötelező",$D$2:$BY$2,"Eredeti előirányzat")</f>
        <v>9155749069</v>
      </c>
      <c r="CA29" s="255">
        <f>SUMIFS('1.a sz. Önkormányzat 2022. '!D29:II29,'1.a sz. Önkormányzat 2022. '!$D$4:$II$4,"kötelező",'1.a sz. Önkormányzat 2022. '!$D$2:$II$2,"Módosított előirányzat")+SUMIFS(D29:BY29,$D$4:$BY$4,"kötelező",$D$2:$BY$2,"Módosított előirányzat")</f>
        <v>11297129528</v>
      </c>
      <c r="CB29" s="255">
        <f>SUMIFS('1.a sz. Önkormányzat 2022. '!D29:IB29,'1.a sz. Önkormányzat 2022. '!$D$4:$IB$4,"önként vállalt",'1.a sz. Önkormányzat 2022. '!$D$2:$IB$2,"Eredeti előirányzat")+SUMIFS(D29:BY29,$D$4:$BY$4,"önként vállalt",$D$2:$BY$2,"Eredeti előirányzat")</f>
        <v>1183954852</v>
      </c>
      <c r="CC29" s="255">
        <f>SUMIFS('1.a sz. Önkormányzat 2022. '!D29:IC29,'1.a sz. Önkormányzat 2022. '!$D$4:$IC$4,"önként vállalt",'1.a sz. Önkormányzat 2022. '!$D$2:$IC$2,"Módosított előirányzat")+SUMIFS(D29:BY29,$D$4:$BY$4,"önként vállalt",$D$2:$BY$2,"Módosított előirányzat")</f>
        <v>1326253468</v>
      </c>
      <c r="CD29" s="255">
        <f>SUMIFS('1.a sz. Önkormányzat 2022. '!D29:HY29,'1.a sz. Önkormányzat 2022. '!$D$4:$HY$4,"államigazgatási",'1.a sz. Önkormányzat 2022. '!$D$2:$HY$2,"Eredeti előirányzat")+SUMIFS(D29:BY29,$D$4:$BY$4,"államigazgatási",$D$2:$BY$2,"Eredeti előirányzat")</f>
        <v>0</v>
      </c>
      <c r="CE29" s="255">
        <f>SUMIFS('1.a sz. Önkormányzat 2022. '!D29:HY29,'1.a sz. Önkormányzat 2022. '!$D$4:$HY$4,"államigazgatási",'1.a sz. Önkormányzat 2022. '!$D$2:$HY$2,"Módosított előirányzat")+SUMIFS(D29:BY29,$D$4:$BY$4,"államigazgatási",$D$2:$BY$2,"Módosított előirányzat")</f>
        <v>0</v>
      </c>
      <c r="CF29" s="255">
        <f t="shared" si="0"/>
        <v>10339703921</v>
      </c>
      <c r="CG29" s="255">
        <f t="shared" si="1"/>
        <v>12623382996</v>
      </c>
      <c r="CH29" s="749">
        <f>+'1.a sz. Önkormányzat 2022. '!HF29</f>
        <v>7499350</v>
      </c>
      <c r="CI29" s="749">
        <f>+'1.a sz. Önkormányzat 2022. '!HG29</f>
        <v>49565206</v>
      </c>
      <c r="CJ29" s="229">
        <v>6873632041</v>
      </c>
    </row>
    <row r="30" spans="1:89" ht="21.75" customHeight="1" x14ac:dyDescent="0.25">
      <c r="A30" s="222" t="s">
        <v>268</v>
      </c>
      <c r="B30" s="228" t="s">
        <v>52</v>
      </c>
      <c r="C30" s="235" t="s">
        <v>215</v>
      </c>
      <c r="D30" s="255"/>
      <c r="E30" s="255"/>
      <c r="F30" s="255"/>
      <c r="G30" s="255"/>
      <c r="H30" s="255"/>
      <c r="I30" s="255"/>
      <c r="J30" s="255"/>
      <c r="K30" s="255"/>
      <c r="L30" s="255"/>
      <c r="M30" s="255"/>
      <c r="N30" s="255"/>
      <c r="O30" s="255"/>
      <c r="P30" s="255"/>
      <c r="Q30" s="255"/>
      <c r="R30" s="225"/>
      <c r="S30" s="225"/>
      <c r="T30" s="255"/>
      <c r="U30" s="255"/>
      <c r="V30" s="255"/>
      <c r="W30" s="255"/>
      <c r="X30" s="255"/>
      <c r="Y30" s="255"/>
      <c r="Z30" s="255"/>
      <c r="AA30" s="255"/>
      <c r="AB30" s="255"/>
      <c r="AC30" s="25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55"/>
      <c r="BA30" s="255"/>
      <c r="BB30" s="255"/>
      <c r="BC30" s="255"/>
      <c r="BD30" s="255"/>
      <c r="BE30" s="255">
        <v>630000</v>
      </c>
      <c r="BF30" s="255"/>
      <c r="BG30" s="255"/>
      <c r="BH30" s="255"/>
      <c r="BI30" s="255"/>
      <c r="BJ30" s="255">
        <v>2278940</v>
      </c>
      <c r="BK30" s="255">
        <f>2278940+4</f>
        <v>2278944</v>
      </c>
      <c r="BL30" s="255"/>
      <c r="BM30" s="255"/>
      <c r="BN30" s="255"/>
      <c r="BO30" s="255">
        <v>32017</v>
      </c>
      <c r="BP30" s="255"/>
      <c r="BQ30" s="255"/>
      <c r="BR30" s="255"/>
      <c r="BS30" s="255"/>
      <c r="BT30" s="255"/>
      <c r="BU30" s="255"/>
      <c r="BV30" s="255">
        <v>1732867023</v>
      </c>
      <c r="BW30" s="255">
        <f>1732867023+2037004+2619348+16564354+2596264+2663304+2607203-16564354+7953135+2612303+589000+189906276+2570921+916400+35449080+28936517+189906276+2510268+2523290+2618209+123753075+2325296+2359553-2635450+770600+27313580-381900+6749700+1536885+804000</f>
        <v>2374477160</v>
      </c>
      <c r="BX30" s="255"/>
      <c r="BY30" s="255"/>
      <c r="BZ30" s="255">
        <f>SUMIFS('1.a sz. Önkormányzat 2022. '!D30:HY30,'1.a sz. Önkormányzat 2022. '!$D$4:$HY$4,"kötelező",'1.a sz. Önkormányzat 2022. '!$D$2:$HY$2,"Eredeti előirányzat")+SUMIFS(D30:BY30,$D$4:$BY$4,"kötelező",$D$2:$BY$2,"Eredeti előirányzat")</f>
        <v>1735145963</v>
      </c>
      <c r="CA30" s="255">
        <f>SUMIFS('1.a sz. Önkormányzat 2022. '!D30:II30,'1.a sz. Önkormányzat 2022. '!$D$4:$II$4,"kötelező",'1.a sz. Önkormányzat 2022. '!$D$2:$II$2,"Módosított előirányzat")+SUMIFS(D30:BY30,$D$4:$BY$4,"kötelező",$D$2:$BY$2,"Módosított előirányzat")</f>
        <v>2554137165</v>
      </c>
      <c r="CB30" s="255">
        <f>SUMIFS('1.a sz. Önkormányzat 2022. '!D30:IB30,'1.a sz. Önkormányzat 2022. '!$D$4:$IB$4,"önként vállalt",'1.a sz. Önkormányzat 2022. '!$D$2:$IB$2,"Eredeti előirányzat")+SUMIFS(D30:BY30,$D$4:$BY$4,"önként vállalt",$D$2:$BY$2,"Eredeti előirányzat")</f>
        <v>0</v>
      </c>
      <c r="CC30" s="255">
        <f>SUMIFS('1.a sz. Önkormányzat 2022. '!D30:IC30,'1.a sz. Önkormányzat 2022. '!$D$4:$IC$4,"önként vállalt",'1.a sz. Önkormányzat 2022. '!$D$2:$IC$2,"Módosított előirányzat")+SUMIFS(D30:BY30,$D$4:$BY$4,"önként vállalt",$D$2:$BY$2,"Módosított előirányzat")</f>
        <v>662017</v>
      </c>
      <c r="CD30" s="255">
        <f>SUMIFS('1.a sz. Önkormányzat 2022. '!D30:HY30,'1.a sz. Önkormányzat 2022. '!$D$4:$HY$4,"államigazgatási",'1.a sz. Önkormányzat 2022. '!$D$2:$HY$2,"Eredeti előirányzat")+SUMIFS(D30:BY30,$D$4:$BY$4,"államigazgatási",$D$2:$BY$2,"Eredeti előirányzat")</f>
        <v>0</v>
      </c>
      <c r="CE30" s="255">
        <f>SUMIFS('1.a sz. Önkormányzat 2022. '!D30:HY30,'1.a sz. Önkormányzat 2022. '!$D$4:$HY$4,"államigazgatási",'1.a sz. Önkormányzat 2022. '!$D$2:$HY$2,"Módosított előirányzat")+SUMIFS(D30:BY30,$D$4:$BY$4,"államigazgatási",$D$2:$BY$2,"Módosított előirányzat")</f>
        <v>0</v>
      </c>
      <c r="CF30" s="255">
        <f>BZ30+CB30+CD30</f>
        <v>1735145963</v>
      </c>
      <c r="CG30" s="255">
        <f>CA30+CC30+CE30</f>
        <v>2554799182</v>
      </c>
      <c r="CH30" s="749">
        <f>+'1.a sz. Önkormányzat 2022. '!HF30</f>
        <v>0</v>
      </c>
      <c r="CI30" s="749">
        <f>+'1.a sz. Önkormányzat 2022. '!HG30</f>
        <v>0</v>
      </c>
      <c r="CJ30" s="227" t="e">
        <f>+CJ29-#REF!</f>
        <v>#REF!</v>
      </c>
    </row>
    <row r="31" spans="1:89" ht="21.75" customHeight="1" x14ac:dyDescent="0.25">
      <c r="A31" s="222" t="s">
        <v>269</v>
      </c>
      <c r="B31" s="228" t="s">
        <v>226</v>
      </c>
      <c r="C31" s="235" t="s">
        <v>216</v>
      </c>
      <c r="D31" s="255"/>
      <c r="E31" s="255"/>
      <c r="F31" s="255"/>
      <c r="G31" s="255"/>
      <c r="H31" s="255"/>
      <c r="I31" s="255"/>
      <c r="J31" s="255"/>
      <c r="K31" s="255"/>
      <c r="L31" s="255"/>
      <c r="M31" s="255"/>
      <c r="N31" s="255"/>
      <c r="O31" s="255"/>
      <c r="P31" s="255"/>
      <c r="Q31" s="255"/>
      <c r="R31" s="225"/>
      <c r="S31" s="225"/>
      <c r="T31" s="255"/>
      <c r="U31" s="255"/>
      <c r="V31" s="255"/>
      <c r="W31" s="255"/>
      <c r="X31" s="255"/>
      <c r="Y31" s="255"/>
      <c r="Z31" s="255"/>
      <c r="AA31" s="255"/>
      <c r="AB31" s="255"/>
      <c r="AC31" s="25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f>SUMIFS('1.a sz. Önkormányzat 2022. '!D31:HY31,'1.a sz. Önkormányzat 2022. '!$D$4:$HY$4,"kötelező",'1.a sz. Önkormányzat 2022. '!$D$2:$HY$2,"Eredeti előirányzat")+SUMIFS(D31:BY31,$D$4:$BY$4,"kötelező",$D$2:$BY$2,"Eredeti előirányzat")</f>
        <v>0</v>
      </c>
      <c r="CA31" s="255">
        <f>SUMIFS('1.a sz. Önkormányzat 2022. '!D31:II31,'1.a sz. Önkormányzat 2022. '!$D$4:$II$4,"kötelező",'1.a sz. Önkormányzat 2022. '!$D$2:$II$2,"Módosított előirányzat")+SUMIFS(D31:BY31,$D$4:$BY$4,"kötelező",$D$2:$BY$2,"Módosított előirányzat")</f>
        <v>54255209</v>
      </c>
      <c r="CB31" s="255">
        <f>SUMIFS('1.a sz. Önkormányzat 2022. '!D31:IB31,'1.a sz. Önkormányzat 2022. '!$D$4:$IB$4,"önként vállalt",'1.a sz. Önkormányzat 2022. '!$D$2:$IB$2,"Eredeti előirányzat")+SUMIFS(D31:BY31,$D$4:$BY$4,"önként vállalt",$D$2:$BY$2,"Eredeti előirányzat")</f>
        <v>0</v>
      </c>
      <c r="CC31" s="255">
        <f>SUMIFS('1.a sz. Önkormányzat 2022. '!D31:IC31,'1.a sz. Önkormányzat 2022. '!$D$4:$IC$4,"önként vállalt",'1.a sz. Önkormányzat 2022. '!$D$2:$IC$2,"Módosított előirányzat")+SUMIFS(D31:BY31,$D$4:$BY$4,"önként vállalt",$D$2:$BY$2,"Módosított előirányzat")</f>
        <v>0</v>
      </c>
      <c r="CD31" s="255">
        <f>SUMIFS('1.a sz. Önkormányzat 2022. '!D31:HY31,'1.a sz. Önkormányzat 2022. '!$D$4:$HY$4,"államigazgatási",'1.a sz. Önkormányzat 2022. '!$D$2:$HY$2,"Eredeti előirányzat")+SUMIFS(D31:BY31,$D$4:$BY$4,"államigazgatási",$D$2:$BY$2,"Eredeti előirányzat")</f>
        <v>0</v>
      </c>
      <c r="CE31" s="255">
        <f>SUMIFS('1.a sz. Önkormányzat 2022. '!D31:HY31,'1.a sz. Önkormányzat 2022. '!$D$4:$HY$4,"államigazgatási",'1.a sz. Önkormányzat 2022. '!$D$2:$HY$2,"Módosított előirányzat")+SUMIFS(D31:BY31,$D$4:$BY$4,"államigazgatási",$D$2:$BY$2,"Módosított előirányzat")</f>
        <v>0</v>
      </c>
      <c r="CF31" s="255">
        <f t="shared" si="0"/>
        <v>0</v>
      </c>
      <c r="CG31" s="255">
        <f t="shared" si="1"/>
        <v>54255209</v>
      </c>
      <c r="CH31" s="749">
        <f>+'1.a sz. Önkormányzat 2022. '!HF31</f>
        <v>0</v>
      </c>
      <c r="CI31" s="749">
        <f>+'1.a sz. Önkormányzat 2022. '!HG31</f>
        <v>49565206</v>
      </c>
    </row>
    <row r="32" spans="1:89" ht="21.75" customHeight="1" x14ac:dyDescent="0.25">
      <c r="A32" s="222" t="s">
        <v>270</v>
      </c>
      <c r="B32" s="228" t="s">
        <v>225</v>
      </c>
      <c r="C32" s="235" t="s">
        <v>217</v>
      </c>
      <c r="D32" s="255"/>
      <c r="E32" s="255"/>
      <c r="F32" s="255"/>
      <c r="G32" s="255"/>
      <c r="H32" s="255"/>
      <c r="I32" s="255"/>
      <c r="J32" s="255"/>
      <c r="K32" s="255"/>
      <c r="L32" s="255"/>
      <c r="M32" s="255"/>
      <c r="N32" s="255"/>
      <c r="O32" s="255"/>
      <c r="P32" s="255"/>
      <c r="Q32" s="255"/>
      <c r="R32" s="225"/>
      <c r="S32" s="225"/>
      <c r="T32" s="255"/>
      <c r="U32" s="255"/>
      <c r="V32" s="255"/>
      <c r="W32" s="255"/>
      <c r="X32" s="255"/>
      <c r="Y32" s="255"/>
      <c r="Z32" s="255"/>
      <c r="AA32" s="255"/>
      <c r="AB32" s="255"/>
      <c r="AC32" s="25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55"/>
      <c r="BA32" s="255"/>
      <c r="BB32" s="255"/>
      <c r="BC32" s="255"/>
      <c r="BD32" s="255"/>
      <c r="BE32" s="255"/>
      <c r="BF32" s="255"/>
      <c r="BG32" s="255"/>
      <c r="BH32" s="255"/>
      <c r="BI32" s="255"/>
      <c r="BJ32" s="255"/>
      <c r="BK32" s="255"/>
      <c r="BL32" s="255"/>
      <c r="BM32" s="255"/>
      <c r="BN32" s="255"/>
      <c r="BO32" s="255"/>
      <c r="BP32" s="255"/>
      <c r="BQ32" s="255"/>
      <c r="BR32" s="255"/>
      <c r="BS32" s="255"/>
      <c r="BT32" s="255">
        <f>+'[1]13.sz. Közhatalmi bevételek'!E5</f>
        <v>3822360000</v>
      </c>
      <c r="BU32" s="255">
        <f>3822360000+13889158+29661178+3428775+2916629+6185301+44402908+567625831+2856674+30000000+100000000+20000000+80000000+3000000+14259205+92544+2146451-23638367</f>
        <v>4719186287</v>
      </c>
      <c r="BV32" s="255"/>
      <c r="BW32" s="255"/>
      <c r="BX32" s="255">
        <f>+'[1]13.sz. Közhatalmi bevételek'!F5</f>
        <v>46979111</v>
      </c>
      <c r="BY32" s="255">
        <f>46979111-13889158-29661178-3428775</f>
        <v>0</v>
      </c>
      <c r="BZ32" s="255">
        <f>SUMIFS('1.a sz. Önkormányzat 2022. '!D32:HY32,'1.a sz. Önkormányzat 2022. '!$D$4:$HY$4,"kötelező",'1.a sz. Önkormányzat 2022. '!$D$2:$HY$2,"Eredeti előirányzat")+SUMIFS(D32:BY32,$D$4:$BY$4,"kötelező",$D$2:$BY$2,"Eredeti előirányzat")</f>
        <v>3869339111</v>
      </c>
      <c r="CA32" s="255">
        <f>SUMIFS('1.a sz. Önkormányzat 2022. '!D32:II32,'1.a sz. Önkormányzat 2022. '!$D$4:$II$4,"kötelező",'1.a sz. Önkormányzat 2022. '!$D$2:$II$2,"Módosított előirányzat")+SUMIFS(D32:BY32,$D$4:$BY$4,"kötelező",$D$2:$BY$2,"Módosított előirányzat")</f>
        <v>4719374433</v>
      </c>
      <c r="CB32" s="255">
        <f>SUMIFS('1.a sz. Önkormányzat 2022. '!D32:IB32,'1.a sz. Önkormányzat 2022. '!$D$4:$IB$4,"önként vállalt",'1.a sz. Önkormányzat 2022. '!$D$2:$IB$2,"Eredeti előirányzat")+SUMIFS(D32:BY32,$D$4:$BY$4,"önként vállalt",$D$2:$BY$2,"Eredeti előirányzat")</f>
        <v>0</v>
      </c>
      <c r="CC32" s="255">
        <f>SUMIFS('1.a sz. Önkormányzat 2022. '!D32:IC32,'1.a sz. Önkormányzat 2022. '!$D$4:$IC$4,"önként vállalt",'1.a sz. Önkormányzat 2022. '!$D$2:$IC$2,"Módosított előirányzat")+SUMIFS(D32:BY32,$D$4:$BY$4,"önként vállalt",$D$2:$BY$2,"Módosított előirányzat")</f>
        <v>0</v>
      </c>
      <c r="CD32" s="255">
        <f>SUMIFS('1.a sz. Önkormányzat 2022. '!D32:HY32,'1.a sz. Önkormányzat 2022. '!$D$4:$HY$4,"államigazgatási",'1.a sz. Önkormányzat 2022. '!$D$2:$HY$2,"Eredeti előirányzat")+SUMIFS(D32:BY32,$D$4:$BY$4,"államigazgatási",$D$2:$BY$2,"Eredeti előirányzat")</f>
        <v>0</v>
      </c>
      <c r="CE32" s="255">
        <f>SUMIFS('1.a sz. Önkormányzat 2022. '!D32:HY32,'1.a sz. Önkormányzat 2022. '!$D$4:$HY$4,"államigazgatási",'1.a sz. Önkormányzat 2022. '!$D$2:$HY$2,"Módosított előirányzat")+SUMIFS(D32:BY32,$D$4:$BY$4,"államigazgatási",$D$2:$BY$2,"Módosított előirányzat")</f>
        <v>0</v>
      </c>
      <c r="CF32" s="255">
        <f t="shared" si="0"/>
        <v>3869339111</v>
      </c>
      <c r="CG32" s="255">
        <f t="shared" si="1"/>
        <v>4719374433</v>
      </c>
      <c r="CH32" s="749">
        <f>+'1.a sz. Önkormányzat 2022. '!HF32</f>
        <v>0</v>
      </c>
      <c r="CI32" s="749">
        <f>+'1.a sz. Önkormányzat 2022. '!HG32</f>
        <v>0</v>
      </c>
    </row>
    <row r="33" spans="1:87" ht="21.75" customHeight="1" x14ac:dyDescent="0.25">
      <c r="A33" s="222" t="s">
        <v>271</v>
      </c>
      <c r="B33" s="231" t="s">
        <v>0</v>
      </c>
      <c r="C33" s="235" t="s">
        <v>218</v>
      </c>
      <c r="D33" s="255"/>
      <c r="E33" s="255"/>
      <c r="F33" s="255"/>
      <c r="G33" s="255"/>
      <c r="H33" s="255"/>
      <c r="I33" s="255"/>
      <c r="J33" s="255"/>
      <c r="K33" s="255"/>
      <c r="L33" s="255"/>
      <c r="M33" s="255"/>
      <c r="N33" s="255"/>
      <c r="O33" s="255"/>
      <c r="P33" s="255"/>
      <c r="Q33" s="255"/>
      <c r="R33" s="225"/>
      <c r="S33" s="225"/>
      <c r="T33" s="255"/>
      <c r="U33" s="255"/>
      <c r="V33" s="255"/>
      <c r="W33" s="255"/>
      <c r="X33" s="255"/>
      <c r="Y33" s="255"/>
      <c r="Z33" s="255"/>
      <c r="AA33" s="255"/>
      <c r="AB33" s="255"/>
      <c r="AC33" s="25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55"/>
      <c r="BA33" s="255"/>
      <c r="BB33" s="255"/>
      <c r="BC33" s="255"/>
      <c r="BD33" s="255"/>
      <c r="BE33" s="255"/>
      <c r="BF33" s="255"/>
      <c r="BG33" s="255"/>
      <c r="BH33" s="255"/>
      <c r="BI33" s="255"/>
      <c r="BJ33" s="255"/>
      <c r="BK33" s="255"/>
      <c r="BL33" s="255"/>
      <c r="BM33" s="255"/>
      <c r="BN33" s="255"/>
      <c r="BO33" s="255"/>
      <c r="BP33" s="255"/>
      <c r="BQ33" s="255"/>
      <c r="BR33" s="255"/>
      <c r="BS33" s="255">
        <f>941+978+11043562+22275750+15166850+33436932+2198356+39515838</f>
        <v>123639207</v>
      </c>
      <c r="BT33" s="255"/>
      <c r="BU33" s="255"/>
      <c r="BV33" s="255"/>
      <c r="BW33" s="255"/>
      <c r="BX33" s="255">
        <v>89437785</v>
      </c>
      <c r="BY33" s="255">
        <f>+BX33-153868-100525-71730648-17452744</f>
        <v>0</v>
      </c>
      <c r="BZ33" s="255">
        <f>SUMIFS('1.a sz. Önkormányzat 2022. '!D33:HY33,'1.a sz. Önkormányzat 2022. '!$D$4:$HY$4,"kötelező",'1.a sz. Önkormányzat 2022. '!$D$2:$HY$2,"Eredeti előirányzat")+SUMIFS(D33:BY33,$D$4:$BY$4,"kötelező",$D$2:$BY$2,"Eredeti előirányzat")</f>
        <v>324165396</v>
      </c>
      <c r="CA33" s="255">
        <f>SUMIFS('1.a sz. Önkormányzat 2022. '!D33:II33,'1.a sz. Önkormányzat 2022. '!$D$4:$II$4,"kötelező",'1.a sz. Önkormányzat 2022. '!$D$2:$II$2,"Módosított előirányzat")+SUMIFS(D33:BY33,$D$4:$BY$4,"kötelező",$D$2:$BY$2,"Módosított előirányzat")</f>
        <v>241113962</v>
      </c>
      <c r="CB33" s="255">
        <f>SUMIFS('1.a sz. Önkormányzat 2022. '!D33:IB33,'1.a sz. Önkormányzat 2022. '!$D$4:$IB$4,"önként vállalt",'1.a sz. Önkormányzat 2022. '!$D$2:$IB$2,"Eredeti előirányzat")+SUMIFS(D33:BY33,$D$4:$BY$4,"önként vállalt",$D$2:$BY$2,"Eredeti előirányzat")</f>
        <v>195518371</v>
      </c>
      <c r="CC33" s="255">
        <f>SUMIFS('1.a sz. Önkormányzat 2022. '!D33:IC33,'1.a sz. Önkormányzat 2022. '!$D$4:$IC$4,"önként vállalt",'1.a sz. Önkormányzat 2022. '!$D$2:$IC$2,"Módosított előirányzat")+SUMIFS(D33:BY33,$D$4:$BY$4,"önként vállalt",$D$2:$BY$2,"Módosított előirányzat")</f>
        <v>338164549</v>
      </c>
      <c r="CD33" s="255">
        <f>SUMIFS('1.a sz. Önkormányzat 2022. '!D33:HY33,'1.a sz. Önkormányzat 2022. '!$D$4:$HY$4,"államigazgatási",'1.a sz. Önkormányzat 2022. '!$D$2:$HY$2,"Eredeti előirányzat")+SUMIFS(D33:BY33,$D$4:$BY$4,"államigazgatási",$D$2:$BY$2,"Eredeti előirányzat")</f>
        <v>0</v>
      </c>
      <c r="CE33" s="255">
        <f>SUMIFS('1.a sz. Önkormányzat 2022. '!D33:HY33,'1.a sz. Önkormányzat 2022. '!$D$4:$HY$4,"államigazgatási",'1.a sz. Önkormányzat 2022. '!$D$2:$HY$2,"Módosított előirányzat")+SUMIFS(D33:BY33,$D$4:$BY$4,"államigazgatási",$D$2:$BY$2,"Módosított előirányzat")</f>
        <v>0</v>
      </c>
      <c r="CF33" s="255">
        <f t="shared" si="0"/>
        <v>519683767</v>
      </c>
      <c r="CG33" s="255">
        <f t="shared" si="1"/>
        <v>579278511</v>
      </c>
      <c r="CH33" s="749">
        <f>+'1.a sz. Önkormányzat 2022. '!HF33</f>
        <v>0</v>
      </c>
      <c r="CI33" s="749">
        <f>+'1.a sz. Önkormányzat 2022. '!HG33</f>
        <v>0</v>
      </c>
    </row>
    <row r="34" spans="1:87" ht="21.75" customHeight="1" x14ac:dyDescent="0.25">
      <c r="A34" s="222" t="s">
        <v>272</v>
      </c>
      <c r="B34" s="228" t="s">
        <v>248</v>
      </c>
      <c r="C34" s="235" t="s">
        <v>219</v>
      </c>
      <c r="D34" s="255"/>
      <c r="E34" s="255"/>
      <c r="F34" s="255"/>
      <c r="G34" s="255"/>
      <c r="H34" s="255"/>
      <c r="I34" s="255"/>
      <c r="J34" s="255"/>
      <c r="K34" s="255"/>
      <c r="L34" s="255"/>
      <c r="M34" s="255"/>
      <c r="N34" s="255"/>
      <c r="O34" s="255"/>
      <c r="P34" s="255"/>
      <c r="Q34" s="255"/>
      <c r="R34" s="225"/>
      <c r="S34" s="225"/>
      <c r="T34" s="255"/>
      <c r="U34" s="255"/>
      <c r="V34" s="255"/>
      <c r="W34" s="255"/>
      <c r="X34" s="255"/>
      <c r="Y34" s="255"/>
      <c r="Z34" s="255"/>
      <c r="AA34" s="255"/>
      <c r="AB34" s="255"/>
      <c r="AC34" s="25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f>SUMIFS('1.a sz. Önkormányzat 2022. '!D34:HY34,'1.a sz. Önkormányzat 2022. '!$D$4:$HY$4,"kötelező",'1.a sz. Önkormányzat 2022. '!$D$2:$HY$2,"Eredeti előirányzat")+SUMIFS(D34:BY34,$D$4:$BY$4,"kötelező",$D$2:$BY$2,"Eredeti előirányzat")</f>
        <v>0</v>
      </c>
      <c r="CA34" s="255">
        <f>SUMIFS('1.a sz. Önkormányzat 2022. '!D34:II34,'1.a sz. Önkormányzat 2022. '!$D$4:$II$4,"kötelező",'1.a sz. Önkormányzat 2022. '!$D$2:$II$2,"Módosított előirányzat")+SUMIFS(D34:BY34,$D$4:$BY$4,"kötelező",$D$2:$BY$2,"Módosított előirányzat")</f>
        <v>0</v>
      </c>
      <c r="CB34" s="255">
        <f>SUMIFS('1.a sz. Önkormányzat 2022. '!D34:IB34,'1.a sz. Önkormányzat 2022. '!$D$4:$IB$4,"önként vállalt",'1.a sz. Önkormányzat 2022. '!$D$2:$IB$2,"Eredeti előirányzat")+SUMIFS(D34:BY34,$D$4:$BY$4,"önként vállalt",$D$2:$BY$2,"Eredeti előirányzat")</f>
        <v>720079203</v>
      </c>
      <c r="CC34" s="255">
        <f>SUMIFS('1.a sz. Önkormányzat 2022. '!D34:IC34,'1.a sz. Önkormányzat 2022. '!$D$4:$IC$4,"önként vállalt",'1.a sz. Önkormányzat 2022. '!$D$2:$IC$2,"Módosított előirányzat")+SUMIFS(D34:BY34,$D$4:$BY$4,"önként vállalt",$D$2:$BY$2,"Módosított előirányzat")</f>
        <v>741863797</v>
      </c>
      <c r="CD34" s="255">
        <f>SUMIFS('1.a sz. Önkormányzat 2022. '!D34:HY34,'1.a sz. Önkormányzat 2022. '!$D$4:$HY$4,"államigazgatási",'1.a sz. Önkormányzat 2022. '!$D$2:$HY$2,"Eredeti előirányzat")+SUMIFS(D34:BY34,$D$4:$BY$4,"államigazgatási",$D$2:$BY$2,"Eredeti előirányzat")</f>
        <v>0</v>
      </c>
      <c r="CE34" s="255">
        <f>SUMIFS('1.a sz. Önkormányzat 2022. '!D34:HY34,'1.a sz. Önkormányzat 2022. '!$D$4:$HY$4,"államigazgatási",'1.a sz. Önkormányzat 2022. '!$D$2:$HY$2,"Módosított előirányzat")+SUMIFS(D34:BY34,$D$4:$BY$4,"államigazgatási",$D$2:$BY$2,"Módosított előirányzat")</f>
        <v>0</v>
      </c>
      <c r="CF34" s="255">
        <f t="shared" si="0"/>
        <v>720079203</v>
      </c>
      <c r="CG34" s="255">
        <f t="shared" si="1"/>
        <v>741863797</v>
      </c>
      <c r="CH34" s="749">
        <f>+'1.a sz. Önkormányzat 2022. '!HF34</f>
        <v>0</v>
      </c>
      <c r="CI34" s="749">
        <f>+'1.a sz. Önkormányzat 2022. '!HG34</f>
        <v>0</v>
      </c>
    </row>
    <row r="35" spans="1:87" ht="21.75" customHeight="1" x14ac:dyDescent="0.25">
      <c r="A35" s="222" t="s">
        <v>273</v>
      </c>
      <c r="B35" s="228" t="s">
        <v>243</v>
      </c>
      <c r="C35" s="235" t="s">
        <v>220</v>
      </c>
      <c r="D35" s="255"/>
      <c r="E35" s="255"/>
      <c r="F35" s="255"/>
      <c r="G35" s="255"/>
      <c r="H35" s="255"/>
      <c r="I35" s="255"/>
      <c r="J35" s="255"/>
      <c r="K35" s="255"/>
      <c r="L35" s="255"/>
      <c r="M35" s="255"/>
      <c r="N35" s="255"/>
      <c r="O35" s="255"/>
      <c r="P35" s="255"/>
      <c r="Q35" s="255"/>
      <c r="R35" s="225"/>
      <c r="S35" s="225"/>
      <c r="T35" s="255"/>
      <c r="U35" s="255"/>
      <c r="V35" s="255"/>
      <c r="W35" s="255"/>
      <c r="X35" s="255"/>
      <c r="Y35" s="255"/>
      <c r="Z35" s="255"/>
      <c r="AA35" s="255"/>
      <c r="AB35" s="255"/>
      <c r="AC35" s="25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f>SUMIFS('1.a sz. Önkormányzat 2022. '!D35:HY35,'1.a sz. Önkormányzat 2022. '!$D$4:$HY$4,"kötelező",'1.a sz. Önkormányzat 2022. '!$D$2:$HY$2,"Eredeti előirányzat")+SUMIFS(D35:BY35,$D$4:$BY$4,"kötelező",$D$2:$BY$2,"Eredeti előirányzat")</f>
        <v>0</v>
      </c>
      <c r="CA35" s="255">
        <f>SUMIFS('1.a sz. Önkormányzat 2022. '!D35:II35,'1.a sz. Önkormányzat 2022. '!$D$4:$II$4,"kötelező",'1.a sz. Önkormányzat 2022. '!$D$2:$II$2,"Módosított előirányzat")+SUMIFS(D35:BY35,$D$4:$BY$4,"kötelező",$D$2:$BY$2,"Módosított előirányzat")</f>
        <v>0</v>
      </c>
      <c r="CB35" s="255">
        <f>SUMIFS('1.a sz. Önkormányzat 2022. '!D35:IB35,'1.a sz. Önkormányzat 2022. '!$D$4:$IB$4,"önként vállalt",'1.a sz. Önkormányzat 2022. '!$D$2:$IB$2,"Eredeti előirányzat")+SUMIFS(D35:BY35,$D$4:$BY$4,"önként vállalt",$D$2:$BY$2,"Eredeti előirányzat")</f>
        <v>0</v>
      </c>
      <c r="CC35" s="255">
        <f>SUMIFS('1.a sz. Önkormányzat 2022. '!D35:IC35,'1.a sz. Önkormányzat 2022. '!$D$4:$IC$4,"önként vállalt",'1.a sz. Önkormányzat 2022. '!$D$2:$IC$2,"Módosított előirányzat")+SUMIFS(D35:BY35,$D$4:$BY$4,"önként vállalt",$D$2:$BY$2,"Módosított előirányzat")</f>
        <v>0</v>
      </c>
      <c r="CD35" s="255">
        <f>SUMIFS('1.a sz. Önkormányzat 2022. '!D35:HY35,'1.a sz. Önkormányzat 2022. '!$D$4:$HY$4,"államigazgatási",'1.a sz. Önkormányzat 2022. '!$D$2:$HY$2,"Eredeti előirányzat")+SUMIFS(D35:BY35,$D$4:$BY$4,"államigazgatási",$D$2:$BY$2,"Eredeti előirányzat")</f>
        <v>0</v>
      </c>
      <c r="CE35" s="255">
        <f>SUMIFS('1.a sz. Önkormányzat 2022. '!D35:HY35,'1.a sz. Önkormányzat 2022. '!$D$4:$HY$4,"államigazgatási",'1.a sz. Önkormányzat 2022. '!$D$2:$HY$2,"Módosított előirányzat")+SUMIFS(D35:BY35,$D$4:$BY$4,"államigazgatási",$D$2:$BY$2,"Módosított előirányzat")</f>
        <v>0</v>
      </c>
      <c r="CF35" s="255">
        <f t="shared" si="0"/>
        <v>0</v>
      </c>
      <c r="CG35" s="255">
        <f t="shared" si="1"/>
        <v>0</v>
      </c>
      <c r="CH35" s="749">
        <f>+'1.a sz. Önkormányzat 2022. '!HF35</f>
        <v>0</v>
      </c>
      <c r="CI35" s="749">
        <f>+'1.a sz. Önkormányzat 2022. '!HG35</f>
        <v>0</v>
      </c>
    </row>
    <row r="36" spans="1:87" ht="21.75" customHeight="1" x14ac:dyDescent="0.25">
      <c r="A36" s="222" t="s">
        <v>274</v>
      </c>
      <c r="B36" s="228" t="s">
        <v>244</v>
      </c>
      <c r="C36" s="235" t="s">
        <v>221</v>
      </c>
      <c r="D36" s="255"/>
      <c r="E36" s="255"/>
      <c r="F36" s="255"/>
      <c r="G36" s="255"/>
      <c r="H36" s="255"/>
      <c r="I36" s="255"/>
      <c r="J36" s="255"/>
      <c r="K36" s="255"/>
      <c r="L36" s="255"/>
      <c r="M36" s="255"/>
      <c r="N36" s="255"/>
      <c r="O36" s="255"/>
      <c r="P36" s="255"/>
      <c r="Q36" s="255"/>
      <c r="R36" s="225"/>
      <c r="S36" s="225"/>
      <c r="T36" s="255"/>
      <c r="U36" s="255"/>
      <c r="V36" s="255"/>
      <c r="W36" s="255"/>
      <c r="X36" s="255"/>
      <c r="Y36" s="255"/>
      <c r="Z36" s="255"/>
      <c r="AA36" s="255"/>
      <c r="AB36" s="255"/>
      <c r="AC36" s="25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f>SUMIFS('1.a sz. Önkormányzat 2022. '!D36:HY36,'1.a sz. Önkormányzat 2022. '!$D$4:$HY$4,"kötelező",'1.a sz. Önkormányzat 2022. '!$D$2:$HY$2,"Eredeti előirányzat")+SUMIFS(D36:BY36,$D$4:$BY$4,"kötelező",$D$2:$BY$2,"Eredeti előirányzat")</f>
        <v>0</v>
      </c>
      <c r="CA36" s="255">
        <f>SUMIFS('1.a sz. Önkormányzat 2022. '!D36:II36,'1.a sz. Önkormányzat 2022. '!$D$4:$II$4,"kötelező",'1.a sz. Önkormányzat 2022. '!$D$2:$II$2,"Módosított előirányzat")+SUMIFS(D36:BY36,$D$4:$BY$4,"kötelező",$D$2:$BY$2,"Módosított előirányzat")</f>
        <v>0</v>
      </c>
      <c r="CB36" s="255">
        <f>SUMIFS('1.a sz. Önkormányzat 2022. '!D36:IB36,'1.a sz. Önkormányzat 2022. '!$D$4:$IB$4,"önként vállalt",'1.a sz. Önkormányzat 2022. '!$D$2:$IB$2,"Eredeti előirányzat")+SUMIFS(D36:BY36,$D$4:$BY$4,"önként vállalt",$D$2:$BY$2,"Eredeti előirányzat")</f>
        <v>1498800</v>
      </c>
      <c r="CC36" s="255">
        <f>SUMIFS('1.a sz. Önkormányzat 2022. '!D36:IC36,'1.a sz. Önkormányzat 2022. '!$D$4:$IC$4,"önként vállalt",'1.a sz. Önkormányzat 2022. '!$D$2:$IC$2,"Módosított előirányzat")+SUMIFS(D36:BY36,$D$4:$BY$4,"önként vállalt",$D$2:$BY$2,"Módosított előirányzat")</f>
        <v>2489550</v>
      </c>
      <c r="CD36" s="255">
        <f>SUMIFS('1.a sz. Önkormányzat 2022. '!D36:HY36,'1.a sz. Önkormányzat 2022. '!$D$4:$HY$4,"államigazgatási",'1.a sz. Önkormányzat 2022. '!$D$2:$HY$2,"Eredeti előirányzat")+SUMIFS(D36:BY36,$D$4:$BY$4,"államigazgatási",$D$2:$BY$2,"Eredeti előirányzat")</f>
        <v>0</v>
      </c>
      <c r="CE36" s="255">
        <f>SUMIFS('1.a sz. Önkormányzat 2022. '!D36:HY36,'1.a sz. Önkormányzat 2022. '!$D$4:$HY$4,"államigazgatási",'1.a sz. Önkormányzat 2022. '!$D$2:$HY$2,"Módosított előirányzat")+SUMIFS(D36:BY36,$D$4:$BY$4,"államigazgatási",$D$2:$BY$2,"Módosított előirányzat")</f>
        <v>0</v>
      </c>
      <c r="CF36" s="255">
        <f t="shared" si="0"/>
        <v>1498800</v>
      </c>
      <c r="CG36" s="255">
        <f t="shared" si="1"/>
        <v>2489550</v>
      </c>
      <c r="CH36" s="749">
        <f>+'1.a sz. Önkormányzat 2022. '!HF36</f>
        <v>0</v>
      </c>
      <c r="CI36" s="749">
        <f>+'1.a sz. Önkormányzat 2022. '!HG36</f>
        <v>0</v>
      </c>
    </row>
    <row r="37" spans="1:87" s="229" customFormat="1" ht="21.75" customHeight="1" x14ac:dyDescent="0.25">
      <c r="A37" s="222" t="s">
        <v>275</v>
      </c>
      <c r="B37" s="231" t="s">
        <v>245</v>
      </c>
      <c r="C37" s="235" t="s">
        <v>222</v>
      </c>
      <c r="D37" s="254">
        <f>SUM(D30:D36)</f>
        <v>0</v>
      </c>
      <c r="E37" s="254">
        <f t="shared" ref="E37:BV37" si="9">SUM(E30:E36)</f>
        <v>0</v>
      </c>
      <c r="F37" s="254">
        <f t="shared" si="9"/>
        <v>0</v>
      </c>
      <c r="G37" s="254">
        <f t="shared" si="9"/>
        <v>0</v>
      </c>
      <c r="H37" s="254">
        <f t="shared" si="9"/>
        <v>0</v>
      </c>
      <c r="I37" s="254">
        <f t="shared" si="9"/>
        <v>0</v>
      </c>
      <c r="J37" s="254">
        <f t="shared" si="9"/>
        <v>0</v>
      </c>
      <c r="K37" s="254">
        <f t="shared" si="9"/>
        <v>0</v>
      </c>
      <c r="L37" s="254">
        <f t="shared" si="9"/>
        <v>0</v>
      </c>
      <c r="M37" s="254">
        <f t="shared" si="9"/>
        <v>0</v>
      </c>
      <c r="N37" s="254">
        <f t="shared" si="9"/>
        <v>0</v>
      </c>
      <c r="O37" s="254">
        <f t="shared" si="9"/>
        <v>0</v>
      </c>
      <c r="P37" s="254">
        <f t="shared" si="9"/>
        <v>0</v>
      </c>
      <c r="Q37" s="254">
        <f t="shared" si="9"/>
        <v>0</v>
      </c>
      <c r="R37" s="254">
        <f t="shared" si="9"/>
        <v>0</v>
      </c>
      <c r="S37" s="254">
        <f t="shared" si="9"/>
        <v>0</v>
      </c>
      <c r="T37" s="254">
        <f t="shared" si="9"/>
        <v>0</v>
      </c>
      <c r="U37" s="254">
        <f t="shared" si="9"/>
        <v>0</v>
      </c>
      <c r="V37" s="254">
        <f t="shared" si="9"/>
        <v>0</v>
      </c>
      <c r="W37" s="254">
        <f t="shared" si="9"/>
        <v>0</v>
      </c>
      <c r="X37" s="254">
        <f>SUM(X30:X36)</f>
        <v>0</v>
      </c>
      <c r="Y37" s="254">
        <f>SUM(Y30:Y36)</f>
        <v>0</v>
      </c>
      <c r="Z37" s="254">
        <f t="shared" si="9"/>
        <v>0</v>
      </c>
      <c r="AA37" s="254">
        <f t="shared" si="9"/>
        <v>0</v>
      </c>
      <c r="AB37" s="254">
        <f>SUM(AB30:AB36)</f>
        <v>0</v>
      </c>
      <c r="AC37" s="254">
        <f>SUM(AC30:AC36)</f>
        <v>0</v>
      </c>
      <c r="AD37" s="254">
        <f t="shared" si="9"/>
        <v>0</v>
      </c>
      <c r="AE37" s="254">
        <f t="shared" si="9"/>
        <v>0</v>
      </c>
      <c r="AF37" s="254">
        <f t="shared" si="9"/>
        <v>0</v>
      </c>
      <c r="AG37" s="254">
        <f t="shared" si="9"/>
        <v>0</v>
      </c>
      <c r="AH37" s="254">
        <f t="shared" si="9"/>
        <v>0</v>
      </c>
      <c r="AI37" s="254">
        <f t="shared" si="9"/>
        <v>0</v>
      </c>
      <c r="AJ37" s="254">
        <f t="shared" si="9"/>
        <v>0</v>
      </c>
      <c r="AK37" s="254">
        <f t="shared" si="9"/>
        <v>0</v>
      </c>
      <c r="AL37" s="254">
        <f t="shared" si="9"/>
        <v>0</v>
      </c>
      <c r="AM37" s="254">
        <f t="shared" si="9"/>
        <v>0</v>
      </c>
      <c r="AN37" s="254">
        <f t="shared" si="9"/>
        <v>0</v>
      </c>
      <c r="AO37" s="254">
        <f t="shared" si="9"/>
        <v>0</v>
      </c>
      <c r="AP37" s="254">
        <f t="shared" si="9"/>
        <v>0</v>
      </c>
      <c r="AQ37" s="254">
        <f t="shared" si="9"/>
        <v>0</v>
      </c>
      <c r="AR37" s="254">
        <f t="shared" si="9"/>
        <v>0</v>
      </c>
      <c r="AS37" s="254">
        <f t="shared" si="9"/>
        <v>0</v>
      </c>
      <c r="AT37" s="254">
        <f t="shared" si="9"/>
        <v>0</v>
      </c>
      <c r="AU37" s="254">
        <f t="shared" si="9"/>
        <v>0</v>
      </c>
      <c r="AV37" s="254">
        <f t="shared" si="9"/>
        <v>0</v>
      </c>
      <c r="AW37" s="254">
        <f t="shared" si="9"/>
        <v>0</v>
      </c>
      <c r="AX37" s="254">
        <f t="shared" si="9"/>
        <v>0</v>
      </c>
      <c r="AY37" s="254">
        <f t="shared" si="9"/>
        <v>0</v>
      </c>
      <c r="AZ37" s="254">
        <f t="shared" si="9"/>
        <v>0</v>
      </c>
      <c r="BA37" s="254">
        <f t="shared" si="9"/>
        <v>0</v>
      </c>
      <c r="BB37" s="254">
        <f t="shared" si="9"/>
        <v>0</v>
      </c>
      <c r="BC37" s="254">
        <f t="shared" si="9"/>
        <v>0</v>
      </c>
      <c r="BD37" s="254">
        <f t="shared" si="9"/>
        <v>0</v>
      </c>
      <c r="BE37" s="254">
        <f t="shared" si="9"/>
        <v>630000</v>
      </c>
      <c r="BF37" s="254">
        <f t="shared" si="9"/>
        <v>0</v>
      </c>
      <c r="BG37" s="254">
        <f t="shared" si="9"/>
        <v>0</v>
      </c>
      <c r="BH37" s="254">
        <f t="shared" si="9"/>
        <v>0</v>
      </c>
      <c r="BI37" s="254">
        <f t="shared" si="9"/>
        <v>0</v>
      </c>
      <c r="BJ37" s="254">
        <f t="shared" si="9"/>
        <v>2278940</v>
      </c>
      <c r="BK37" s="254">
        <f t="shared" si="9"/>
        <v>2278944</v>
      </c>
      <c r="BL37" s="254">
        <f t="shared" si="9"/>
        <v>0</v>
      </c>
      <c r="BM37" s="254">
        <f t="shared" si="9"/>
        <v>0</v>
      </c>
      <c r="BN37" s="254">
        <f t="shared" si="9"/>
        <v>0</v>
      </c>
      <c r="BO37" s="254">
        <f t="shared" si="9"/>
        <v>32017</v>
      </c>
      <c r="BP37" s="254">
        <f>SUM(BP30:BP36)</f>
        <v>0</v>
      </c>
      <c r="BQ37" s="254">
        <f>SUM(BQ30:BQ36)</f>
        <v>0</v>
      </c>
      <c r="BR37" s="254">
        <f t="shared" si="9"/>
        <v>0</v>
      </c>
      <c r="BS37" s="254">
        <f t="shared" si="9"/>
        <v>123639207</v>
      </c>
      <c r="BT37" s="254">
        <f t="shared" si="9"/>
        <v>3822360000</v>
      </c>
      <c r="BU37" s="254">
        <f t="shared" si="9"/>
        <v>4719186287</v>
      </c>
      <c r="BV37" s="254">
        <f t="shared" si="9"/>
        <v>1732867023</v>
      </c>
      <c r="BW37" s="254">
        <f>SUM(BW30:BW36)</f>
        <v>2374477160</v>
      </c>
      <c r="BX37" s="254">
        <f>SUM(BX30:BX36)</f>
        <v>136416896</v>
      </c>
      <c r="BY37" s="254">
        <f>SUM(BY30:BY36)</f>
        <v>0</v>
      </c>
      <c r="BZ37" s="255">
        <f>SUMIFS('1.a sz. Önkormányzat 2022. '!D37:HY37,'1.a sz. Önkormányzat 2022. '!$D$4:$HY$4,"kötelező",'1.a sz. Önkormányzat 2022. '!$D$2:$HY$2,"Eredeti előirányzat")+SUMIFS(D37:BY37,$D$4:$BY$4,"kötelező",$D$2:$BY$2,"Eredeti előirányzat")</f>
        <v>5928650470</v>
      </c>
      <c r="CA37" s="255">
        <f>SUMIFS('1.a sz. Önkormányzat 2022. '!D37:II37,'1.a sz. Önkormányzat 2022. '!$D$4:$II$4,"kötelező",'1.a sz. Önkormányzat 2022. '!$D$2:$II$2,"Módosított előirányzat")+SUMIFS(D37:BY37,$D$4:$BY$4,"kötelező",$D$2:$BY$2,"Módosított előirányzat")</f>
        <v>7568880769</v>
      </c>
      <c r="CB37" s="255">
        <f>SUMIFS('1.a sz. Önkormányzat 2022. '!D37:IB37,'1.a sz. Önkormányzat 2022. '!$D$4:$IB$4,"önként vállalt",'1.a sz. Önkormányzat 2022. '!$D$2:$IB$2,"Eredeti előirányzat")+SUMIFS(D37:BY37,$D$4:$BY$4,"önként vállalt",$D$2:$BY$2,"Eredeti előirányzat")</f>
        <v>917096374</v>
      </c>
      <c r="CC37" s="255">
        <f>SUMIFS('1.a sz. Önkormányzat 2022. '!D37:IC37,'1.a sz. Önkormányzat 2022. '!$D$4:$IC$4,"önként vállalt",'1.a sz. Önkormányzat 2022. '!$D$2:$IC$2,"Módosított előirányzat")+SUMIFS(D37:BY37,$D$4:$BY$4,"önként vállalt",$D$2:$BY$2,"Módosított előirányzat")</f>
        <v>1083179913</v>
      </c>
      <c r="CD37" s="255">
        <f>SUMIFS('1.a sz. Önkormányzat 2022. '!D37:HY37,'1.a sz. Önkormányzat 2022. '!$D$4:$HY$4,"államigazgatási",'1.a sz. Önkormányzat 2022. '!$D$2:$HY$2,"Eredeti előirányzat")+SUMIFS(D37:BY37,$D$4:$BY$4,"államigazgatási",$D$2:$BY$2,"Eredeti előirányzat")</f>
        <v>0</v>
      </c>
      <c r="CE37" s="255">
        <f>SUMIFS('1.a sz. Önkormányzat 2022. '!D37:HY37,'1.a sz. Önkormányzat 2022. '!$D$4:$HY$4,"államigazgatási",'1.a sz. Önkormányzat 2022. '!$D$2:$HY$2,"Módosított előirányzat")+SUMIFS(D37:BY37,$D$4:$BY$4,"államigazgatási",$D$2:$BY$2,"Módosított előirányzat")</f>
        <v>0</v>
      </c>
      <c r="CF37" s="255">
        <f t="shared" si="0"/>
        <v>6845746844</v>
      </c>
      <c r="CG37" s="255">
        <f t="shared" si="1"/>
        <v>8652060682</v>
      </c>
      <c r="CH37" s="749">
        <f>+'1.a sz. Önkormányzat 2022. '!HF37</f>
        <v>0</v>
      </c>
      <c r="CI37" s="749">
        <f>+'1.a sz. Önkormányzat 2022. '!HG37</f>
        <v>49565206</v>
      </c>
    </row>
    <row r="38" spans="1:87" s="229" customFormat="1" ht="21.75" customHeight="1" x14ac:dyDescent="0.25">
      <c r="A38" s="222" t="s">
        <v>276</v>
      </c>
      <c r="B38" s="235" t="s">
        <v>246</v>
      </c>
      <c r="C38" s="224" t="s">
        <v>224</v>
      </c>
      <c r="D38" s="243">
        <f>SUM(D40:D44)</f>
        <v>0</v>
      </c>
      <c r="E38" s="243">
        <f t="shared" ref="E38:BV38" si="10">SUM(E40:E44)</f>
        <v>0</v>
      </c>
      <c r="F38" s="243">
        <f t="shared" si="10"/>
        <v>0</v>
      </c>
      <c r="G38" s="243">
        <f t="shared" si="10"/>
        <v>0</v>
      </c>
      <c r="H38" s="243">
        <f t="shared" si="10"/>
        <v>0</v>
      </c>
      <c r="I38" s="243">
        <f t="shared" si="10"/>
        <v>0</v>
      </c>
      <c r="J38" s="243">
        <f t="shared" si="10"/>
        <v>0</v>
      </c>
      <c r="K38" s="243">
        <f t="shared" si="10"/>
        <v>0</v>
      </c>
      <c r="L38" s="243">
        <f t="shared" si="10"/>
        <v>0</v>
      </c>
      <c r="M38" s="243">
        <f t="shared" si="10"/>
        <v>0</v>
      </c>
      <c r="N38" s="243">
        <f t="shared" si="10"/>
        <v>0</v>
      </c>
      <c r="O38" s="243">
        <f t="shared" si="10"/>
        <v>0</v>
      </c>
      <c r="P38" s="243">
        <f t="shared" si="10"/>
        <v>0</v>
      </c>
      <c r="Q38" s="243">
        <f t="shared" si="10"/>
        <v>0</v>
      </c>
      <c r="R38" s="243">
        <f t="shared" si="10"/>
        <v>0</v>
      </c>
      <c r="S38" s="243">
        <f t="shared" si="10"/>
        <v>0</v>
      </c>
      <c r="T38" s="243">
        <f t="shared" si="10"/>
        <v>0</v>
      </c>
      <c r="U38" s="243">
        <f t="shared" si="10"/>
        <v>0</v>
      </c>
      <c r="V38" s="243">
        <f t="shared" si="10"/>
        <v>0</v>
      </c>
      <c r="W38" s="243">
        <f t="shared" si="10"/>
        <v>0</v>
      </c>
      <c r="X38" s="243">
        <f>SUM(X40:X44)</f>
        <v>0</v>
      </c>
      <c r="Y38" s="243">
        <f>SUM(Y40:Y44)</f>
        <v>0</v>
      </c>
      <c r="Z38" s="243">
        <f t="shared" si="10"/>
        <v>0</v>
      </c>
      <c r="AA38" s="243">
        <f t="shared" si="10"/>
        <v>0</v>
      </c>
      <c r="AB38" s="243">
        <f>SUM(AB40:AB44)</f>
        <v>0</v>
      </c>
      <c r="AC38" s="243">
        <f>SUM(AC40:AC44)</f>
        <v>0</v>
      </c>
      <c r="AD38" s="243">
        <f t="shared" si="10"/>
        <v>0</v>
      </c>
      <c r="AE38" s="243">
        <f t="shared" si="10"/>
        <v>0</v>
      </c>
      <c r="AF38" s="243">
        <f t="shared" si="10"/>
        <v>0</v>
      </c>
      <c r="AG38" s="243">
        <f t="shared" si="10"/>
        <v>0</v>
      </c>
      <c r="AH38" s="243">
        <f t="shared" si="10"/>
        <v>0</v>
      </c>
      <c r="AI38" s="243">
        <f t="shared" si="10"/>
        <v>0</v>
      </c>
      <c r="AJ38" s="243">
        <f t="shared" si="10"/>
        <v>0</v>
      </c>
      <c r="AK38" s="243">
        <f t="shared" si="10"/>
        <v>0</v>
      </c>
      <c r="AL38" s="243">
        <f t="shared" si="10"/>
        <v>0</v>
      </c>
      <c r="AM38" s="243">
        <f t="shared" si="10"/>
        <v>0</v>
      </c>
      <c r="AN38" s="243">
        <f t="shared" si="10"/>
        <v>0</v>
      </c>
      <c r="AO38" s="243">
        <f t="shared" si="10"/>
        <v>0</v>
      </c>
      <c r="AP38" s="243">
        <f t="shared" si="10"/>
        <v>0</v>
      </c>
      <c r="AQ38" s="243">
        <f t="shared" si="10"/>
        <v>0</v>
      </c>
      <c r="AR38" s="243">
        <f t="shared" si="10"/>
        <v>0</v>
      </c>
      <c r="AS38" s="243">
        <f t="shared" si="10"/>
        <v>0</v>
      </c>
      <c r="AT38" s="243">
        <f t="shared" si="10"/>
        <v>0</v>
      </c>
      <c r="AU38" s="243">
        <f t="shared" si="10"/>
        <v>0</v>
      </c>
      <c r="AV38" s="243">
        <f t="shared" si="10"/>
        <v>0</v>
      </c>
      <c r="AW38" s="243">
        <f t="shared" si="10"/>
        <v>0</v>
      </c>
      <c r="AX38" s="243">
        <f t="shared" si="10"/>
        <v>0</v>
      </c>
      <c r="AY38" s="243">
        <f t="shared" si="10"/>
        <v>0</v>
      </c>
      <c r="AZ38" s="243">
        <f t="shared" si="10"/>
        <v>0</v>
      </c>
      <c r="BA38" s="243">
        <f t="shared" si="10"/>
        <v>0</v>
      </c>
      <c r="BB38" s="243">
        <f t="shared" si="10"/>
        <v>0</v>
      </c>
      <c r="BC38" s="243">
        <f t="shared" si="10"/>
        <v>0</v>
      </c>
      <c r="BD38" s="243">
        <f t="shared" si="10"/>
        <v>0</v>
      </c>
      <c r="BE38" s="243">
        <f t="shared" si="10"/>
        <v>0</v>
      </c>
      <c r="BF38" s="243">
        <f t="shared" si="10"/>
        <v>0</v>
      </c>
      <c r="BG38" s="243">
        <f t="shared" si="10"/>
        <v>0</v>
      </c>
      <c r="BH38" s="243">
        <f t="shared" si="10"/>
        <v>0</v>
      </c>
      <c r="BI38" s="243">
        <f t="shared" si="10"/>
        <v>0</v>
      </c>
      <c r="BJ38" s="243">
        <f t="shared" si="10"/>
        <v>0</v>
      </c>
      <c r="BK38" s="243">
        <f t="shared" si="10"/>
        <v>0</v>
      </c>
      <c r="BL38" s="243">
        <f t="shared" si="10"/>
        <v>0</v>
      </c>
      <c r="BM38" s="243">
        <f t="shared" si="10"/>
        <v>0</v>
      </c>
      <c r="BN38" s="243">
        <f t="shared" si="10"/>
        <v>0</v>
      </c>
      <c r="BO38" s="243">
        <f t="shared" si="10"/>
        <v>0</v>
      </c>
      <c r="BP38" s="243">
        <f>SUM(BP40:BP44)</f>
        <v>0</v>
      </c>
      <c r="BQ38" s="243">
        <f>SUM(BQ40:BQ44)</f>
        <v>0</v>
      </c>
      <c r="BR38" s="243">
        <f t="shared" si="10"/>
        <v>0</v>
      </c>
      <c r="BS38" s="243">
        <f>SUM(BS39:BS44)</f>
        <v>0</v>
      </c>
      <c r="BT38" s="243">
        <f t="shared" si="10"/>
        <v>0</v>
      </c>
      <c r="BU38" s="243">
        <f t="shared" si="10"/>
        <v>0</v>
      </c>
      <c r="BV38" s="243">
        <f t="shared" si="10"/>
        <v>0</v>
      </c>
      <c r="BW38" s="243">
        <f>SUM(BW39:BW44)</f>
        <v>367105047</v>
      </c>
      <c r="BX38" s="243">
        <f>SUM(BX40:BX44)</f>
        <v>0</v>
      </c>
      <c r="BY38" s="243">
        <f>SUM(BY40:BY44)</f>
        <v>0</v>
      </c>
      <c r="BZ38" s="255">
        <f>SUMIFS('1.a sz. Önkormányzat 2022. '!D38:HY38,'1.a sz. Önkormányzat 2022. '!$D$4:$HY$4,"kötelező",'1.a sz. Önkormányzat 2022. '!$D$2:$HY$2,"Eredeti előirányzat")+SUMIFS(D38:BY38,$D$4:$BY$4,"kötelező",$D$2:$BY$2,"Eredeti előirányzat")</f>
        <v>3493957077</v>
      </c>
      <c r="CA38" s="255">
        <f>SUMIFS('1.a sz. Önkormányzat 2022. '!D38:II38,'1.a sz. Önkormányzat 2022. '!$D$4:$II$4,"kötelező",'1.a sz. Önkormányzat 2022. '!$D$2:$II$2,"Módosított előirányzat")+SUMIFS(D38:BY38,$D$4:$BY$4,"kötelező",$D$2:$BY$2,"Módosított előirányzat")</f>
        <v>3971322314</v>
      </c>
      <c r="CB38" s="255">
        <f>SUMIFS('1.a sz. Önkormányzat 2022. '!D38:IB38,'1.a sz. Önkormányzat 2022. '!$D$4:$IB$4,"önként vállalt",'1.a sz. Önkormányzat 2022. '!$D$2:$IB$2,"Eredeti előirányzat")+SUMIFS(D38:BY38,$D$4:$BY$4,"önként vállalt",$D$2:$BY$2,"Eredeti előirányzat")</f>
        <v>0</v>
      </c>
      <c r="CC38" s="255">
        <f>SUMIFS('1.a sz. Önkormányzat 2022. '!D38:IC38,'1.a sz. Önkormányzat 2022. '!$D$4:$IC$4,"önként vállalt",'1.a sz. Önkormányzat 2022. '!$D$2:$IC$2,"Módosított előirányzat")+SUMIFS(D38:BY38,$D$4:$BY$4,"önként vállalt",$D$2:$BY$2,"Módosított előirányzat")</f>
        <v>0</v>
      </c>
      <c r="CD38" s="255">
        <f>SUMIFS('1.a sz. Önkormányzat 2022. '!D38:HY38,'1.a sz. Önkormányzat 2022. '!$D$4:$HY$4,"államigazgatási",'1.a sz. Önkormányzat 2022. '!$D$2:$HY$2,"Eredeti előirányzat")+SUMIFS(D38:BY38,$D$4:$BY$4,"államigazgatási",$D$2:$BY$2,"Eredeti előirányzat")</f>
        <v>0</v>
      </c>
      <c r="CE38" s="255">
        <f>SUMIFS('1.a sz. Önkormányzat 2022. '!D38:HY38,'1.a sz. Önkormányzat 2022. '!$D$4:$HY$4,"államigazgatási",'1.a sz. Önkormányzat 2022. '!$D$2:$HY$2,"Módosított előirányzat")+SUMIFS(D38:BY38,$D$4:$BY$4,"államigazgatási",$D$2:$BY$2,"Módosított előirányzat")</f>
        <v>0</v>
      </c>
      <c r="CF38" s="255">
        <f t="shared" si="0"/>
        <v>3493957077</v>
      </c>
      <c r="CG38" s="255">
        <f t="shared" si="1"/>
        <v>3971322314</v>
      </c>
      <c r="CH38" s="749">
        <f>+'1.a sz. Önkormányzat 2022. '!HF38</f>
        <v>0</v>
      </c>
      <c r="CI38" s="749">
        <f>+'1.a sz. Önkormányzat 2022. '!HG38</f>
        <v>0</v>
      </c>
    </row>
    <row r="39" spans="1:87" s="229" customFormat="1" ht="21.75" customHeight="1" x14ac:dyDescent="0.25">
      <c r="A39" s="222" t="s">
        <v>277</v>
      </c>
      <c r="B39" s="236" t="s">
        <v>582</v>
      </c>
      <c r="C39" s="224"/>
      <c r="D39" s="243"/>
      <c r="E39" s="243"/>
      <c r="F39" s="243"/>
      <c r="G39" s="243"/>
      <c r="H39" s="243"/>
      <c r="I39" s="243"/>
      <c r="J39" s="243"/>
      <c r="K39" s="243"/>
      <c r="L39" s="243"/>
      <c r="M39" s="243"/>
      <c r="N39" s="243"/>
      <c r="O39" s="243"/>
      <c r="P39" s="243"/>
      <c r="Q39" s="243"/>
      <c r="R39" s="274"/>
      <c r="S39" s="274"/>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c r="BM39" s="243"/>
      <c r="BN39" s="243"/>
      <c r="BO39" s="243"/>
      <c r="BP39" s="243"/>
      <c r="BQ39" s="243"/>
      <c r="BR39" s="243"/>
      <c r="BS39" s="243">
        <f>44181211+8420273+15009215-67610699</f>
        <v>0</v>
      </c>
      <c r="BT39" s="243"/>
      <c r="BU39" s="243"/>
      <c r="BV39" s="243"/>
      <c r="BW39" s="243">
        <f>67610699+33373175+19202276+41633326+17158949+6855049+2125451+107109604+72036518</f>
        <v>367105047</v>
      </c>
      <c r="BX39" s="243"/>
      <c r="BY39" s="243"/>
      <c r="BZ39" s="255">
        <f>SUMIFS('1.a sz. Önkormányzat 2022. '!D39:HY39,'1.a sz. Önkormányzat 2022. '!$D$4:$HY$4,"kötelező",'1.a sz. Önkormányzat 2022. '!$D$2:$HY$2,"Eredeti előirányzat")+SUMIFS(D39:BY39,$D$4:$BY$4,"kötelező",$D$2:$BY$2,"Eredeti előirányzat")</f>
        <v>0</v>
      </c>
      <c r="CA39" s="255">
        <f>SUMIFS('1.a sz. Önkormányzat 2022. '!D39:II39,'1.a sz. Önkormányzat 2022. '!$D$4:$II$4,"kötelező",'1.a sz. Önkormányzat 2022. '!$D$2:$II$2,"Módosított előirányzat")+SUMIFS(D39:BY39,$D$4:$BY$4,"kötelező",$D$2:$BY$2,"Módosított előirányzat")</f>
        <v>367105047</v>
      </c>
      <c r="CB39" s="255">
        <f>SUMIFS('1.a sz. Önkormányzat 2022. '!D39:IB39,'1.a sz. Önkormányzat 2022. '!$D$4:$IB$4,"önként vállalt",'1.a sz. Önkormányzat 2022. '!$D$2:$IB$2,"Eredeti előirányzat")+SUMIFS(D39:BY39,$D$4:$BY$4,"önként vállalt",$D$2:$BY$2,"Eredeti előirányzat")</f>
        <v>0</v>
      </c>
      <c r="CC39" s="255">
        <f>SUMIFS('1.a sz. Önkormányzat 2022. '!D39:IC39,'1.a sz. Önkormányzat 2022. '!$D$4:$IC$4,"önként vállalt",'1.a sz. Önkormányzat 2022. '!$D$2:$IC$2,"Módosított előirányzat")+SUMIFS(D39:BY39,$D$4:$BY$4,"önként vállalt",$D$2:$BY$2,"Módosított előirányzat")</f>
        <v>0</v>
      </c>
      <c r="CD39" s="255">
        <f>SUMIFS('1.a sz. Önkormányzat 2022. '!D39:HY39,'1.a sz. Önkormányzat 2022. '!$D$4:$HY$4,"államigazgatási",'1.a sz. Önkormányzat 2022. '!$D$2:$HY$2,"Eredeti előirányzat")+SUMIFS(D39:BY39,$D$4:$BY$4,"államigazgatási",$D$2:$BY$2,"Eredeti előirányzat")</f>
        <v>0</v>
      </c>
      <c r="CE39" s="255">
        <f>SUMIFS('1.a sz. Önkormányzat 2022. '!D39:HY39,'1.a sz. Önkormányzat 2022. '!$D$4:$HY$4,"államigazgatási",'1.a sz. Önkormányzat 2022. '!$D$2:$HY$2,"Módosított előirányzat")+SUMIFS(D39:BY39,$D$4:$BY$4,"államigazgatási",$D$2:$BY$2,"Módosított előirányzat")</f>
        <v>0</v>
      </c>
      <c r="CF39" s="255">
        <f t="shared" si="0"/>
        <v>0</v>
      </c>
      <c r="CG39" s="255">
        <f t="shared" si="1"/>
        <v>367105047</v>
      </c>
      <c r="CH39" s="749">
        <f>+'1.a sz. Önkormányzat 2022. '!HF39</f>
        <v>0</v>
      </c>
      <c r="CI39" s="749">
        <f>+'1.a sz. Önkormányzat 2022. '!HG39</f>
        <v>0</v>
      </c>
    </row>
    <row r="40" spans="1:87" s="237" customFormat="1" ht="21.75" customHeight="1" x14ac:dyDescent="0.25">
      <c r="A40" s="222" t="s">
        <v>278</v>
      </c>
      <c r="B40" s="236" t="s">
        <v>882</v>
      </c>
      <c r="C40" s="233"/>
      <c r="D40" s="264"/>
      <c r="E40" s="264"/>
      <c r="F40" s="264"/>
      <c r="G40" s="264"/>
      <c r="H40" s="264"/>
      <c r="I40" s="264"/>
      <c r="J40" s="264"/>
      <c r="K40" s="264"/>
      <c r="L40" s="264"/>
      <c r="M40" s="264"/>
      <c r="N40" s="264"/>
      <c r="O40" s="264"/>
      <c r="P40" s="264"/>
      <c r="Q40" s="264"/>
      <c r="R40" s="384"/>
      <c r="S40" s="384"/>
      <c r="T40" s="264"/>
      <c r="U40" s="264"/>
      <c r="V40" s="264"/>
      <c r="W40" s="264"/>
      <c r="X40" s="264"/>
      <c r="Y40" s="264"/>
      <c r="Z40" s="264"/>
      <c r="AA40" s="264"/>
      <c r="AB40" s="264"/>
      <c r="AC40" s="264"/>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55">
        <f>SUMIFS('1.a sz. Önkormányzat 2022. '!D40:HY40,'1.a sz. Önkormányzat 2022. '!$D$4:$HY$4,"kötelező",'1.a sz. Önkormányzat 2022. '!$D$2:$HY$2,"Eredeti előirányzat")+SUMIFS(D40:BY40,$D$4:$BY$4,"kötelező",$D$2:$BY$2,"Eredeti előirányzat")</f>
        <v>2234951046</v>
      </c>
      <c r="CA40" s="255">
        <f>SUMIFS('1.a sz. Önkormányzat 2022. '!D40:II40,'1.a sz. Önkormányzat 2022. '!$D$4:$II$4,"kötelező",'1.a sz. Önkormányzat 2022. '!$D$2:$II$2,"Módosított előirányzat")+SUMIFS(D40:BY40,$D$4:$BY$4,"kötelező",$D$2:$BY$2,"Módosított előirányzat")</f>
        <v>2234951046</v>
      </c>
      <c r="CB40" s="255">
        <f>SUMIFS('1.a sz. Önkormányzat 2022. '!D40:IB40,'1.a sz. Önkormányzat 2022. '!$D$4:$IB$4,"önként vállalt",'1.a sz. Önkormányzat 2022. '!$D$2:$IB$2,"Eredeti előirányzat")+SUMIFS(D40:BY40,$D$4:$BY$4,"önként vállalt",$D$2:$BY$2,"Eredeti előirányzat")</f>
        <v>0</v>
      </c>
      <c r="CC40" s="255">
        <f>SUMIFS('1.a sz. Önkormányzat 2022. '!D40:IC40,'1.a sz. Önkormányzat 2022. '!$D$4:$IC$4,"önként vállalt",'1.a sz. Önkormányzat 2022. '!$D$2:$IC$2,"Módosított előirányzat")+SUMIFS(D40:BY40,$D$4:$BY$4,"önként vállalt",$D$2:$BY$2,"Módosított előirányzat")</f>
        <v>0</v>
      </c>
      <c r="CD40" s="255">
        <f>SUMIFS('1.a sz. Önkormányzat 2022. '!D40:HY40,'1.a sz. Önkormányzat 2022. '!$D$4:$HY$4,"államigazgatási",'1.a sz. Önkormányzat 2022. '!$D$2:$HY$2,"Eredeti előirányzat")+SUMIFS(D40:BY40,$D$4:$BY$4,"államigazgatási",$D$2:$BY$2,"Eredeti előirányzat")</f>
        <v>0</v>
      </c>
      <c r="CE40" s="255">
        <f>SUMIFS('1.a sz. Önkormányzat 2022. '!D40:HY40,'1.a sz. Önkormányzat 2022. '!$D$4:$HY$4,"államigazgatási",'1.a sz. Önkormányzat 2022. '!$D$2:$HY$2,"Módosított előirányzat")+SUMIFS(D40:BY40,$D$4:$BY$4,"államigazgatási",$D$2:$BY$2,"Módosított előirányzat")</f>
        <v>0</v>
      </c>
      <c r="CF40" s="255">
        <f t="shared" si="0"/>
        <v>2234951046</v>
      </c>
      <c r="CG40" s="255">
        <f t="shared" si="1"/>
        <v>2234951046</v>
      </c>
      <c r="CH40" s="749">
        <f>+'1.a sz. Önkormányzat 2022. '!HF40</f>
        <v>0</v>
      </c>
      <c r="CI40" s="749">
        <f>+'1.a sz. Önkormányzat 2022. '!HG40</f>
        <v>0</v>
      </c>
    </row>
    <row r="41" spans="1:87" s="237" customFormat="1" ht="21.75" customHeight="1" x14ac:dyDescent="0.25">
      <c r="A41" s="222" t="s">
        <v>282</v>
      </c>
      <c r="B41" s="236" t="s">
        <v>883</v>
      </c>
      <c r="C41" s="233"/>
      <c r="D41" s="264"/>
      <c r="E41" s="264"/>
      <c r="F41" s="264"/>
      <c r="G41" s="264"/>
      <c r="H41" s="264"/>
      <c r="I41" s="264"/>
      <c r="J41" s="264"/>
      <c r="K41" s="264"/>
      <c r="L41" s="264"/>
      <c r="M41" s="264"/>
      <c r="N41" s="264"/>
      <c r="O41" s="264"/>
      <c r="P41" s="264"/>
      <c r="Q41" s="264"/>
      <c r="R41" s="384"/>
      <c r="S41" s="384"/>
      <c r="T41" s="264"/>
      <c r="U41" s="264"/>
      <c r="V41" s="264"/>
      <c r="W41" s="264"/>
      <c r="X41" s="264"/>
      <c r="Y41" s="264"/>
      <c r="Z41" s="264"/>
      <c r="AA41" s="264"/>
      <c r="AB41" s="264"/>
      <c r="AC41" s="264"/>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55">
        <f>SUMIFS('1.a sz. Önkormányzat 2022. '!D41:HY41,'1.a sz. Önkormányzat 2022. '!$D$4:$HY$4,"kötelező",'1.a sz. Önkormányzat 2022. '!$D$2:$HY$2,"Eredeti előirányzat")+SUMIFS(D41:BY41,$D$4:$BY$4,"kötelező",$D$2:$BY$2,"Eredeti előirányzat")</f>
        <v>1259006031</v>
      </c>
      <c r="CA41" s="255">
        <f>SUMIFS('1.a sz. Önkormányzat 2022. '!D41:II41,'1.a sz. Önkormányzat 2022. '!$D$4:$II$4,"kötelező",'1.a sz. Önkormányzat 2022. '!$D$2:$II$2,"Módosított előirányzat")+SUMIFS(D41:BY41,$D$4:$BY$4,"kötelező",$D$2:$BY$2,"Módosított előirányzat")</f>
        <v>1369266221</v>
      </c>
      <c r="CB41" s="255">
        <f>SUMIFS('1.a sz. Önkormányzat 2022. '!D41:IB41,'1.a sz. Önkormányzat 2022. '!$D$4:$IB$4,"önként vállalt",'1.a sz. Önkormányzat 2022. '!$D$2:$IB$2,"Eredeti előirányzat")+SUMIFS(D41:BY41,$D$4:$BY$4,"önként vállalt",$D$2:$BY$2,"Eredeti előirányzat")</f>
        <v>0</v>
      </c>
      <c r="CC41" s="255">
        <f>SUMIFS('1.a sz. Önkormányzat 2022. '!D41:IC41,'1.a sz. Önkormányzat 2022. '!$D$4:$IC$4,"önként vállalt",'1.a sz. Önkormányzat 2022. '!$D$2:$IC$2,"Módosított előirányzat")+SUMIFS(D41:BY41,$D$4:$BY$4,"önként vállalt",$D$2:$BY$2,"Módosított előirányzat")</f>
        <v>0</v>
      </c>
      <c r="CD41" s="255">
        <f>SUMIFS('1.a sz. Önkormányzat 2022. '!D41:HY41,'1.a sz. Önkormányzat 2022. '!$D$4:$HY$4,"államigazgatási",'1.a sz. Önkormányzat 2022. '!$D$2:$HY$2,"Eredeti előirányzat")+SUMIFS(D41:BY41,$D$4:$BY$4,"államigazgatási",$D$2:$BY$2,"Eredeti előirányzat")</f>
        <v>0</v>
      </c>
      <c r="CE41" s="255">
        <f>SUMIFS('1.a sz. Önkormányzat 2022. '!D41:HY41,'1.a sz. Önkormányzat 2022. '!$D$4:$HY$4,"államigazgatási",'1.a sz. Önkormányzat 2022. '!$D$2:$HY$2,"Módosított előirányzat")+SUMIFS(D41:BY41,$D$4:$BY$4,"államigazgatási",$D$2:$BY$2,"Módosított előirányzat")</f>
        <v>0</v>
      </c>
      <c r="CF41" s="255">
        <f t="shared" si="0"/>
        <v>1259006031</v>
      </c>
      <c r="CG41" s="255">
        <f t="shared" si="1"/>
        <v>1369266221</v>
      </c>
      <c r="CH41" s="749">
        <f>+'1.a sz. Önkormányzat 2022. '!HF41</f>
        <v>0</v>
      </c>
      <c r="CI41" s="749">
        <f>+'1.a sz. Önkormányzat 2022. '!HG41</f>
        <v>0</v>
      </c>
    </row>
    <row r="42" spans="1:87" s="237" customFormat="1" ht="21.75" customHeight="1" x14ac:dyDescent="0.25">
      <c r="A42" s="222" t="s">
        <v>283</v>
      </c>
      <c r="B42" s="236" t="s">
        <v>554</v>
      </c>
      <c r="C42" s="233"/>
      <c r="D42" s="264"/>
      <c r="E42" s="264"/>
      <c r="F42" s="264"/>
      <c r="G42" s="264"/>
      <c r="H42" s="264"/>
      <c r="I42" s="264"/>
      <c r="J42" s="264"/>
      <c r="K42" s="264"/>
      <c r="L42" s="264"/>
      <c r="M42" s="264"/>
      <c r="N42" s="264"/>
      <c r="O42" s="264"/>
      <c r="P42" s="264"/>
      <c r="Q42" s="264"/>
      <c r="R42" s="384"/>
      <c r="S42" s="384"/>
      <c r="T42" s="264"/>
      <c r="U42" s="264"/>
      <c r="V42" s="264"/>
      <c r="W42" s="264"/>
      <c r="X42" s="264"/>
      <c r="Y42" s="264"/>
      <c r="Z42" s="264"/>
      <c r="AA42" s="264"/>
      <c r="AB42" s="264"/>
      <c r="AC42" s="264"/>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55">
        <f>SUMIFS('1.a sz. Önkormányzat 2022. '!D42:HY42,'1.a sz. Önkormányzat 2022. '!$D$4:$HY$4,"kötelező",'1.a sz. Önkormányzat 2022. '!$D$2:$HY$2,"Eredeti előirányzat")+SUMIFS(D42:BY42,$D$4:$BY$4,"kötelező",$D$2:$BY$2,"Eredeti előirányzat")</f>
        <v>0</v>
      </c>
      <c r="CA42" s="255">
        <f>SUMIFS('1.a sz. Önkormányzat 2022. '!D42:II42,'1.a sz. Önkormányzat 2022. '!$D$4:$II$4,"kötelező",'1.a sz. Önkormányzat 2022. '!$D$2:$II$2,"Módosított előirányzat")+SUMIFS(D42:BY42,$D$4:$BY$4,"kötelező",$D$2:$BY$2,"Módosított előirányzat")</f>
        <v>0</v>
      </c>
      <c r="CB42" s="255">
        <f>SUMIFS('1.a sz. Önkormányzat 2022. '!D42:IB42,'1.a sz. Önkormányzat 2022. '!$D$4:$IB$4,"önként vállalt",'1.a sz. Önkormányzat 2022. '!$D$2:$IB$2,"Eredeti előirányzat")+SUMIFS(D42:BY42,$D$4:$BY$4,"önként vállalt",$D$2:$BY$2,"Eredeti előirányzat")</f>
        <v>0</v>
      </c>
      <c r="CC42" s="255">
        <f>SUMIFS('1.a sz. Önkormányzat 2022. '!D42:IC42,'1.a sz. Önkormányzat 2022. '!$D$4:$IC$4,"önként vállalt",'1.a sz. Önkormányzat 2022. '!$D$2:$IC$2,"Módosított előirányzat")+SUMIFS(D42:BY42,$D$4:$BY$4,"önként vállalt",$D$2:$BY$2,"Módosított előirányzat")</f>
        <v>0</v>
      </c>
      <c r="CD42" s="255">
        <f>SUMIFS('1.a sz. Önkormányzat 2022. '!D42:HY42,'1.a sz. Önkormányzat 2022. '!$D$4:$HY$4,"államigazgatási",'1.a sz. Önkormányzat 2022. '!$D$2:$HY$2,"Eredeti előirányzat")+SUMIFS(D42:BY42,$D$4:$BY$4,"államigazgatási",$D$2:$BY$2,"Eredeti előirányzat")</f>
        <v>0</v>
      </c>
      <c r="CE42" s="255">
        <f>SUMIFS('1.a sz. Önkormányzat 2022. '!D42:HY42,'1.a sz. Önkormányzat 2022. '!$D$4:$HY$4,"államigazgatási",'1.a sz. Önkormányzat 2022. '!$D$2:$HY$2,"Módosított előirányzat")+SUMIFS(D42:BY42,$D$4:$BY$4,"államigazgatási",$D$2:$BY$2,"Módosított előirányzat")</f>
        <v>0</v>
      </c>
      <c r="CF42" s="255">
        <f t="shared" si="0"/>
        <v>0</v>
      </c>
      <c r="CG42" s="255">
        <f t="shared" si="1"/>
        <v>0</v>
      </c>
      <c r="CH42" s="749">
        <f>+'1.a sz. Önkormányzat 2022. '!HF42</f>
        <v>0</v>
      </c>
      <c r="CI42" s="749">
        <f>+'1.a sz. Önkormányzat 2022. '!HG42</f>
        <v>0</v>
      </c>
    </row>
    <row r="43" spans="1:87" s="237" customFormat="1" ht="21.75" customHeight="1" x14ac:dyDescent="0.25">
      <c r="A43" s="222" t="s">
        <v>284</v>
      </c>
      <c r="B43" s="236" t="s">
        <v>555</v>
      </c>
      <c r="C43" s="233"/>
      <c r="D43" s="264"/>
      <c r="E43" s="264"/>
      <c r="F43" s="264"/>
      <c r="G43" s="264"/>
      <c r="H43" s="264"/>
      <c r="I43" s="264"/>
      <c r="J43" s="264"/>
      <c r="K43" s="264"/>
      <c r="L43" s="264"/>
      <c r="M43" s="264"/>
      <c r="N43" s="264"/>
      <c r="O43" s="264"/>
      <c r="P43" s="264"/>
      <c r="Q43" s="264"/>
      <c r="R43" s="384"/>
      <c r="S43" s="384"/>
      <c r="T43" s="264"/>
      <c r="U43" s="264"/>
      <c r="V43" s="264"/>
      <c r="W43" s="264"/>
      <c r="X43" s="264"/>
      <c r="Y43" s="264"/>
      <c r="Z43" s="264"/>
      <c r="AA43" s="264"/>
      <c r="AB43" s="264"/>
      <c r="AC43" s="264"/>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64"/>
      <c r="BA43" s="264"/>
      <c r="BB43" s="264"/>
      <c r="BC43" s="264"/>
      <c r="BD43" s="264"/>
      <c r="BE43" s="264"/>
      <c r="BF43" s="264"/>
      <c r="BG43" s="264"/>
      <c r="BH43" s="264"/>
      <c r="BI43" s="264"/>
      <c r="BJ43" s="264"/>
      <c r="BK43" s="264"/>
      <c r="BL43" s="264"/>
      <c r="BM43" s="264"/>
      <c r="BN43" s="264"/>
      <c r="BO43" s="264"/>
      <c r="BP43" s="264"/>
      <c r="BQ43" s="264"/>
      <c r="BR43" s="264"/>
      <c r="BS43" s="264"/>
      <c r="BT43" s="264"/>
      <c r="BU43" s="264"/>
      <c r="BV43" s="264"/>
      <c r="BW43" s="264"/>
      <c r="BX43" s="264"/>
      <c r="BY43" s="264"/>
      <c r="BZ43" s="255">
        <f>SUMIFS('1.a sz. Önkormányzat 2022. '!D43:HY43,'1.a sz. Önkormányzat 2022. '!$D$4:$HY$4,"kötelező",'1.a sz. Önkormányzat 2022. '!$D$2:$HY$2,"Eredeti előirányzat")+SUMIFS(D43:BY43,$D$4:$BY$4,"kötelező",$D$2:$BY$2,"Eredeti előirányzat")</f>
        <v>0</v>
      </c>
      <c r="CA43" s="255">
        <f>SUMIFS('1.a sz. Önkormányzat 2022. '!D43:II43,'1.a sz. Önkormányzat 2022. '!$D$4:$II$4,"kötelező",'1.a sz. Önkormányzat 2022. '!$D$2:$II$2,"Módosított előirányzat")+SUMIFS(D43:BY43,$D$4:$BY$4,"kötelező",$D$2:$BY$2,"Módosított előirányzat")</f>
        <v>0</v>
      </c>
      <c r="CB43" s="255">
        <f>SUMIFS('1.a sz. Önkormányzat 2022. '!D43:IB43,'1.a sz. Önkormányzat 2022. '!$D$4:$IB$4,"önként vállalt",'1.a sz. Önkormányzat 2022. '!$D$2:$IB$2,"Eredeti előirányzat")+SUMIFS(D43:BY43,$D$4:$BY$4,"önként vállalt",$D$2:$BY$2,"Eredeti előirányzat")</f>
        <v>0</v>
      </c>
      <c r="CC43" s="255">
        <f>SUMIFS('1.a sz. Önkormányzat 2022. '!D43:IC43,'1.a sz. Önkormányzat 2022. '!$D$4:$IC$4,"önként vállalt",'1.a sz. Önkormányzat 2022. '!$D$2:$IC$2,"Módosított előirányzat")+SUMIFS(D43:BY43,$D$4:$BY$4,"önként vállalt",$D$2:$BY$2,"Módosított előirányzat")</f>
        <v>0</v>
      </c>
      <c r="CD43" s="255">
        <f>SUMIFS('1.a sz. Önkormányzat 2022. '!D43:HY43,'1.a sz. Önkormányzat 2022. '!$D$4:$HY$4,"államigazgatási",'1.a sz. Önkormányzat 2022. '!$D$2:$HY$2,"Eredeti előirányzat")+SUMIFS(D43:BY43,$D$4:$BY$4,"államigazgatási",$D$2:$BY$2,"Eredeti előirányzat")</f>
        <v>0</v>
      </c>
      <c r="CE43" s="255">
        <f>SUMIFS('1.a sz. Önkormányzat 2022. '!D43:HY43,'1.a sz. Önkormányzat 2022. '!$D$4:$HY$4,"államigazgatási",'1.a sz. Önkormányzat 2022. '!$D$2:$HY$2,"Módosított előirányzat")+SUMIFS(D43:BY43,$D$4:$BY$4,"államigazgatási",$D$2:$BY$2,"Módosított előirányzat")</f>
        <v>0</v>
      </c>
      <c r="CF43" s="255">
        <f t="shared" si="0"/>
        <v>0</v>
      </c>
      <c r="CG43" s="255">
        <f t="shared" si="1"/>
        <v>0</v>
      </c>
      <c r="CH43" s="749">
        <f>+'1.a sz. Önkormányzat 2022. '!HF43</f>
        <v>0</v>
      </c>
      <c r="CI43" s="749">
        <f>+'1.a sz. Önkormányzat 2022. '!HG43</f>
        <v>0</v>
      </c>
    </row>
    <row r="44" spans="1:87" s="237" customFormat="1" ht="21.75" customHeight="1" x14ac:dyDescent="0.25">
      <c r="A44" s="222" t="s">
        <v>285</v>
      </c>
      <c r="B44" s="236" t="s">
        <v>592</v>
      </c>
      <c r="C44" s="233"/>
      <c r="D44" s="264"/>
      <c r="E44" s="264"/>
      <c r="F44" s="264"/>
      <c r="G44" s="264"/>
      <c r="H44" s="264"/>
      <c r="I44" s="264"/>
      <c r="J44" s="264"/>
      <c r="K44" s="264"/>
      <c r="L44" s="264"/>
      <c r="M44" s="264"/>
      <c r="N44" s="264"/>
      <c r="O44" s="264"/>
      <c r="P44" s="264"/>
      <c r="Q44" s="264"/>
      <c r="R44" s="384"/>
      <c r="S44" s="384"/>
      <c r="T44" s="264"/>
      <c r="U44" s="264"/>
      <c r="V44" s="264"/>
      <c r="W44" s="264"/>
      <c r="X44" s="264"/>
      <c r="Y44" s="264"/>
      <c r="Z44" s="264"/>
      <c r="AA44" s="264"/>
      <c r="AB44" s="264"/>
      <c r="AC44" s="264"/>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55">
        <f>SUMIFS('1.a sz. Önkormányzat 2022. '!D44:HY44,'1.a sz. Önkormányzat 2022. '!$D$4:$HY$4,"kötelező",'1.a sz. Önkormányzat 2022. '!$D$2:$HY$2,"Eredeti előirányzat")+SUMIFS(D44:BY44,$D$4:$BY$4,"kötelező",$D$2:$BY$2,"Eredeti előirányzat")</f>
        <v>0</v>
      </c>
      <c r="CA44" s="255">
        <f>SUMIFS('1.a sz. Önkormányzat 2022. '!D44:II44,'1.a sz. Önkormányzat 2022. '!$D$4:$II$4,"kötelező",'1.a sz. Önkormányzat 2022. '!$D$2:$II$2,"Módosított előirányzat")+SUMIFS(D44:BY44,$D$4:$BY$4,"kötelező",$D$2:$BY$2,"Módosított előirányzat")</f>
        <v>0</v>
      </c>
      <c r="CB44" s="255">
        <f>SUMIFS('1.a sz. Önkormányzat 2022. '!D44:IB44,'1.a sz. Önkormányzat 2022. '!$D$4:$IB$4,"önként vállalt",'1.a sz. Önkormányzat 2022. '!$D$2:$IB$2,"Eredeti előirányzat")+SUMIFS(D44:BY44,$D$4:$BY$4,"önként vállalt",$D$2:$BY$2,"Eredeti előirányzat")</f>
        <v>0</v>
      </c>
      <c r="CC44" s="255">
        <f>SUMIFS('1.a sz. Önkormányzat 2022. '!D44:IC44,'1.a sz. Önkormányzat 2022. '!$D$4:$IC$4,"önként vállalt",'1.a sz. Önkormányzat 2022. '!$D$2:$IC$2,"Módosított előirányzat")+SUMIFS(D44:BY44,$D$4:$BY$4,"önként vállalt",$D$2:$BY$2,"Módosított előirányzat")</f>
        <v>0</v>
      </c>
      <c r="CD44" s="255">
        <f>SUMIFS('1.a sz. Önkormányzat 2022. '!D44:HY44,'1.a sz. Önkormányzat 2022. '!$D$4:$HY$4,"államigazgatási",'1.a sz. Önkormányzat 2022. '!$D$2:$HY$2,"Eredeti előirányzat")+SUMIFS(D44:BY44,$D$4:$BY$4,"államigazgatási",$D$2:$BY$2,"Eredeti előirányzat")</f>
        <v>0</v>
      </c>
      <c r="CE44" s="255">
        <f>SUMIFS('1.a sz. Önkormányzat 2022. '!D44:HY44,'1.a sz. Önkormányzat 2022. '!$D$4:$HY$4,"államigazgatási",'1.a sz. Önkormányzat 2022. '!$D$2:$HY$2,"Módosított előirányzat")+SUMIFS(D44:BY44,$D$4:$BY$4,"államigazgatási",$D$2:$BY$2,"Módosított előirányzat")</f>
        <v>0</v>
      </c>
      <c r="CF44" s="255">
        <f t="shared" si="0"/>
        <v>0</v>
      </c>
      <c r="CG44" s="255">
        <f t="shared" si="1"/>
        <v>0</v>
      </c>
      <c r="CH44" s="749">
        <f>+'1.a sz. Önkormányzat 2022. '!HF44</f>
        <v>0</v>
      </c>
      <c r="CI44" s="749">
        <f>+'1.a sz. Önkormányzat 2022. '!HG44</f>
        <v>0</v>
      </c>
    </row>
    <row r="45" spans="1:87" s="237" customFormat="1" ht="21.75" customHeight="1" x14ac:dyDescent="0.25">
      <c r="A45" s="222" t="s">
        <v>286</v>
      </c>
      <c r="B45" s="236" t="s">
        <v>846</v>
      </c>
      <c r="C45" s="233"/>
      <c r="D45" s="264"/>
      <c r="E45" s="264"/>
      <c r="F45" s="264"/>
      <c r="G45" s="264"/>
      <c r="H45" s="264"/>
      <c r="I45" s="264"/>
      <c r="J45" s="264"/>
      <c r="K45" s="264"/>
      <c r="L45" s="264"/>
      <c r="M45" s="264"/>
      <c r="N45" s="264"/>
      <c r="O45" s="264"/>
      <c r="P45" s="264"/>
      <c r="Q45" s="264"/>
      <c r="R45" s="384"/>
      <c r="S45" s="384"/>
      <c r="T45" s="264"/>
      <c r="U45" s="264"/>
      <c r="V45" s="264"/>
      <c r="W45" s="264"/>
      <c r="X45" s="264"/>
      <c r="Y45" s="264"/>
      <c r="Z45" s="264"/>
      <c r="AA45" s="264"/>
      <c r="AB45" s="264"/>
      <c r="AC45" s="264"/>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264"/>
      <c r="BZ45" s="255">
        <f>SUMIFS('1.a sz. Önkormányzat 2022. '!D45:HY45,'1.a sz. Önkormányzat 2022. '!$D$4:$HY$4,"kötelező",'1.a sz. Önkormányzat 2022. '!$D$2:$HY$2,"Eredeti előirányzat")+SUMIFS(D45:BY45,$D$4:$BY$4,"kötelező",$D$2:$BY$2,"Eredeti előirányzat")</f>
        <v>0</v>
      </c>
      <c r="CA45" s="255">
        <f>SUMIFS('1.a sz. Önkormányzat 2022. '!D45:II45,'1.a sz. Önkormányzat 2022. '!$D$4:$II$4,"kötelező",'1.a sz. Önkormányzat 2022. '!$D$2:$II$2,"Módosított előirányzat")+SUMIFS(D45:BY45,$D$4:$BY$4,"kötelező",$D$2:$BY$2,"Módosított előirányzat")</f>
        <v>0</v>
      </c>
      <c r="CB45" s="255">
        <f>SUMIFS('1.a sz. Önkormányzat 2022. '!D45:IB45,'1.a sz. Önkormányzat 2022. '!$D$4:$IB$4,"önként vállalt",'1.a sz. Önkormányzat 2022. '!$D$2:$IB$2,"Eredeti előirányzat")+SUMIFS(D45:BY45,$D$4:$BY$4,"önként vállalt",$D$2:$BY$2,"Eredeti előirányzat")</f>
        <v>0</v>
      </c>
      <c r="CC45" s="255">
        <f>SUMIFS('1.a sz. Önkormányzat 2022. '!D45:IC45,'1.a sz. Önkormányzat 2022. '!$D$4:$IC$4,"önként vállalt",'1.a sz. Önkormányzat 2022. '!$D$2:$IC$2,"Módosított előirányzat")+SUMIFS(D45:BY45,$D$4:$BY$4,"önként vállalt",$D$2:$BY$2,"Módosított előirányzat")</f>
        <v>0</v>
      </c>
      <c r="CD45" s="255">
        <f>SUMIFS('1.a sz. Önkormányzat 2022. '!D45:HY45,'1.a sz. Önkormányzat 2022. '!$D$4:$HY$4,"államigazgatási",'1.a sz. Önkormányzat 2022. '!$D$2:$HY$2,"Eredeti előirányzat")+SUMIFS(D45:BY45,$D$4:$BY$4,"államigazgatási",$D$2:$BY$2,"Eredeti előirányzat")</f>
        <v>0</v>
      </c>
      <c r="CE45" s="255">
        <f>SUMIFS('1.a sz. Önkormányzat 2022. '!D45:HY45,'1.a sz. Önkormányzat 2022. '!$D$4:$HY$4,"államigazgatási",'1.a sz. Önkormányzat 2022. '!$D$2:$HY$2,"Módosított előirányzat")+SUMIFS(D45:BY45,$D$4:$BY$4,"államigazgatási",$D$2:$BY$2,"Módosított előirányzat")</f>
        <v>0</v>
      </c>
      <c r="CF45" s="255">
        <f t="shared" si="0"/>
        <v>0</v>
      </c>
      <c r="CG45" s="255">
        <f t="shared" si="1"/>
        <v>0</v>
      </c>
      <c r="CH45" s="749">
        <f>+'1.a sz. Önkormányzat 2022. '!HF45</f>
        <v>0</v>
      </c>
      <c r="CI45" s="749">
        <f>+'1.a sz. Önkormányzat 2022. '!HG45</f>
        <v>0</v>
      </c>
    </row>
    <row r="46" spans="1:87" s="229" customFormat="1" ht="21.75" customHeight="1" x14ac:dyDescent="0.25">
      <c r="A46" s="222" t="s">
        <v>287</v>
      </c>
      <c r="B46" s="238" t="s">
        <v>112</v>
      </c>
      <c r="C46" s="224"/>
      <c r="D46" s="243">
        <f>+D30+D32+D33+D35+D40+D42+D45</f>
        <v>0</v>
      </c>
      <c r="E46" s="243">
        <f t="shared" ref="E46:BR46" si="11">+E30+E32+E33+E35+E40+E42+E45</f>
        <v>0</v>
      </c>
      <c r="F46" s="243">
        <f t="shared" si="11"/>
        <v>0</v>
      </c>
      <c r="G46" s="243">
        <f t="shared" si="11"/>
        <v>0</v>
      </c>
      <c r="H46" s="243">
        <f t="shared" si="11"/>
        <v>0</v>
      </c>
      <c r="I46" s="243">
        <f t="shared" si="11"/>
        <v>0</v>
      </c>
      <c r="J46" s="243">
        <f t="shared" si="11"/>
        <v>0</v>
      </c>
      <c r="K46" s="243">
        <f t="shared" si="11"/>
        <v>0</v>
      </c>
      <c r="L46" s="243">
        <f t="shared" si="11"/>
        <v>0</v>
      </c>
      <c r="M46" s="243">
        <f t="shared" si="11"/>
        <v>0</v>
      </c>
      <c r="N46" s="243">
        <f t="shared" si="11"/>
        <v>0</v>
      </c>
      <c r="O46" s="243">
        <f t="shared" si="11"/>
        <v>0</v>
      </c>
      <c r="P46" s="243">
        <f t="shared" si="11"/>
        <v>0</v>
      </c>
      <c r="Q46" s="243">
        <f t="shared" si="11"/>
        <v>0</v>
      </c>
      <c r="R46" s="243">
        <f t="shared" si="11"/>
        <v>0</v>
      </c>
      <c r="S46" s="243">
        <f t="shared" si="11"/>
        <v>0</v>
      </c>
      <c r="T46" s="243">
        <f t="shared" si="11"/>
        <v>0</v>
      </c>
      <c r="U46" s="243">
        <f t="shared" si="11"/>
        <v>0</v>
      </c>
      <c r="V46" s="243">
        <f t="shared" si="11"/>
        <v>0</v>
      </c>
      <c r="W46" s="243">
        <f t="shared" si="11"/>
        <v>0</v>
      </c>
      <c r="X46" s="243">
        <f>+X30+X32+X33+X35+X40+X42+X45</f>
        <v>0</v>
      </c>
      <c r="Y46" s="243">
        <f>+Y30+Y32+Y33+Y35+Y40+Y42+Y45</f>
        <v>0</v>
      </c>
      <c r="Z46" s="243">
        <f t="shared" si="11"/>
        <v>0</v>
      </c>
      <c r="AA46" s="243">
        <f t="shared" si="11"/>
        <v>0</v>
      </c>
      <c r="AB46" s="243">
        <f>+AB30+AB32+AB33+AB35+AB40+AB42+AB45</f>
        <v>0</v>
      </c>
      <c r="AC46" s="243">
        <f>+AC30+AC32+AC33+AC35+AC40+AC42+AC45</f>
        <v>0</v>
      </c>
      <c r="AD46" s="243">
        <f t="shared" si="11"/>
        <v>0</v>
      </c>
      <c r="AE46" s="243">
        <f t="shared" si="11"/>
        <v>0</v>
      </c>
      <c r="AF46" s="243">
        <f t="shared" si="11"/>
        <v>0</v>
      </c>
      <c r="AG46" s="243">
        <f t="shared" si="11"/>
        <v>0</v>
      </c>
      <c r="AH46" s="243">
        <f t="shared" si="11"/>
        <v>0</v>
      </c>
      <c r="AI46" s="243">
        <f t="shared" si="11"/>
        <v>0</v>
      </c>
      <c r="AJ46" s="243">
        <f t="shared" si="11"/>
        <v>0</v>
      </c>
      <c r="AK46" s="243">
        <f t="shared" si="11"/>
        <v>0</v>
      </c>
      <c r="AL46" s="243">
        <f t="shared" si="11"/>
        <v>0</v>
      </c>
      <c r="AM46" s="243">
        <f t="shared" si="11"/>
        <v>0</v>
      </c>
      <c r="AN46" s="243">
        <f t="shared" si="11"/>
        <v>0</v>
      </c>
      <c r="AO46" s="243">
        <f t="shared" si="11"/>
        <v>0</v>
      </c>
      <c r="AP46" s="243">
        <f t="shared" si="11"/>
        <v>0</v>
      </c>
      <c r="AQ46" s="243">
        <f t="shared" si="11"/>
        <v>0</v>
      </c>
      <c r="AR46" s="243">
        <f t="shared" si="11"/>
        <v>0</v>
      </c>
      <c r="AS46" s="243">
        <f t="shared" si="11"/>
        <v>0</v>
      </c>
      <c r="AT46" s="243">
        <f t="shared" si="11"/>
        <v>0</v>
      </c>
      <c r="AU46" s="243">
        <f t="shared" si="11"/>
        <v>0</v>
      </c>
      <c r="AV46" s="243">
        <f t="shared" si="11"/>
        <v>0</v>
      </c>
      <c r="AW46" s="243">
        <f t="shared" si="11"/>
        <v>0</v>
      </c>
      <c r="AX46" s="243">
        <f t="shared" si="11"/>
        <v>0</v>
      </c>
      <c r="AY46" s="243">
        <f t="shared" si="11"/>
        <v>0</v>
      </c>
      <c r="AZ46" s="243">
        <f t="shared" si="11"/>
        <v>0</v>
      </c>
      <c r="BA46" s="243">
        <f t="shared" si="11"/>
        <v>0</v>
      </c>
      <c r="BB46" s="243">
        <f t="shared" si="11"/>
        <v>0</v>
      </c>
      <c r="BC46" s="243">
        <f t="shared" si="11"/>
        <v>0</v>
      </c>
      <c r="BD46" s="243">
        <f t="shared" si="11"/>
        <v>0</v>
      </c>
      <c r="BE46" s="243">
        <f t="shared" si="11"/>
        <v>630000</v>
      </c>
      <c r="BF46" s="243">
        <f t="shared" si="11"/>
        <v>0</v>
      </c>
      <c r="BG46" s="243">
        <f t="shared" si="11"/>
        <v>0</v>
      </c>
      <c r="BH46" s="243">
        <f t="shared" si="11"/>
        <v>0</v>
      </c>
      <c r="BI46" s="243">
        <f t="shared" si="11"/>
        <v>0</v>
      </c>
      <c r="BJ46" s="243">
        <f t="shared" si="11"/>
        <v>2278940</v>
      </c>
      <c r="BK46" s="243">
        <f t="shared" si="11"/>
        <v>2278944</v>
      </c>
      <c r="BL46" s="243">
        <f t="shared" si="11"/>
        <v>0</v>
      </c>
      <c r="BM46" s="243">
        <f t="shared" si="11"/>
        <v>0</v>
      </c>
      <c r="BN46" s="243">
        <f t="shared" si="11"/>
        <v>0</v>
      </c>
      <c r="BO46" s="243">
        <f t="shared" si="11"/>
        <v>32017</v>
      </c>
      <c r="BP46" s="243">
        <f>+BP30+BP32+BP33+BP35+BP40+BP42+BP45</f>
        <v>0</v>
      </c>
      <c r="BQ46" s="243">
        <f>+BQ30+BQ32+BQ33+BQ35+BQ40+BQ42+BQ45</f>
        <v>0</v>
      </c>
      <c r="BR46" s="243">
        <f t="shared" si="11"/>
        <v>0</v>
      </c>
      <c r="BS46" s="243">
        <f>+BS30+BS32+BS33+BS35+BS40+BS42+BS45+BS39</f>
        <v>123639207</v>
      </c>
      <c r="BT46" s="243">
        <f>+BT30+BT32+BT33+BT35+BT40+BT42+BT45</f>
        <v>3822360000</v>
      </c>
      <c r="BU46" s="243">
        <f>+BU30+BU32+BU33+BU35+BU40+BU42+BU45</f>
        <v>4719186287</v>
      </c>
      <c r="BV46" s="243">
        <f>+BV30+BV32+BV33+BV35+BV40+BV42+BV45</f>
        <v>1732867023</v>
      </c>
      <c r="BW46" s="243">
        <f>+BW30+BW32+BW33+BW35+BW40+BW42+BW45+BW39</f>
        <v>2741582207</v>
      </c>
      <c r="BX46" s="243">
        <f>+BX30+BX32+BX33+BX35+BX40+BX42+BX45</f>
        <v>136416896</v>
      </c>
      <c r="BY46" s="243">
        <f>+BY30+BY32+BY33+BY35+BY40+BY42+BY45</f>
        <v>0</v>
      </c>
      <c r="BZ46" s="255">
        <f>SUMIFS('1.a sz. Önkormányzat 2022. '!D46:HY46,'1.a sz. Önkormányzat 2022. '!$D$4:$HY$4,"kötelező",'1.a sz. Önkormányzat 2022. '!$D$2:$HY$2,"Eredeti előirányzat")+SUMIFS(D46:BY46,$D$4:$BY$4,"kötelező",$D$2:$BY$2,"Eredeti előirányzat")</f>
        <v>8163601516</v>
      </c>
      <c r="CA46" s="255">
        <f>SUMIFS('1.a sz. Önkormányzat 2022. '!D46:II46,'1.a sz. Önkormányzat 2022. '!$D$4:$II$4,"kötelező",'1.a sz. Önkormányzat 2022. '!$D$2:$II$2,"Módosított előirányzat")+SUMIFS(D46:BY46,$D$4:$BY$4,"kötelező",$D$2:$BY$2,"Módosított előirányzat")</f>
        <v>10116681653</v>
      </c>
      <c r="CB46" s="255">
        <f>SUMIFS('1.a sz. Önkormányzat 2022. '!D46:IB46,'1.a sz. Önkormányzat 2022. '!$D$4:$IB$4,"önként vállalt",'1.a sz. Önkormányzat 2022. '!$D$2:$IB$2,"Eredeti előirányzat")+SUMIFS(D46:BY46,$D$4:$BY$4,"önként vállalt",$D$2:$BY$2,"Eredeti előirányzat")</f>
        <v>195518371</v>
      </c>
      <c r="CC46" s="255">
        <f>SUMIFS('1.a sz. Önkormányzat 2022. '!D46:IC46,'1.a sz. Önkormányzat 2022. '!$D$4:$IC$4,"önként vállalt",'1.a sz. Önkormányzat 2022. '!$D$2:$IC$2,"Módosított előirányzat")+SUMIFS(D46:BY46,$D$4:$BY$4,"önként vállalt",$D$2:$BY$2,"Módosított előirányzat")</f>
        <v>338826566</v>
      </c>
      <c r="CD46" s="255">
        <f>SUMIFS('1.a sz. Önkormányzat 2022. '!D46:HY46,'1.a sz. Önkormányzat 2022. '!$D$4:$HY$4,"államigazgatási",'1.a sz. Önkormányzat 2022. '!$D$2:$HY$2,"Eredeti előirányzat")+SUMIFS(D46:BY46,$D$4:$BY$4,"államigazgatási",$D$2:$BY$2,"Eredeti előirányzat")</f>
        <v>0</v>
      </c>
      <c r="CE46" s="255">
        <f>SUMIFS('1.a sz. Önkormányzat 2022. '!D46:HY46,'1.a sz. Önkormányzat 2022. '!$D$4:$HY$4,"államigazgatási",'1.a sz. Önkormányzat 2022. '!$D$2:$HY$2,"Módosított előirányzat")+SUMIFS(D46:BY46,$D$4:$BY$4,"államigazgatási",$D$2:$BY$2,"Módosított előirányzat")</f>
        <v>0</v>
      </c>
      <c r="CF46" s="255">
        <f t="shared" si="0"/>
        <v>8359119887</v>
      </c>
      <c r="CG46" s="255">
        <f t="shared" si="1"/>
        <v>10455508219</v>
      </c>
      <c r="CH46" s="749">
        <f>+'1.a sz. Önkormányzat 2022. '!HF46</f>
        <v>0</v>
      </c>
      <c r="CI46" s="749">
        <f>+'1.a sz. Önkormányzat 2022. '!HG46</f>
        <v>0</v>
      </c>
    </row>
    <row r="47" spans="1:87" s="229" customFormat="1" ht="21.75" customHeight="1" x14ac:dyDescent="0.25">
      <c r="A47" s="222" t="s">
        <v>288</v>
      </c>
      <c r="B47" s="238" t="s">
        <v>113</v>
      </c>
      <c r="C47" s="224"/>
      <c r="D47" s="243">
        <f>+D31+D34+D36+D41+D43+D44</f>
        <v>0</v>
      </c>
      <c r="E47" s="243">
        <f t="shared" ref="E47:BV47" si="12">+E31+E34+E36+E41+E43+E44</f>
        <v>0</v>
      </c>
      <c r="F47" s="243">
        <f t="shared" si="12"/>
        <v>0</v>
      </c>
      <c r="G47" s="243">
        <f t="shared" si="12"/>
        <v>0</v>
      </c>
      <c r="H47" s="243">
        <f t="shared" si="12"/>
        <v>0</v>
      </c>
      <c r="I47" s="243">
        <f t="shared" si="12"/>
        <v>0</v>
      </c>
      <c r="J47" s="243">
        <f t="shared" si="12"/>
        <v>0</v>
      </c>
      <c r="K47" s="243">
        <f t="shared" si="12"/>
        <v>0</v>
      </c>
      <c r="L47" s="243">
        <f t="shared" si="12"/>
        <v>0</v>
      </c>
      <c r="M47" s="243">
        <f t="shared" si="12"/>
        <v>0</v>
      </c>
      <c r="N47" s="243">
        <f t="shared" si="12"/>
        <v>0</v>
      </c>
      <c r="O47" s="243">
        <f t="shared" si="12"/>
        <v>0</v>
      </c>
      <c r="P47" s="243">
        <f t="shared" si="12"/>
        <v>0</v>
      </c>
      <c r="Q47" s="243">
        <f t="shared" si="12"/>
        <v>0</v>
      </c>
      <c r="R47" s="243">
        <f t="shared" si="12"/>
        <v>0</v>
      </c>
      <c r="S47" s="243">
        <f t="shared" si="12"/>
        <v>0</v>
      </c>
      <c r="T47" s="243">
        <f t="shared" si="12"/>
        <v>0</v>
      </c>
      <c r="U47" s="243">
        <f t="shared" si="12"/>
        <v>0</v>
      </c>
      <c r="V47" s="243">
        <f t="shared" si="12"/>
        <v>0</v>
      </c>
      <c r="W47" s="243">
        <f t="shared" si="12"/>
        <v>0</v>
      </c>
      <c r="X47" s="243">
        <f>+X31+X34+X36+X41+X43+X44</f>
        <v>0</v>
      </c>
      <c r="Y47" s="243">
        <f>+Y31+Y34+Y36+Y41+Y43+Y44</f>
        <v>0</v>
      </c>
      <c r="Z47" s="243">
        <f t="shared" si="12"/>
        <v>0</v>
      </c>
      <c r="AA47" s="243">
        <f t="shared" si="12"/>
        <v>0</v>
      </c>
      <c r="AB47" s="243">
        <f>+AB31+AB34+AB36+AB41+AB43+AB44</f>
        <v>0</v>
      </c>
      <c r="AC47" s="243">
        <f>+AC31+AC34+AC36+AC41+AC43+AC44</f>
        <v>0</v>
      </c>
      <c r="AD47" s="243">
        <f t="shared" si="12"/>
        <v>0</v>
      </c>
      <c r="AE47" s="243">
        <f t="shared" si="12"/>
        <v>0</v>
      </c>
      <c r="AF47" s="243">
        <f t="shared" si="12"/>
        <v>0</v>
      </c>
      <c r="AG47" s="243">
        <f t="shared" si="12"/>
        <v>0</v>
      </c>
      <c r="AH47" s="243">
        <f t="shared" si="12"/>
        <v>0</v>
      </c>
      <c r="AI47" s="243">
        <f t="shared" si="12"/>
        <v>0</v>
      </c>
      <c r="AJ47" s="243">
        <f t="shared" si="12"/>
        <v>0</v>
      </c>
      <c r="AK47" s="243">
        <f t="shared" si="12"/>
        <v>0</v>
      </c>
      <c r="AL47" s="243">
        <f t="shared" si="12"/>
        <v>0</v>
      </c>
      <c r="AM47" s="243">
        <f t="shared" si="12"/>
        <v>0</v>
      </c>
      <c r="AN47" s="243">
        <f t="shared" si="12"/>
        <v>0</v>
      </c>
      <c r="AO47" s="243">
        <f t="shared" si="12"/>
        <v>0</v>
      </c>
      <c r="AP47" s="243">
        <f t="shared" si="12"/>
        <v>0</v>
      </c>
      <c r="AQ47" s="243">
        <f t="shared" si="12"/>
        <v>0</v>
      </c>
      <c r="AR47" s="243">
        <f t="shared" si="12"/>
        <v>0</v>
      </c>
      <c r="AS47" s="243">
        <f t="shared" si="12"/>
        <v>0</v>
      </c>
      <c r="AT47" s="243">
        <f t="shared" si="12"/>
        <v>0</v>
      </c>
      <c r="AU47" s="243">
        <f t="shared" si="12"/>
        <v>0</v>
      </c>
      <c r="AV47" s="243">
        <f t="shared" si="12"/>
        <v>0</v>
      </c>
      <c r="AW47" s="243">
        <f t="shared" si="12"/>
        <v>0</v>
      </c>
      <c r="AX47" s="243">
        <f t="shared" si="12"/>
        <v>0</v>
      </c>
      <c r="AY47" s="243">
        <f t="shared" si="12"/>
        <v>0</v>
      </c>
      <c r="AZ47" s="243">
        <f t="shared" si="12"/>
        <v>0</v>
      </c>
      <c r="BA47" s="243">
        <f t="shared" si="12"/>
        <v>0</v>
      </c>
      <c r="BB47" s="243">
        <f t="shared" si="12"/>
        <v>0</v>
      </c>
      <c r="BC47" s="243">
        <f t="shared" si="12"/>
        <v>0</v>
      </c>
      <c r="BD47" s="243">
        <f t="shared" si="12"/>
        <v>0</v>
      </c>
      <c r="BE47" s="243">
        <f t="shared" si="12"/>
        <v>0</v>
      </c>
      <c r="BF47" s="243">
        <f t="shared" si="12"/>
        <v>0</v>
      </c>
      <c r="BG47" s="243">
        <f t="shared" si="12"/>
        <v>0</v>
      </c>
      <c r="BH47" s="243">
        <f t="shared" si="12"/>
        <v>0</v>
      </c>
      <c r="BI47" s="243">
        <f t="shared" si="12"/>
        <v>0</v>
      </c>
      <c r="BJ47" s="243">
        <f t="shared" si="12"/>
        <v>0</v>
      </c>
      <c r="BK47" s="243">
        <f t="shared" si="12"/>
        <v>0</v>
      </c>
      <c r="BL47" s="243">
        <f t="shared" si="12"/>
        <v>0</v>
      </c>
      <c r="BM47" s="243">
        <f t="shared" si="12"/>
        <v>0</v>
      </c>
      <c r="BN47" s="243">
        <f t="shared" si="12"/>
        <v>0</v>
      </c>
      <c r="BO47" s="243">
        <f t="shared" si="12"/>
        <v>0</v>
      </c>
      <c r="BP47" s="243">
        <f>+BP31+BP34+BP36+BP41+BP43+BP44</f>
        <v>0</v>
      </c>
      <c r="BQ47" s="243">
        <f>+BQ31+BQ34+BQ36+BQ41+BQ43+BQ44</f>
        <v>0</v>
      </c>
      <c r="BR47" s="243">
        <f t="shared" si="12"/>
        <v>0</v>
      </c>
      <c r="BS47" s="243">
        <f t="shared" si="12"/>
        <v>0</v>
      </c>
      <c r="BT47" s="243">
        <f t="shared" si="12"/>
        <v>0</v>
      </c>
      <c r="BU47" s="243">
        <f t="shared" si="12"/>
        <v>0</v>
      </c>
      <c r="BV47" s="243">
        <f t="shared" si="12"/>
        <v>0</v>
      </c>
      <c r="BW47" s="243">
        <f>+BW31+BW34+BW36+BW41+BW43+BW44</f>
        <v>0</v>
      </c>
      <c r="BX47" s="243">
        <f>+BX31+BX34+BX36+BX41+BX43+BX44</f>
        <v>0</v>
      </c>
      <c r="BY47" s="243">
        <f>+BY31+BY34+BY36+BY41+BY43+BY44</f>
        <v>0</v>
      </c>
      <c r="BZ47" s="255">
        <f>SUMIFS('1.a sz. Önkormányzat 2022. '!D47:HY47,'1.a sz. Önkormányzat 2022. '!$D$4:$HY$4,"kötelező",'1.a sz. Önkormányzat 2022. '!$D$2:$HY$2,"Eredeti előirányzat")+SUMIFS(D47:BY47,$D$4:$BY$4,"kötelező",$D$2:$BY$2,"Eredeti előirányzat")</f>
        <v>1259006031</v>
      </c>
      <c r="CA47" s="255">
        <f>SUMIFS('1.a sz. Önkormányzat 2022. '!D47:II47,'1.a sz. Önkormányzat 2022. '!$D$4:$II$4,"kötelező",'1.a sz. Önkormányzat 2022. '!$D$2:$II$2,"Módosított előirányzat")+SUMIFS(D47:BY47,$D$4:$BY$4,"kötelező",$D$2:$BY$2,"Módosított előirányzat")</f>
        <v>1423521430</v>
      </c>
      <c r="CB47" s="255">
        <f>SUMIFS('1.a sz. Önkormányzat 2022. '!D47:IB47,'1.a sz. Önkormányzat 2022. '!$D$4:$IB$4,"önként vállalt",'1.a sz. Önkormányzat 2022. '!$D$2:$IB$2,"Eredeti előirányzat")+SUMIFS(D47:BY47,$D$4:$BY$4,"önként vállalt",$D$2:$BY$2,"Eredeti előirányzat")</f>
        <v>721578003</v>
      </c>
      <c r="CC47" s="255">
        <f>SUMIFS('1.a sz. Önkormányzat 2022. '!D47:IC47,'1.a sz. Önkormányzat 2022. '!$D$4:$IC$4,"önként vállalt",'1.a sz. Önkormányzat 2022. '!$D$2:$IC$2,"Módosított előirányzat")+SUMIFS(D47:BY47,$D$4:$BY$4,"önként vállalt",$D$2:$BY$2,"Módosított előirányzat")</f>
        <v>744353347</v>
      </c>
      <c r="CD47" s="255">
        <f>SUMIFS('1.a sz. Önkormányzat 2022. '!D47:HY47,'1.a sz. Önkormányzat 2022. '!$D$4:$HY$4,"államigazgatási",'1.a sz. Önkormányzat 2022. '!$D$2:$HY$2,"Eredeti előirányzat")+SUMIFS(D47:BY47,$D$4:$BY$4,"államigazgatási",$D$2:$BY$2,"Eredeti előirányzat")</f>
        <v>0</v>
      </c>
      <c r="CE47" s="255">
        <f>SUMIFS('1.a sz. Önkormányzat 2022. '!D47:HY47,'1.a sz. Önkormányzat 2022. '!$D$4:$HY$4,"államigazgatási",'1.a sz. Önkormányzat 2022. '!$D$2:$HY$2,"Módosított előirányzat")+SUMIFS(D47:BY47,$D$4:$BY$4,"államigazgatási",$D$2:$BY$2,"Módosított előirányzat")</f>
        <v>0</v>
      </c>
      <c r="CF47" s="255">
        <f t="shared" si="0"/>
        <v>1980584034</v>
      </c>
      <c r="CG47" s="255">
        <f t="shared" si="1"/>
        <v>2167874777</v>
      </c>
      <c r="CH47" s="749">
        <f>+'1.a sz. Önkormányzat 2022. '!HF47</f>
        <v>0</v>
      </c>
      <c r="CI47" s="749">
        <f>+'1.a sz. Önkormányzat 2022. '!HG47</f>
        <v>49565206</v>
      </c>
    </row>
    <row r="48" spans="1:87" s="229" customFormat="1" ht="21.75" customHeight="1" x14ac:dyDescent="0.25">
      <c r="A48" s="222" t="s">
        <v>289</v>
      </c>
      <c r="B48" s="238" t="s">
        <v>334</v>
      </c>
      <c r="C48" s="224"/>
      <c r="D48" s="256">
        <f>+D46+D47</f>
        <v>0</v>
      </c>
      <c r="E48" s="256">
        <f t="shared" ref="E48:BV48" si="13">+E46+E47</f>
        <v>0</v>
      </c>
      <c r="F48" s="256">
        <f t="shared" si="13"/>
        <v>0</v>
      </c>
      <c r="G48" s="256">
        <f t="shared" si="13"/>
        <v>0</v>
      </c>
      <c r="H48" s="256">
        <f t="shared" si="13"/>
        <v>0</v>
      </c>
      <c r="I48" s="256">
        <f t="shared" si="13"/>
        <v>0</v>
      </c>
      <c r="J48" s="256">
        <f t="shared" si="13"/>
        <v>0</v>
      </c>
      <c r="K48" s="256">
        <f t="shared" si="13"/>
        <v>0</v>
      </c>
      <c r="L48" s="256">
        <f t="shared" si="13"/>
        <v>0</v>
      </c>
      <c r="M48" s="256">
        <f t="shared" si="13"/>
        <v>0</v>
      </c>
      <c r="N48" s="256">
        <f t="shared" si="13"/>
        <v>0</v>
      </c>
      <c r="O48" s="256">
        <f t="shared" si="13"/>
        <v>0</v>
      </c>
      <c r="P48" s="256">
        <f t="shared" si="13"/>
        <v>0</v>
      </c>
      <c r="Q48" s="256">
        <f t="shared" si="13"/>
        <v>0</v>
      </c>
      <c r="R48" s="256">
        <f t="shared" si="13"/>
        <v>0</v>
      </c>
      <c r="S48" s="256">
        <f t="shared" si="13"/>
        <v>0</v>
      </c>
      <c r="T48" s="256">
        <f t="shared" si="13"/>
        <v>0</v>
      </c>
      <c r="U48" s="256">
        <f t="shared" si="13"/>
        <v>0</v>
      </c>
      <c r="V48" s="256">
        <f t="shared" si="13"/>
        <v>0</v>
      </c>
      <c r="W48" s="256">
        <f t="shared" si="13"/>
        <v>0</v>
      </c>
      <c r="X48" s="256">
        <f>+X46+X47</f>
        <v>0</v>
      </c>
      <c r="Y48" s="256">
        <f>+Y46+Y47</f>
        <v>0</v>
      </c>
      <c r="Z48" s="256">
        <f t="shared" si="13"/>
        <v>0</v>
      </c>
      <c r="AA48" s="256">
        <f t="shared" si="13"/>
        <v>0</v>
      </c>
      <c r="AB48" s="256">
        <f>+AB46+AB47</f>
        <v>0</v>
      </c>
      <c r="AC48" s="256">
        <f>+AC46+AC47</f>
        <v>0</v>
      </c>
      <c r="AD48" s="256">
        <f t="shared" si="13"/>
        <v>0</v>
      </c>
      <c r="AE48" s="256">
        <f t="shared" si="13"/>
        <v>0</v>
      </c>
      <c r="AF48" s="256">
        <f t="shared" si="13"/>
        <v>0</v>
      </c>
      <c r="AG48" s="256">
        <f t="shared" si="13"/>
        <v>0</v>
      </c>
      <c r="AH48" s="256">
        <f t="shared" si="13"/>
        <v>0</v>
      </c>
      <c r="AI48" s="256">
        <f t="shared" si="13"/>
        <v>0</v>
      </c>
      <c r="AJ48" s="256">
        <f t="shared" si="13"/>
        <v>0</v>
      </c>
      <c r="AK48" s="256">
        <f t="shared" si="13"/>
        <v>0</v>
      </c>
      <c r="AL48" s="256">
        <f t="shared" si="13"/>
        <v>0</v>
      </c>
      <c r="AM48" s="256">
        <f t="shared" si="13"/>
        <v>0</v>
      </c>
      <c r="AN48" s="256">
        <f t="shared" si="13"/>
        <v>0</v>
      </c>
      <c r="AO48" s="256">
        <f t="shared" si="13"/>
        <v>0</v>
      </c>
      <c r="AP48" s="256">
        <f t="shared" si="13"/>
        <v>0</v>
      </c>
      <c r="AQ48" s="256">
        <f t="shared" si="13"/>
        <v>0</v>
      </c>
      <c r="AR48" s="256">
        <f t="shared" si="13"/>
        <v>0</v>
      </c>
      <c r="AS48" s="256">
        <f t="shared" si="13"/>
        <v>0</v>
      </c>
      <c r="AT48" s="256">
        <f t="shared" si="13"/>
        <v>0</v>
      </c>
      <c r="AU48" s="256">
        <f t="shared" si="13"/>
        <v>0</v>
      </c>
      <c r="AV48" s="256">
        <f t="shared" si="13"/>
        <v>0</v>
      </c>
      <c r="AW48" s="256">
        <f t="shared" si="13"/>
        <v>0</v>
      </c>
      <c r="AX48" s="256">
        <f t="shared" si="13"/>
        <v>0</v>
      </c>
      <c r="AY48" s="256">
        <f t="shared" si="13"/>
        <v>0</v>
      </c>
      <c r="AZ48" s="256">
        <f t="shared" si="13"/>
        <v>0</v>
      </c>
      <c r="BA48" s="256">
        <f t="shared" si="13"/>
        <v>0</v>
      </c>
      <c r="BB48" s="256">
        <f t="shared" si="13"/>
        <v>0</v>
      </c>
      <c r="BC48" s="256">
        <f t="shared" si="13"/>
        <v>0</v>
      </c>
      <c r="BD48" s="256">
        <f t="shared" si="13"/>
        <v>0</v>
      </c>
      <c r="BE48" s="256">
        <f t="shared" si="13"/>
        <v>630000</v>
      </c>
      <c r="BF48" s="256">
        <f t="shared" si="13"/>
        <v>0</v>
      </c>
      <c r="BG48" s="256">
        <f t="shared" si="13"/>
        <v>0</v>
      </c>
      <c r="BH48" s="256">
        <f t="shared" si="13"/>
        <v>0</v>
      </c>
      <c r="BI48" s="256">
        <f t="shared" si="13"/>
        <v>0</v>
      </c>
      <c r="BJ48" s="256">
        <f t="shared" si="13"/>
        <v>2278940</v>
      </c>
      <c r="BK48" s="256">
        <f t="shared" si="13"/>
        <v>2278944</v>
      </c>
      <c r="BL48" s="256">
        <f t="shared" si="13"/>
        <v>0</v>
      </c>
      <c r="BM48" s="256">
        <f t="shared" si="13"/>
        <v>0</v>
      </c>
      <c r="BN48" s="256">
        <f t="shared" si="13"/>
        <v>0</v>
      </c>
      <c r="BO48" s="256">
        <f t="shared" si="13"/>
        <v>32017</v>
      </c>
      <c r="BP48" s="256">
        <f>+BP46+BP47</f>
        <v>0</v>
      </c>
      <c r="BQ48" s="256">
        <f>+BQ46+BQ47</f>
        <v>0</v>
      </c>
      <c r="BR48" s="256">
        <f t="shared" si="13"/>
        <v>0</v>
      </c>
      <c r="BS48" s="256">
        <f>+BS46+BS47</f>
        <v>123639207</v>
      </c>
      <c r="BT48" s="256">
        <f t="shared" si="13"/>
        <v>3822360000</v>
      </c>
      <c r="BU48" s="256">
        <f t="shared" si="13"/>
        <v>4719186287</v>
      </c>
      <c r="BV48" s="256">
        <f t="shared" si="13"/>
        <v>1732867023</v>
      </c>
      <c r="BW48" s="256">
        <f>+BW46+BW47</f>
        <v>2741582207</v>
      </c>
      <c r="BX48" s="256">
        <f>+BX46+BX47</f>
        <v>136416896</v>
      </c>
      <c r="BY48" s="256">
        <f>+BY46+BY47</f>
        <v>0</v>
      </c>
      <c r="BZ48" s="255">
        <f>SUMIFS('1.a sz. Önkormányzat 2022. '!D48:HY48,'1.a sz. Önkormányzat 2022. '!$D$4:$HY$4,"kötelező",'1.a sz. Önkormányzat 2022. '!$D$2:$HY$2,"Eredeti előirányzat")+SUMIFS(D48:BY48,$D$4:$BY$4,"kötelező",$D$2:$BY$2,"Eredeti előirányzat")</f>
        <v>9422607547</v>
      </c>
      <c r="CA48" s="255">
        <f>SUMIFS('1.a sz. Önkormányzat 2022. '!D48:II48,'1.a sz. Önkormányzat 2022. '!$D$4:$II$4,"kötelező",'1.a sz. Önkormányzat 2022. '!$D$2:$II$2,"Módosított előirányzat")+SUMIFS(D48:BY48,$D$4:$BY$4,"kötelező",$D$2:$BY$2,"Módosított előirányzat")</f>
        <v>11540203083</v>
      </c>
      <c r="CB48" s="255">
        <f>SUMIFS('1.a sz. Önkormányzat 2022. '!D48:IB48,'1.a sz. Önkormányzat 2022. '!$D$4:$IB$4,"önként vállalt",'1.a sz. Önkormányzat 2022. '!$D$2:$IB$2,"Eredeti előirányzat")+SUMIFS(D48:BY48,$D$4:$BY$4,"önként vállalt",$D$2:$BY$2,"Eredeti előirányzat")</f>
        <v>917096374</v>
      </c>
      <c r="CC48" s="255">
        <f>SUMIFS('1.a sz. Önkormányzat 2022. '!D48:IC48,'1.a sz. Önkormányzat 2022. '!$D$4:$IC$4,"önként vállalt",'1.a sz. Önkormányzat 2022. '!$D$2:$IC$2,"Módosított előirányzat")+SUMIFS(D48:BY48,$D$4:$BY$4,"önként vállalt",$D$2:$BY$2,"Módosított előirányzat")</f>
        <v>1083179913</v>
      </c>
      <c r="CD48" s="255">
        <f>SUMIFS('1.a sz. Önkormányzat 2022. '!D48:HY48,'1.a sz. Önkormányzat 2022. '!$D$4:$HY$4,"államigazgatási",'1.a sz. Önkormányzat 2022. '!$D$2:$HY$2,"Eredeti előirányzat")+SUMIFS(D48:BY48,$D$4:$BY$4,"államigazgatási",$D$2:$BY$2,"Eredeti előirányzat")</f>
        <v>0</v>
      </c>
      <c r="CE48" s="255">
        <f>SUMIFS('1.a sz. Önkormányzat 2022. '!D48:HY48,'1.a sz. Önkormányzat 2022. '!$D$4:$HY$4,"államigazgatási",'1.a sz. Önkormányzat 2022. '!$D$2:$HY$2,"Módosított előirányzat")+SUMIFS(D48:BY48,$D$4:$BY$4,"államigazgatási",$D$2:$BY$2,"Módosított előirányzat")</f>
        <v>0</v>
      </c>
      <c r="CF48" s="255">
        <f t="shared" si="0"/>
        <v>10339703921</v>
      </c>
      <c r="CG48" s="255">
        <f t="shared" si="1"/>
        <v>12623382996</v>
      </c>
      <c r="CH48" s="749">
        <f>+'1.a sz. Önkormányzat 2022. '!HF48</f>
        <v>0</v>
      </c>
      <c r="CI48" s="749">
        <f>+'1.a sz. Önkormányzat 2022. '!HG48</f>
        <v>49565206</v>
      </c>
    </row>
    <row r="49" spans="1:87" s="382" customFormat="1" ht="21.75" customHeight="1" x14ac:dyDescent="0.25">
      <c r="A49" s="379" t="s">
        <v>290</v>
      </c>
      <c r="B49" s="380" t="s">
        <v>450</v>
      </c>
      <c r="C49" s="381"/>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5">
        <f>SUMIFS('1.a sz. Önkormányzat 2022. '!D49:HY49,'1.a sz. Önkormányzat 2022. '!$D$4:$HY$4,"kötelező",'1.a sz. Önkormányzat 2022. '!$D$2:$HY$2,"Eredeti előirányzat")+SUMIFS(D49:BY49,$D$4:$BY$4,"kötelező",$D$2:$BY$2,"Eredeti előirányzat")</f>
        <v>17</v>
      </c>
      <c r="CA49" s="255">
        <f>SUMIFS('1.a sz. Önkormányzat 2022. '!D49:II49,'1.a sz. Önkormányzat 2022. '!$D$4:$II$4,"kötelező",'1.a sz. Önkormányzat 2022. '!$D$2:$II$2,"Módosított előirányzat")+SUMIFS(D49:BY49,$D$4:$BY$4,"kötelező",$D$2:$BY$2,"Módosított előirányzat")</f>
        <v>17</v>
      </c>
      <c r="CB49" s="255">
        <f>SUMIFS('1.a sz. Önkormányzat 2022. '!D49:IB49,'1.a sz. Önkormányzat 2022. '!$D$4:$IB$4,"önként vállalt",'1.a sz. Önkormányzat 2022. '!$D$2:$IB$2,"Eredeti előirányzat")+SUMIFS(D49:BY49,$D$4:$BY$4,"önként vállalt",$D$2:$BY$2,"Eredeti előirányzat")</f>
        <v>8</v>
      </c>
      <c r="CC49" s="255">
        <f>SUMIFS('1.a sz. Önkormányzat 2022. '!D49:IC49,'1.a sz. Önkormányzat 2022. '!$D$4:$IC$4,"önként vállalt",'1.a sz. Önkormányzat 2022. '!$D$2:$IC$2,"Módosított előirányzat")+SUMIFS(D49:BY49,$D$4:$BY$4,"önként vállalt",$D$2:$BY$2,"Módosított előirányzat")</f>
        <v>8</v>
      </c>
      <c r="CD49" s="255">
        <f>SUMIFS('1.a sz. Önkormányzat 2022. '!D49:HY49,'1.a sz. Önkormányzat 2022. '!$D$4:$HY$4,"államigazgatási",'1.a sz. Önkormányzat 2022. '!$D$2:$HY$2,"Eredeti előirányzat")+SUMIFS(D49:BY49,$D$4:$BY$4,"államigazgatási",$D$2:$BY$2,"Eredeti előirányzat")</f>
        <v>0</v>
      </c>
      <c r="CE49" s="255">
        <f>SUMIFS('1.a sz. Önkormányzat 2022. '!D49:HY49,'1.a sz. Önkormányzat 2022. '!$D$4:$HY$4,"államigazgatási",'1.a sz. Önkormányzat 2022. '!$D$2:$HY$2,"Módosított előirányzat")+SUMIFS(D49:BY49,$D$4:$BY$4,"államigazgatási",$D$2:$BY$2,"Módosított előirányzat")</f>
        <v>0</v>
      </c>
      <c r="CF49" s="255">
        <f t="shared" si="0"/>
        <v>25</v>
      </c>
      <c r="CG49" s="255">
        <f t="shared" si="1"/>
        <v>25</v>
      </c>
      <c r="CH49" s="749">
        <f>+'1.a sz. Önkormányzat 2022. '!HF49</f>
        <v>0</v>
      </c>
      <c r="CI49" s="749">
        <f>+'1.a sz. Önkormányzat 2022. '!HG49</f>
        <v>0</v>
      </c>
    </row>
    <row r="50" spans="1:87" s="229" customFormat="1" ht="21.75" customHeight="1" x14ac:dyDescent="0.25">
      <c r="A50" s="222" t="s">
        <v>291</v>
      </c>
      <c r="B50" s="238" t="s">
        <v>1357</v>
      </c>
      <c r="C50" s="224"/>
      <c r="D50" s="257"/>
      <c r="E50" s="257"/>
      <c r="F50" s="257"/>
      <c r="G50" s="257"/>
      <c r="H50" s="257"/>
      <c r="I50" s="257"/>
      <c r="J50" s="257"/>
      <c r="K50" s="257"/>
      <c r="L50" s="257"/>
      <c r="M50" s="257"/>
      <c r="N50" s="257"/>
      <c r="O50" s="257"/>
      <c r="P50" s="257"/>
      <c r="Q50" s="257"/>
      <c r="R50" s="289"/>
      <c r="S50" s="289"/>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5">
        <f>SUMIFS('1.a sz. Önkormányzat 2022. '!D50:HY50,'1.a sz. Önkormányzat 2022. '!$D$4:$HY$4,"kötelező",'1.a sz. Önkormányzat 2022. '!$D$2:$HY$2,"Eredeti előirányzat")+SUMIFS(D50:BY50,$D$4:$BY$4,"kötelező",$D$2:$BY$2,"Eredeti előirányzat")</f>
        <v>940000000</v>
      </c>
      <c r="CA50" s="255">
        <f>SUMIFS('1.a sz. Önkormányzat 2022. '!D50:II50,'1.a sz. Önkormányzat 2022. '!$D$4:$II$4,"kötelező",'1.a sz. Önkormányzat 2022. '!$D$2:$II$2,"Módosított előirányzat")+SUMIFS(D50:BY50,$D$4:$BY$4,"kötelező",$D$2:$BY$2,"Módosított előirányzat")</f>
        <v>905879500</v>
      </c>
      <c r="CB50" s="255">
        <f>SUMIFS('1.a sz. Önkormányzat 2022. '!D50:IB50,'1.a sz. Önkormányzat 2022. '!$D$4:$IB$4,"önként vállalt",'1.a sz. Önkormányzat 2022. '!$D$2:$IB$2,"Eredeti előirányzat")+SUMIFS(D50:BY50,$D$4:$BY$4,"önként vállalt",$D$2:$BY$2,"Eredeti előirányzat")</f>
        <v>0</v>
      </c>
      <c r="CC50" s="255">
        <f>SUMIFS('1.a sz. Önkormányzat 2022. '!D50:IC50,'1.a sz. Önkormányzat 2022. '!$D$4:$IC$4,"önként vállalt",'1.a sz. Önkormányzat 2022. '!$D$2:$IC$2,"Módosított előirányzat")+SUMIFS(D50:BY50,$D$4:$BY$4,"önként vállalt",$D$2:$BY$2,"Módosított előirányzat")</f>
        <v>0</v>
      </c>
      <c r="CD50" s="255">
        <f>SUMIFS('1.a sz. Önkormányzat 2022. '!D50:HY50,'1.a sz. Önkormányzat 2022. '!$D$4:$HY$4,"államigazgatási",'1.a sz. Önkormányzat 2022. '!$D$2:$HY$2,"Eredeti előirányzat")+SUMIFS(D50:BY50,$D$4:$BY$4,"államigazgatási",$D$2:$BY$2,"Eredeti előirányzat")</f>
        <v>0</v>
      </c>
      <c r="CE50" s="255">
        <f>SUMIFS('1.a sz. Önkormányzat 2022. '!D50:HY50,'1.a sz. Önkormányzat 2022. '!$D$4:$HY$4,"államigazgatási",'1.a sz. Önkormányzat 2022. '!$D$2:$HY$2,"Módosított előirányzat")+SUMIFS(D50:BY50,$D$4:$BY$4,"államigazgatási",$D$2:$BY$2,"Módosított előirányzat")</f>
        <v>0</v>
      </c>
      <c r="CF50" s="255">
        <f>BZ50+CB50+CD50</f>
        <v>940000000</v>
      </c>
      <c r="CG50" s="255">
        <f>CA50+CC50+CE50</f>
        <v>905879500</v>
      </c>
      <c r="CH50" s="749">
        <f>+'1.a sz. Önkormányzat 2022. '!HF50</f>
        <v>0</v>
      </c>
      <c r="CI50" s="749">
        <f>+'1.a sz. Önkormányzat 2022. '!HG50</f>
        <v>0</v>
      </c>
    </row>
    <row r="51" spans="1:87" x14ac:dyDescent="0.25">
      <c r="A51" s="218"/>
      <c r="D51" s="227" t="e">
        <f>SUM(#REF!)</f>
        <v>#REF!</v>
      </c>
      <c r="E51" s="227"/>
      <c r="F51" s="227"/>
      <c r="G51" s="227"/>
      <c r="H51" s="227"/>
      <c r="I51" s="227"/>
      <c r="J51" s="227"/>
      <c r="K51" s="227"/>
      <c r="L51" s="227" t="e">
        <f>SUM(#REF!)</f>
        <v>#REF!</v>
      </c>
      <c r="M51" s="227"/>
      <c r="N51" s="227"/>
      <c r="O51" s="227"/>
      <c r="P51" s="227"/>
      <c r="Q51" s="227"/>
      <c r="R51" s="227"/>
      <c r="S51" s="227"/>
      <c r="T51" s="227" t="e">
        <f>SUM(#REF!)</f>
        <v>#REF!</v>
      </c>
      <c r="U51" s="227"/>
      <c r="V51" s="227"/>
      <c r="W51" s="227"/>
      <c r="X51" s="227"/>
      <c r="Y51" s="227"/>
      <c r="Z51" s="227"/>
      <c r="AA51" s="227"/>
      <c r="AB51" s="227"/>
      <c r="AC51" s="227"/>
      <c r="AD51" s="227" t="e">
        <f>SUM(#REF!)</f>
        <v>#REF!</v>
      </c>
      <c r="AE51" s="227"/>
      <c r="AF51" s="227" t="e">
        <f>SUM(#REF!)</f>
        <v>#REF!</v>
      </c>
      <c r="AG51" s="227"/>
      <c r="AH51" s="227" t="e">
        <f>SUM(#REF!)</f>
        <v>#REF!</v>
      </c>
      <c r="AI51" s="227"/>
      <c r="AJ51" s="227" t="e">
        <f>SUM(#REF!)</f>
        <v>#REF!</v>
      </c>
      <c r="AK51" s="227"/>
      <c r="AL51" s="227" t="e">
        <f>SUM(#REF!)</f>
        <v>#REF!</v>
      </c>
      <c r="AM51" s="227"/>
      <c r="AN51" s="227" t="e">
        <f>SUM(#REF!)</f>
        <v>#REF!</v>
      </c>
      <c r="AO51" s="227"/>
      <c r="AP51" s="227" t="e">
        <f>SUM(#REF!)</f>
        <v>#REF!</v>
      </c>
      <c r="AQ51" s="227"/>
      <c r="AR51" s="227" t="e">
        <f>SUM(#REF!)</f>
        <v>#REF!</v>
      </c>
      <c r="AS51" s="227"/>
      <c r="AT51" s="227" t="e">
        <f>SUM(#REF!)</f>
        <v>#REF!</v>
      </c>
      <c r="AU51" s="227"/>
      <c r="AV51" s="227" t="e">
        <f>SUM(#REF!)</f>
        <v>#REF!</v>
      </c>
      <c r="AW51" s="227"/>
      <c r="AX51" s="227" t="e">
        <f>SUM(#REF!)</f>
        <v>#REF!</v>
      </c>
      <c r="AY51" s="227"/>
      <c r="AZ51" s="227" t="e">
        <f>SUM(#REF!)</f>
        <v>#REF!</v>
      </c>
      <c r="BA51" s="227"/>
      <c r="BB51" s="227" t="e">
        <f>SUM(#REF!)</f>
        <v>#REF!</v>
      </c>
      <c r="BC51" s="227"/>
      <c r="BD51" s="227" t="e">
        <f>SUM(#REF!)</f>
        <v>#REF!</v>
      </c>
      <c r="BE51" s="227"/>
      <c r="BF51" s="227" t="e">
        <f>SUM(#REF!)</f>
        <v>#REF!</v>
      </c>
      <c r="BG51" s="227"/>
      <c r="BH51" s="227" t="e">
        <f>SUM(#REF!)</f>
        <v>#REF!</v>
      </c>
      <c r="BI51" s="227"/>
      <c r="BJ51" s="251" t="e">
        <f>SUM(#REF!)</f>
        <v>#REF!</v>
      </c>
      <c r="BK51" s="251"/>
      <c r="BL51" s="251"/>
      <c r="BM51" s="251"/>
      <c r="BN51" s="251"/>
      <c r="BO51" s="251"/>
      <c r="BP51" s="251"/>
      <c r="BQ51" s="251"/>
      <c r="BR51" s="227" t="e">
        <f>SUM(#REF!)</f>
        <v>#REF!</v>
      </c>
      <c r="BS51" s="227"/>
      <c r="BT51" s="227" t="e">
        <f>SUM(#REF!)</f>
        <v>#REF!</v>
      </c>
      <c r="BU51" s="227"/>
      <c r="BV51" s="227" t="e">
        <f>SUM(#REF!)</f>
        <v>#REF!</v>
      </c>
      <c r="BW51" s="227"/>
      <c r="BX51" s="227" t="e">
        <f>SUM(#REF!)</f>
        <v>#REF!</v>
      </c>
      <c r="BY51" s="227"/>
      <c r="BZ51" s="227" t="e">
        <f>SUM(#REF!)</f>
        <v>#REF!</v>
      </c>
      <c r="CA51" s="227"/>
      <c r="CB51" s="227" t="e">
        <f>SUM(#REF!)</f>
        <v>#REF!</v>
      </c>
      <c r="CC51" s="227"/>
      <c r="CD51" s="227" t="e">
        <f>SUM(#REF!)</f>
        <v>#REF!</v>
      </c>
      <c r="CE51" s="227"/>
      <c r="CF51" s="227"/>
      <c r="CG51" s="227"/>
      <c r="CH51" s="226" t="e">
        <f>SUM(#REF!)</f>
        <v>#REF!</v>
      </c>
      <c r="CI51" s="227"/>
    </row>
    <row r="52" spans="1:87" ht="16.5" thickBot="1" x14ac:dyDescent="0.3">
      <c r="A52" s="218"/>
      <c r="D52" s="227" t="e">
        <f>+#REF!+#REF!+#REF!+#REF!+#REF!</f>
        <v>#REF!</v>
      </c>
      <c r="E52" s="227"/>
      <c r="F52" s="227"/>
      <c r="G52" s="227"/>
      <c r="H52" s="227"/>
      <c r="I52" s="227"/>
      <c r="J52" s="227"/>
      <c r="K52" s="227"/>
      <c r="L52" s="227" t="e">
        <f>+#REF!+#REF!+#REF!+#REF!+#REF!</f>
        <v>#REF!</v>
      </c>
      <c r="M52" s="227"/>
      <c r="N52" s="227"/>
      <c r="O52" s="227"/>
      <c r="P52" s="227"/>
      <c r="Q52" s="227"/>
      <c r="R52" s="227"/>
      <c r="S52" s="227"/>
      <c r="T52" s="227" t="e">
        <f>+#REF!+#REF!+#REF!+#REF!+#REF!</f>
        <v>#REF!</v>
      </c>
      <c r="U52" s="227"/>
      <c r="V52" s="227"/>
      <c r="W52" s="227"/>
      <c r="X52" s="227"/>
      <c r="Y52" s="227"/>
      <c r="Z52" s="227"/>
      <c r="AA52" s="227"/>
      <c r="AB52" s="227"/>
      <c r="AC52" s="227"/>
      <c r="AD52" s="227" t="e">
        <f>+#REF!+#REF!+#REF!+#REF!+#REF!</f>
        <v>#REF!</v>
      </c>
      <c r="AE52" s="227"/>
      <c r="AF52" s="227" t="e">
        <f>+#REF!+#REF!+#REF!+#REF!+#REF!</f>
        <v>#REF!</v>
      </c>
      <c r="AG52" s="227"/>
      <c r="AH52" s="227" t="e">
        <f>+#REF!+#REF!+#REF!+#REF!+#REF!</f>
        <v>#REF!</v>
      </c>
      <c r="AI52" s="227"/>
      <c r="AJ52" s="227" t="e">
        <f>+#REF!+#REF!+#REF!+#REF!+#REF!</f>
        <v>#REF!</v>
      </c>
      <c r="AK52" s="227"/>
      <c r="AL52" s="227" t="e">
        <f>+#REF!+#REF!+#REF!+#REF!+#REF!</f>
        <v>#REF!</v>
      </c>
      <c r="AM52" s="227"/>
      <c r="AN52" s="227" t="e">
        <f>+#REF!+#REF!+#REF!+#REF!+#REF!</f>
        <v>#REF!</v>
      </c>
      <c r="AO52" s="227"/>
      <c r="AP52" s="227" t="e">
        <f>+#REF!+#REF!+#REF!+#REF!+#REF!</f>
        <v>#REF!</v>
      </c>
      <c r="AQ52" s="227"/>
      <c r="AR52" s="227" t="e">
        <f>+#REF!+#REF!+#REF!+#REF!+#REF!</f>
        <v>#REF!</v>
      </c>
      <c r="AS52" s="227"/>
      <c r="AT52" s="227" t="e">
        <f>+#REF!+#REF!+#REF!+#REF!+#REF!</f>
        <v>#REF!</v>
      </c>
      <c r="AU52" s="227"/>
      <c r="AV52" s="227" t="e">
        <f>+#REF!+#REF!+#REF!+#REF!+#REF!</f>
        <v>#REF!</v>
      </c>
      <c r="AW52" s="227"/>
      <c r="AX52" s="227" t="e">
        <f>+#REF!+#REF!+#REF!+#REF!+#REF!</f>
        <v>#REF!</v>
      </c>
      <c r="AY52" s="227"/>
      <c r="AZ52" s="227" t="e">
        <f>+#REF!+#REF!+#REF!+#REF!+#REF!</f>
        <v>#REF!</v>
      </c>
      <c r="BA52" s="227"/>
      <c r="BB52" s="227" t="e">
        <f>+#REF!+#REF!+#REF!+#REF!+#REF!</f>
        <v>#REF!</v>
      </c>
      <c r="BC52" s="227"/>
      <c r="BD52" s="227" t="e">
        <f>+#REF!+#REF!+#REF!+#REF!+#REF!</f>
        <v>#REF!</v>
      </c>
      <c r="BE52" s="227"/>
      <c r="BF52" s="227" t="e">
        <f>+#REF!+#REF!+#REF!+#REF!+#REF!</f>
        <v>#REF!</v>
      </c>
      <c r="BG52" s="227"/>
      <c r="BH52" s="227" t="e">
        <f>+#REF!+#REF!+#REF!+#REF!+#REF!</f>
        <v>#REF!</v>
      </c>
      <c r="BI52" s="227"/>
      <c r="BJ52" s="251" t="e">
        <f>+#REF!+#REF!+#REF!+#REF!+#REF!</f>
        <v>#REF!</v>
      </c>
      <c r="BK52" s="251"/>
      <c r="BL52" s="251"/>
      <c r="BM52" s="251"/>
      <c r="BN52" s="251"/>
      <c r="BO52" s="251"/>
      <c r="BP52" s="251"/>
      <c r="BQ52" s="251"/>
      <c r="BR52" s="227" t="e">
        <f>+#REF!+#REF!+#REF!+#REF!+#REF!</f>
        <v>#REF!</v>
      </c>
      <c r="BS52" s="227"/>
      <c r="BT52" s="227" t="e">
        <f>+#REF!+#REF!+#REF!+#REF!+#REF!</f>
        <v>#REF!</v>
      </c>
      <c r="BU52" s="227"/>
      <c r="BV52" s="227" t="e">
        <f>+#REF!+#REF!+#REF!+#REF!+#REF!</f>
        <v>#REF!</v>
      </c>
      <c r="BW52" s="227"/>
      <c r="BX52" s="227" t="e">
        <f>+#REF!+#REF!+#REF!+#REF!+#REF!</f>
        <v>#REF!</v>
      </c>
      <c r="BY52" s="227"/>
      <c r="BZ52" s="227" t="e">
        <f>+#REF!+#REF!+#REF!+#REF!+#REF!</f>
        <v>#REF!</v>
      </c>
      <c r="CA52" s="227"/>
      <c r="CB52" s="227" t="e">
        <f>+#REF!+#REF!+#REF!+#REF!+#REF!</f>
        <v>#REF!</v>
      </c>
      <c r="CC52" s="227"/>
      <c r="CD52" s="227" t="e">
        <f>+#REF!+#REF!+#REF!+#REF!+#REF!</f>
        <v>#REF!</v>
      </c>
      <c r="CE52" s="227"/>
      <c r="CF52" s="227"/>
      <c r="CG52" s="227"/>
      <c r="CH52" s="227"/>
      <c r="CI52" s="227"/>
    </row>
    <row r="53" spans="1:87" ht="16.5" thickBot="1" x14ac:dyDescent="0.3">
      <c r="A53" s="218"/>
      <c r="D53" s="227" t="e">
        <f>+#REF!</f>
        <v>#REF!</v>
      </c>
      <c r="E53" s="227"/>
      <c r="F53" s="227"/>
      <c r="G53" s="227"/>
      <c r="H53" s="227"/>
      <c r="I53" s="227"/>
      <c r="J53" s="227"/>
      <c r="K53" s="227"/>
      <c r="L53" s="227" t="e">
        <f>+#REF!</f>
        <v>#REF!</v>
      </c>
      <c r="M53" s="227"/>
      <c r="N53" s="227"/>
      <c r="O53" s="227"/>
      <c r="P53" s="227"/>
      <c r="Q53" s="227"/>
      <c r="R53" s="227"/>
      <c r="S53" s="227"/>
      <c r="T53" s="227" t="e">
        <f>+#REF!</f>
        <v>#REF!</v>
      </c>
      <c r="U53" s="227"/>
      <c r="V53" s="227"/>
      <c r="W53" s="227"/>
      <c r="X53" s="227"/>
      <c r="Y53" s="227"/>
      <c r="Z53" s="227"/>
      <c r="AA53" s="227"/>
      <c r="AB53" s="227"/>
      <c r="AC53" s="227"/>
      <c r="AD53" s="227" t="e">
        <f>+#REF!</f>
        <v>#REF!</v>
      </c>
      <c r="AE53" s="227"/>
      <c r="AF53" s="227" t="e">
        <f>+#REF!</f>
        <v>#REF!</v>
      </c>
      <c r="AG53" s="227"/>
      <c r="AH53" s="227" t="e">
        <f>+#REF!</f>
        <v>#REF!</v>
      </c>
      <c r="AI53" s="227"/>
      <c r="AJ53" s="227" t="e">
        <f>+#REF!</f>
        <v>#REF!</v>
      </c>
      <c r="AK53" s="227"/>
      <c r="AL53" s="227" t="e">
        <f>+#REF!</f>
        <v>#REF!</v>
      </c>
      <c r="AM53" s="227"/>
      <c r="AN53" s="227" t="e">
        <f>+#REF!</f>
        <v>#REF!</v>
      </c>
      <c r="AO53" s="227"/>
      <c r="AP53" s="227" t="e">
        <f>+#REF!</f>
        <v>#REF!</v>
      </c>
      <c r="AQ53" s="227"/>
      <c r="AR53" s="227" t="e">
        <f>+#REF!</f>
        <v>#REF!</v>
      </c>
      <c r="AS53" s="227"/>
      <c r="AT53" s="227" t="e">
        <f>+#REF!</f>
        <v>#REF!</v>
      </c>
      <c r="AU53" s="227"/>
      <c r="AV53" s="227" t="e">
        <f>+#REF!</f>
        <v>#REF!</v>
      </c>
      <c r="AW53" s="227"/>
      <c r="AX53" s="227" t="e">
        <f>+#REF!</f>
        <v>#REF!</v>
      </c>
      <c r="AY53" s="227"/>
      <c r="AZ53" s="227" t="e">
        <f>+#REF!</f>
        <v>#REF!</v>
      </c>
      <c r="BA53" s="227"/>
      <c r="BB53" s="227" t="e">
        <f>+#REF!</f>
        <v>#REF!</v>
      </c>
      <c r="BC53" s="227"/>
      <c r="BD53" s="227" t="e">
        <f>+#REF!</f>
        <v>#REF!</v>
      </c>
      <c r="BE53" s="227"/>
      <c r="BF53" s="227" t="e">
        <f>+#REF!</f>
        <v>#REF!</v>
      </c>
      <c r="BG53" s="227"/>
      <c r="BH53" s="227" t="e">
        <f>+#REF!</f>
        <v>#REF!</v>
      </c>
      <c r="BI53" s="227"/>
      <c r="BJ53" s="251" t="e">
        <f>+#REF!</f>
        <v>#REF!</v>
      </c>
      <c r="BK53" s="251"/>
      <c r="BL53" s="251"/>
      <c r="BM53" s="251"/>
      <c r="BN53" s="251"/>
      <c r="BO53" s="251"/>
      <c r="BP53" s="251"/>
      <c r="BQ53" s="251"/>
      <c r="BR53" s="227" t="e">
        <f>+#REF!</f>
        <v>#REF!</v>
      </c>
      <c r="BS53" s="227"/>
      <c r="BT53" s="227" t="e">
        <f>+#REF!</f>
        <v>#REF!</v>
      </c>
      <c r="BU53" s="227"/>
      <c r="BV53" s="227" t="e">
        <f>+#REF!</f>
        <v>#REF!</v>
      </c>
      <c r="BW53" s="227"/>
      <c r="BX53" s="227" t="e">
        <f>+#REF!</f>
        <v>#REF!</v>
      </c>
      <c r="BY53" s="227"/>
      <c r="BZ53" s="227" t="e">
        <f>+#REF!</f>
        <v>#REF!</v>
      </c>
      <c r="CA53" s="227"/>
      <c r="CB53" s="227" t="e">
        <f>+#REF!</f>
        <v>#REF!</v>
      </c>
      <c r="CC53" s="227"/>
      <c r="CD53" s="227" t="e">
        <f>+#REF!</f>
        <v>#REF!</v>
      </c>
      <c r="CE53" s="227"/>
      <c r="CF53" s="227"/>
      <c r="CG53" s="227"/>
      <c r="CH53" s="240" t="e">
        <f>+#REF!-#REF!</f>
        <v>#REF!</v>
      </c>
      <c r="CI53" s="227" t="e">
        <f>+'[1]3. sz.Városi szintű összesen'!#REF!</f>
        <v>#REF!</v>
      </c>
    </row>
    <row r="54" spans="1:87" x14ac:dyDescent="0.25">
      <c r="A54" s="218"/>
      <c r="D54" s="227" t="e">
        <f>+D52-D53</f>
        <v>#REF!</v>
      </c>
      <c r="E54" s="227"/>
      <c r="F54" s="227"/>
      <c r="G54" s="227"/>
      <c r="H54" s="227"/>
      <c r="I54" s="227"/>
      <c r="J54" s="227"/>
      <c r="K54" s="227"/>
      <c r="L54" s="227" t="e">
        <f>+L52-L53</f>
        <v>#REF!</v>
      </c>
      <c r="M54" s="227"/>
      <c r="N54" s="227"/>
      <c r="O54" s="227"/>
      <c r="P54" s="227"/>
      <c r="Q54" s="227"/>
      <c r="R54" s="227"/>
      <c r="S54" s="227"/>
      <c r="T54" s="227" t="e">
        <f>+T52-T53</f>
        <v>#REF!</v>
      </c>
      <c r="U54" s="227"/>
      <c r="V54" s="227"/>
      <c r="W54" s="227"/>
      <c r="X54" s="227"/>
      <c r="Y54" s="227"/>
      <c r="Z54" s="227"/>
      <c r="AA54" s="227"/>
      <c r="AB54" s="227"/>
      <c r="AC54" s="227"/>
      <c r="AD54" s="227" t="e">
        <f>+AD52-AD53</f>
        <v>#REF!</v>
      </c>
      <c r="AE54" s="227"/>
      <c r="AF54" s="227" t="e">
        <f>+AF52-AF53</f>
        <v>#REF!</v>
      </c>
      <c r="AG54" s="227"/>
      <c r="AH54" s="227" t="e">
        <f>+AH52-AH53</f>
        <v>#REF!</v>
      </c>
      <c r="AI54" s="227"/>
      <c r="AJ54" s="227" t="e">
        <f>+AJ52-AJ53</f>
        <v>#REF!</v>
      </c>
      <c r="AK54" s="227"/>
      <c r="AL54" s="227" t="e">
        <f>+AL52-AL53</f>
        <v>#REF!</v>
      </c>
      <c r="AM54" s="227"/>
      <c r="AN54" s="227" t="e">
        <f>+AN52-AN53</f>
        <v>#REF!</v>
      </c>
      <c r="AO54" s="227"/>
      <c r="AP54" s="227" t="e">
        <f>+AP52-AP53</f>
        <v>#REF!</v>
      </c>
      <c r="AQ54" s="227"/>
      <c r="AR54" s="227" t="e">
        <f>+AR52-AR53</f>
        <v>#REF!</v>
      </c>
      <c r="AS54" s="227"/>
      <c r="AT54" s="227" t="e">
        <f>+AT52-AT53</f>
        <v>#REF!</v>
      </c>
      <c r="AU54" s="227"/>
      <c r="AV54" s="227" t="e">
        <f>+AV52-AV53</f>
        <v>#REF!</v>
      </c>
      <c r="AW54" s="227"/>
      <c r="AX54" s="227" t="e">
        <f>+AX52-AX53</f>
        <v>#REF!</v>
      </c>
      <c r="AY54" s="227"/>
      <c r="AZ54" s="227" t="e">
        <f>+AZ52-AZ53</f>
        <v>#REF!</v>
      </c>
      <c r="BA54" s="227"/>
      <c r="BB54" s="227" t="e">
        <f>+BB52-BB53</f>
        <v>#REF!</v>
      </c>
      <c r="BC54" s="227"/>
      <c r="BD54" s="227" t="e">
        <f>+BD52-BD53</f>
        <v>#REF!</v>
      </c>
      <c r="BE54" s="227"/>
      <c r="BF54" s="227" t="e">
        <f>+BF52-BF53</f>
        <v>#REF!</v>
      </c>
      <c r="BG54" s="227"/>
      <c r="BH54" s="227" t="e">
        <f>+BH52-BH53</f>
        <v>#REF!</v>
      </c>
      <c r="BI54" s="227"/>
      <c r="BJ54" s="251" t="e">
        <f>+BJ52-BJ53</f>
        <v>#REF!</v>
      </c>
      <c r="BK54" s="251"/>
      <c r="BL54" s="251"/>
      <c r="BM54" s="251"/>
      <c r="BN54" s="251"/>
      <c r="BO54" s="251"/>
      <c r="BP54" s="251"/>
      <c r="BQ54" s="251"/>
      <c r="BR54" s="227" t="e">
        <f>+BR52-BR53</f>
        <v>#REF!</v>
      </c>
      <c r="BS54" s="227"/>
      <c r="BT54" s="227" t="e">
        <f>+BT52-BT53</f>
        <v>#REF!</v>
      </c>
      <c r="BU54" s="227"/>
      <c r="BV54" s="227" t="e">
        <f>+BV52-BV53</f>
        <v>#REF!</v>
      </c>
      <c r="BW54" s="227"/>
      <c r="BX54" s="227" t="e">
        <f>+BX52-BX53</f>
        <v>#REF!</v>
      </c>
      <c r="BY54" s="227"/>
      <c r="BZ54" s="227" t="e">
        <f>+BZ52-BZ53</f>
        <v>#REF!</v>
      </c>
      <c r="CA54" s="227"/>
      <c r="CB54" s="227" t="e">
        <f>+CB52-CB53</f>
        <v>#REF!</v>
      </c>
      <c r="CC54" s="227"/>
      <c r="CD54" s="227" t="e">
        <f>+CD52-CD53</f>
        <v>#REF!</v>
      </c>
      <c r="CE54" s="227"/>
      <c r="CF54" s="241"/>
      <c r="CG54" s="241"/>
      <c r="CH54" s="241" t="e">
        <f>CH51-CH53</f>
        <v>#REF!</v>
      </c>
      <c r="CI54" s="241"/>
    </row>
    <row r="55" spans="1:87" x14ac:dyDescent="0.25">
      <c r="A55" s="218"/>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51"/>
      <c r="BK55" s="251"/>
      <c r="BL55" s="251"/>
      <c r="BM55" s="251"/>
      <c r="BN55" s="251"/>
      <c r="BO55" s="251"/>
      <c r="BP55" s="251"/>
      <c r="BQ55" s="251"/>
      <c r="BR55" s="227"/>
      <c r="BS55" s="227"/>
      <c r="BT55" s="227"/>
      <c r="BU55" s="227"/>
      <c r="BV55" s="227"/>
      <c r="BW55" s="227"/>
      <c r="BX55" s="227"/>
      <c r="BY55" s="227"/>
      <c r="BZ55" s="227"/>
      <c r="CA55" s="227"/>
      <c r="CB55" s="227"/>
      <c r="CC55" s="227"/>
      <c r="CD55" s="227"/>
      <c r="CE55" s="227"/>
    </row>
    <row r="56" spans="1:87" x14ac:dyDescent="0.25">
      <c r="A56" s="218"/>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51"/>
      <c r="BK56" s="251"/>
      <c r="BL56" s="251"/>
      <c r="BM56" s="251"/>
      <c r="BN56" s="251"/>
      <c r="BO56" s="251"/>
      <c r="BP56" s="251"/>
      <c r="BQ56" s="251"/>
      <c r="BR56" s="227"/>
      <c r="BS56" s="227"/>
      <c r="BT56" s="227"/>
      <c r="BU56" s="227"/>
      <c r="BV56" s="227"/>
      <c r="BW56" s="227"/>
      <c r="CH56" s="227" t="e">
        <f>+CH53+CH55</f>
        <v>#REF!</v>
      </c>
    </row>
    <row r="57" spans="1:87" x14ac:dyDescent="0.25">
      <c r="CD57" s="227" t="e">
        <f>+#REF!-CD56</f>
        <v>#REF!</v>
      </c>
      <c r="CE57" s="227"/>
    </row>
    <row r="61" spans="1:87" x14ac:dyDescent="0.25">
      <c r="A61" s="218"/>
      <c r="AH61" s="241" t="e">
        <f>+#REF!+#REF!+#REF!+#REF!+#REF!</f>
        <v>#REF!</v>
      </c>
      <c r="AI61" s="241"/>
    </row>
  </sheetData>
  <mergeCells count="84">
    <mergeCell ref="CH3:CH6"/>
    <mergeCell ref="CI3:CI6"/>
    <mergeCell ref="BZ3:CC3"/>
    <mergeCell ref="CD3:CG3"/>
    <mergeCell ref="BN5:BN6"/>
    <mergeCell ref="BR5:BR6"/>
    <mergeCell ref="BT5:BT6"/>
    <mergeCell ref="BV5:BV6"/>
    <mergeCell ref="BX5:BX6"/>
    <mergeCell ref="CE4:CE6"/>
    <mergeCell ref="CG4:CG6"/>
    <mergeCell ref="CF4:CF6"/>
    <mergeCell ref="CA4:CA6"/>
    <mergeCell ref="CC4:CC6"/>
    <mergeCell ref="BU5:BU6"/>
    <mergeCell ref="BW5:BW6"/>
    <mergeCell ref="BY5:BY6"/>
    <mergeCell ref="AH5:AH6"/>
    <mergeCell ref="BF5:BF6"/>
    <mergeCell ref="BH5:BH6"/>
    <mergeCell ref="BJ5:BJ6"/>
    <mergeCell ref="BL5:BL6"/>
    <mergeCell ref="AL5:AL6"/>
    <mergeCell ref="AX5:AX6"/>
    <mergeCell ref="AZ5:AZ6"/>
    <mergeCell ref="BE5:BE6"/>
    <mergeCell ref="AY5:AY6"/>
    <mergeCell ref="AN5:AQ6"/>
    <mergeCell ref="AR5:AU6"/>
    <mergeCell ref="AV5:AW6"/>
    <mergeCell ref="BB5:BB6"/>
    <mergeCell ref="BD5:BD6"/>
    <mergeCell ref="T5:T6"/>
    <mergeCell ref="AI5:AI6"/>
    <mergeCell ref="S5:S6"/>
    <mergeCell ref="U5:U6"/>
    <mergeCell ref="W5:W6"/>
    <mergeCell ref="Z5:Z6"/>
    <mergeCell ref="AE5:AE6"/>
    <mergeCell ref="AG5:AG6"/>
    <mergeCell ref="X5:X6"/>
    <mergeCell ref="Y5:Y6"/>
    <mergeCell ref="AB5:AB6"/>
    <mergeCell ref="AC5:AC6"/>
    <mergeCell ref="BM5:BM6"/>
    <mergeCell ref="BO5:BO6"/>
    <mergeCell ref="BS5:BS6"/>
    <mergeCell ref="BG5:BG6"/>
    <mergeCell ref="BI5:BI6"/>
    <mergeCell ref="BK5:BK6"/>
    <mergeCell ref="BP5:BP6"/>
    <mergeCell ref="BQ5:BQ6"/>
    <mergeCell ref="BA5:BA6"/>
    <mergeCell ref="BC5:BC6"/>
    <mergeCell ref="AJ5:AJ6"/>
    <mergeCell ref="A2:C2"/>
    <mergeCell ref="A3:A6"/>
    <mergeCell ref="B3:C3"/>
    <mergeCell ref="B4:C4"/>
    <mergeCell ref="D5:D6"/>
    <mergeCell ref="J5:J6"/>
    <mergeCell ref="L5:L6"/>
    <mergeCell ref="N5:N6"/>
    <mergeCell ref="P5:P6"/>
    <mergeCell ref="R5:R6"/>
    <mergeCell ref="M5:M6"/>
    <mergeCell ref="O5:O6"/>
    <mergeCell ref="Q5:Q6"/>
    <mergeCell ref="BZ4:BZ6"/>
    <mergeCell ref="CB4:CB6"/>
    <mergeCell ref="CD4:CD6"/>
    <mergeCell ref="B5:C5"/>
    <mergeCell ref="E5:E6"/>
    <mergeCell ref="G5:G6"/>
    <mergeCell ref="I5:I6"/>
    <mergeCell ref="K5:K6"/>
    <mergeCell ref="AK5:AK6"/>
    <mergeCell ref="AM5:AM6"/>
    <mergeCell ref="AA5:AA6"/>
    <mergeCell ref="AD5:AD6"/>
    <mergeCell ref="AF5:AF6"/>
    <mergeCell ref="F5:F6"/>
    <mergeCell ref="H5:H6"/>
    <mergeCell ref="V5:V6"/>
  </mergeCells>
  <printOptions horizontalCentered="1" verticalCentered="1"/>
  <pageMargins left="0.19685039370078741" right="0.19685039370078741" top="0" bottom="0" header="0.51181102362204722" footer="0.51181102362204722"/>
  <pageSetup paperSize="9" scale="50" fitToHeight="0" orientation="portrait" r:id="rId1"/>
  <headerFooter alignWithMargins="0">
    <oddHeader>&amp;C2022. évi költségvetés&amp;R&amp;A</oddHeader>
    <oddFooter>&amp;C&amp;P/&amp;N</oddFooter>
  </headerFooter>
  <colBreaks count="21" manualBreakCount="21">
    <brk id="7" max="49" man="1"/>
    <brk id="11" max="49" man="1"/>
    <brk id="15" max="49" man="1"/>
    <brk id="19" max="49" man="1"/>
    <brk id="23" max="49" man="1"/>
    <brk id="27" max="49" man="1"/>
    <brk id="31" max="49" man="1"/>
    <brk id="35" max="49" man="1"/>
    <brk id="39" max="49" man="1"/>
    <brk id="43" max="49" man="1"/>
    <brk id="47" max="49" man="1"/>
    <brk id="51" max="49" man="1"/>
    <brk id="55" max="49" man="1"/>
    <brk id="59" max="49" man="1"/>
    <brk id="63" max="49" man="1"/>
    <brk id="67" max="49" man="1"/>
    <brk id="71" max="49" man="1"/>
    <brk id="75" max="49" man="1"/>
    <brk id="77" max="49" man="1"/>
    <brk id="81" max="49" man="1"/>
    <brk id="85" max="4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2"/>
  <sheetViews>
    <sheetView view="pageBreakPreview" zoomScale="90" zoomScaleNormal="90" zoomScaleSheetLayoutView="90" workbookViewId="0">
      <selection activeCell="F18" sqref="F18"/>
    </sheetView>
  </sheetViews>
  <sheetFormatPr defaultColWidth="9.140625" defaultRowHeight="12.75" x14ac:dyDescent="0.2"/>
  <cols>
    <col min="1" max="1" width="4.5703125" style="9" customWidth="1"/>
    <col min="2" max="2" width="5.42578125" style="9" customWidth="1"/>
    <col min="3" max="3" width="51.42578125" style="9" customWidth="1"/>
    <col min="4" max="5" width="21" style="9" customWidth="1"/>
    <col min="6" max="7" width="18.85546875" style="9" customWidth="1"/>
    <col min="8" max="8" width="14.5703125" style="9" customWidth="1"/>
    <col min="9" max="9" width="20" style="9" customWidth="1"/>
    <col min="10" max="10" width="9.140625" style="9"/>
    <col min="11" max="11" width="23" style="9" customWidth="1"/>
    <col min="12" max="12" width="17.42578125" style="9" customWidth="1"/>
    <col min="13" max="13" width="14.28515625" style="9" bestFit="1" customWidth="1"/>
    <col min="14" max="14" width="11.7109375" style="9" bestFit="1" customWidth="1"/>
    <col min="15" max="15" width="14.140625" style="9" bestFit="1" customWidth="1"/>
    <col min="16" max="16" width="12" style="9" bestFit="1" customWidth="1"/>
    <col min="17" max="16384" width="9.140625" style="9"/>
  </cols>
  <sheetData>
    <row r="1" spans="1:16" ht="27.75" customHeight="1" x14ac:dyDescent="0.2">
      <c r="A1" s="1839" t="s">
        <v>178</v>
      </c>
      <c r="B1" s="1839"/>
      <c r="C1" s="1839"/>
      <c r="D1" s="1839"/>
      <c r="E1" s="1839"/>
      <c r="F1" s="1839"/>
      <c r="G1" s="1839"/>
      <c r="H1" s="1839"/>
    </row>
    <row r="2" spans="1:16" ht="25.5" customHeight="1" x14ac:dyDescent="0.2">
      <c r="A2" s="1840"/>
      <c r="B2" s="1840"/>
      <c r="C2" s="1840"/>
      <c r="D2" s="1840"/>
      <c r="E2" s="1840"/>
      <c r="F2" s="1840"/>
      <c r="G2" s="1840"/>
      <c r="H2" s="1840"/>
    </row>
    <row r="3" spans="1:16" ht="18.75" customHeight="1" x14ac:dyDescent="0.2">
      <c r="A3" s="273"/>
      <c r="B3" s="273"/>
      <c r="C3" s="273"/>
      <c r="D3" s="273"/>
      <c r="E3" s="273"/>
      <c r="F3" s="273"/>
      <c r="G3" s="273"/>
      <c r="H3" s="907" t="s">
        <v>444</v>
      </c>
    </row>
    <row r="4" spans="1:16" ht="29.25" customHeight="1" x14ac:dyDescent="0.2">
      <c r="A4" s="1841" t="s">
        <v>369</v>
      </c>
      <c r="B4" s="1841" t="s">
        <v>742</v>
      </c>
      <c r="C4" s="1792" t="s">
        <v>2</v>
      </c>
      <c r="D4" s="1845" t="s">
        <v>785</v>
      </c>
      <c r="E4" s="1846"/>
      <c r="F4" s="1846"/>
      <c r="G4" s="1847"/>
      <c r="H4" s="1834" t="s">
        <v>11</v>
      </c>
    </row>
    <row r="5" spans="1:16" ht="33" customHeight="1" x14ac:dyDescent="0.2">
      <c r="A5" s="1842"/>
      <c r="B5" s="1842"/>
      <c r="C5" s="1793"/>
      <c r="D5" s="1577" t="s">
        <v>279</v>
      </c>
      <c r="E5" s="1581" t="s">
        <v>1512</v>
      </c>
      <c r="F5" s="1577" t="s">
        <v>279</v>
      </c>
      <c r="G5" s="1581" t="s">
        <v>1512</v>
      </c>
      <c r="H5" s="1834"/>
    </row>
    <row r="6" spans="1:16" ht="27.75" customHeight="1" x14ac:dyDescent="0.2">
      <c r="A6" s="1843"/>
      <c r="B6" s="1843"/>
      <c r="C6" s="1794"/>
      <c r="D6" s="1781" t="s">
        <v>84</v>
      </c>
      <c r="E6" s="1777"/>
      <c r="F6" s="1781" t="s">
        <v>85</v>
      </c>
      <c r="G6" s="1844"/>
      <c r="H6" s="1834"/>
      <c r="I6" s="111" t="s">
        <v>118</v>
      </c>
    </row>
    <row r="7" spans="1:16" ht="32.25" customHeight="1" x14ac:dyDescent="0.2">
      <c r="A7" s="55" t="s">
        <v>194</v>
      </c>
      <c r="B7" s="158" t="s">
        <v>550</v>
      </c>
      <c r="C7" s="78" t="s">
        <v>86</v>
      </c>
      <c r="D7" s="79">
        <f>+'2.1. sz. PMH'!D43</f>
        <v>843195377</v>
      </c>
      <c r="E7" s="802">
        <f>+'2.1. sz. PMH'!E43</f>
        <v>892153142</v>
      </c>
      <c r="F7" s="799">
        <f>+'2.1. sz. PMH'!D44</f>
        <v>38949100</v>
      </c>
      <c r="G7" s="79">
        <f>+'2.1. sz. PMH'!E44</f>
        <v>59657432</v>
      </c>
      <c r="H7" s="82" t="s">
        <v>228</v>
      </c>
      <c r="I7" s="112">
        <f t="shared" ref="I7:I16" si="0">D7+F7</f>
        <v>882144477</v>
      </c>
      <c r="K7" s="209">
        <v>550468645</v>
      </c>
      <c r="L7" s="9">
        <v>9866400</v>
      </c>
      <c r="M7" s="14">
        <f t="shared" ref="M7:M15" si="1">+D7-K7</f>
        <v>292726732</v>
      </c>
      <c r="N7" s="14">
        <f t="shared" ref="N7:N15" si="2">+F7-L7</f>
        <v>29082700</v>
      </c>
      <c r="O7" s="315">
        <f>SUM(M7:N7)</f>
        <v>321809432</v>
      </c>
    </row>
    <row r="8" spans="1:16" ht="32.25" customHeight="1" x14ac:dyDescent="0.2">
      <c r="A8" s="56" t="s">
        <v>195</v>
      </c>
      <c r="B8" s="140" t="s">
        <v>550</v>
      </c>
      <c r="C8" s="76" t="s">
        <v>23</v>
      </c>
      <c r="D8" s="80">
        <f>+'2.4. sz. Bölcsőde'!D43</f>
        <v>410984434</v>
      </c>
      <c r="E8" s="803">
        <f>+'2.4. sz. Bölcsőde'!E43</f>
        <v>418342134</v>
      </c>
      <c r="F8" s="800">
        <f>+'2.4. sz. Bölcsőde'!D44</f>
        <v>1874520</v>
      </c>
      <c r="G8" s="80">
        <f>+'2.4. sz. Bölcsőde'!E44</f>
        <v>5502468</v>
      </c>
      <c r="H8" s="83" t="s">
        <v>228</v>
      </c>
      <c r="I8" s="112">
        <f t="shared" si="0"/>
        <v>412858954</v>
      </c>
      <c r="K8" s="209">
        <v>261191032</v>
      </c>
      <c r="L8" s="9">
        <v>1905000</v>
      </c>
      <c r="M8" s="14">
        <f t="shared" si="1"/>
        <v>149793402</v>
      </c>
      <c r="N8" s="14">
        <f t="shared" si="2"/>
        <v>-30480</v>
      </c>
      <c r="O8" s="315">
        <f t="shared" ref="O8:O15" si="3">SUM(M8:N8)</f>
        <v>149762922</v>
      </c>
    </row>
    <row r="9" spans="1:16" ht="32.25" customHeight="1" x14ac:dyDescent="0.2">
      <c r="A9" s="56" t="s">
        <v>196</v>
      </c>
      <c r="B9" s="140" t="s">
        <v>550</v>
      </c>
      <c r="C9" s="76" t="s">
        <v>87</v>
      </c>
      <c r="D9" s="80">
        <f>+'2.3. sz. Mese Óvoda'!D43</f>
        <v>513495470</v>
      </c>
      <c r="E9" s="803">
        <f>+'2.3. sz. Mese Óvoda'!E43</f>
        <v>536956939</v>
      </c>
      <c r="F9" s="800">
        <f>+'2.3. sz. Mese Óvoda'!D44</f>
        <v>1682420</v>
      </c>
      <c r="G9" s="80">
        <f>+'2.3. sz. Mese Óvoda'!E44</f>
        <v>5456187</v>
      </c>
      <c r="H9" s="83" t="s">
        <v>228</v>
      </c>
      <c r="I9" s="112">
        <f t="shared" si="0"/>
        <v>515177890</v>
      </c>
      <c r="K9" s="209">
        <v>376932032</v>
      </c>
      <c r="L9" s="9">
        <v>1200000</v>
      </c>
      <c r="M9" s="14">
        <f t="shared" si="1"/>
        <v>136563438</v>
      </c>
      <c r="N9" s="14">
        <f t="shared" si="2"/>
        <v>482420</v>
      </c>
      <c r="O9" s="315">
        <f t="shared" si="3"/>
        <v>137045858</v>
      </c>
    </row>
    <row r="10" spans="1:16" ht="32.25" customHeight="1" x14ac:dyDescent="0.2">
      <c r="A10" s="56" t="s">
        <v>197</v>
      </c>
      <c r="B10" s="140" t="s">
        <v>550</v>
      </c>
      <c r="C10" s="76" t="s">
        <v>24</v>
      </c>
      <c r="D10" s="80">
        <f>+'2.2. sz. Hétszínvirág Óvoda'!D43</f>
        <v>340353030</v>
      </c>
      <c r="E10" s="803">
        <f>+'2.2. sz. Hétszínvirág Óvoda'!E43</f>
        <v>359397877</v>
      </c>
      <c r="F10" s="800">
        <f>+'2.2. sz. Hétszínvirág Óvoda'!D44</f>
        <v>1442720</v>
      </c>
      <c r="G10" s="80">
        <f>+'2.2. sz. Hétszínvirág Óvoda'!E44</f>
        <v>7044524</v>
      </c>
      <c r="H10" s="83" t="s">
        <v>228</v>
      </c>
      <c r="I10" s="112">
        <f t="shared" si="0"/>
        <v>341795750</v>
      </c>
      <c r="K10" s="209">
        <v>249214235</v>
      </c>
      <c r="L10" s="9">
        <v>500000</v>
      </c>
      <c r="M10" s="14">
        <f t="shared" si="1"/>
        <v>91138795</v>
      </c>
      <c r="N10" s="14">
        <f t="shared" si="2"/>
        <v>942720</v>
      </c>
      <c r="O10" s="315">
        <f t="shared" si="3"/>
        <v>92081515</v>
      </c>
    </row>
    <row r="11" spans="1:16" ht="32.25" customHeight="1" x14ac:dyDescent="0.2">
      <c r="A11" s="56" t="s">
        <v>198</v>
      </c>
      <c r="B11" s="140" t="s">
        <v>550</v>
      </c>
      <c r="C11" s="76" t="s">
        <v>618</v>
      </c>
      <c r="D11" s="80">
        <f>+'2.9. sz. Szivárvány Ó.'!R43</f>
        <v>320195704</v>
      </c>
      <c r="E11" s="803">
        <f>+'2.9. sz. Szivárvány Ó.'!S43</f>
        <v>336746886</v>
      </c>
      <c r="F11" s="800">
        <f>+'2.9. sz. Szivárvány Ó.'!R44</f>
        <v>985520</v>
      </c>
      <c r="G11" s="80">
        <f>+'2.9. sz. Szivárvány Ó.'!S44</f>
        <v>3284062</v>
      </c>
      <c r="H11" s="83" t="s">
        <v>228</v>
      </c>
      <c r="I11" s="112">
        <f t="shared" si="0"/>
        <v>321181224</v>
      </c>
      <c r="K11" s="209">
        <v>212517839</v>
      </c>
      <c r="L11" s="9">
        <v>1524000</v>
      </c>
      <c r="M11" s="14">
        <f t="shared" si="1"/>
        <v>107677865</v>
      </c>
      <c r="N11" s="14">
        <f t="shared" si="2"/>
        <v>-538480</v>
      </c>
      <c r="O11" s="315">
        <f t="shared" si="3"/>
        <v>107139385</v>
      </c>
    </row>
    <row r="12" spans="1:16" ht="32.25" customHeight="1" x14ac:dyDescent="0.2">
      <c r="A12" s="56" t="s">
        <v>199</v>
      </c>
      <c r="B12" s="140" t="s">
        <v>550</v>
      </c>
      <c r="C12" s="76" t="s">
        <v>25</v>
      </c>
      <c r="D12" s="80">
        <f>+'2.6 sz. Területi'!AP43</f>
        <v>781952551</v>
      </c>
      <c r="E12" s="803">
        <f>+'2.6 sz. Területi'!AQ43</f>
        <v>809984795</v>
      </c>
      <c r="F12" s="800">
        <f>+'2.6 sz. Területi'!AP44</f>
        <v>10016490</v>
      </c>
      <c r="G12" s="80">
        <f>+'2.6 sz. Területi'!AQ44</f>
        <v>8689208</v>
      </c>
      <c r="H12" s="83" t="s">
        <v>228</v>
      </c>
      <c r="I12" s="112">
        <f t="shared" si="0"/>
        <v>791969041</v>
      </c>
      <c r="K12" s="209">
        <v>451635638</v>
      </c>
      <c r="L12" s="9">
        <v>44995400</v>
      </c>
      <c r="M12" s="14">
        <f t="shared" si="1"/>
        <v>330316913</v>
      </c>
      <c r="N12" s="14">
        <f t="shared" si="2"/>
        <v>-34978910</v>
      </c>
      <c r="O12" s="315">
        <f t="shared" si="3"/>
        <v>295338003</v>
      </c>
      <c r="P12" s="315">
        <f>+O12-5611106-500000</f>
        <v>289226897</v>
      </c>
    </row>
    <row r="13" spans="1:16" ht="32.25" customHeight="1" x14ac:dyDescent="0.2">
      <c r="A13" s="56" t="s">
        <v>200</v>
      </c>
      <c r="B13" s="140" t="s">
        <v>550</v>
      </c>
      <c r="C13" s="76" t="s">
        <v>632</v>
      </c>
      <c r="D13" s="80">
        <f>+'2.7. sz. Könyvtár'!D43</f>
        <v>78745145</v>
      </c>
      <c r="E13" s="803">
        <f>+'2.7. sz. Könyvtár'!E43</f>
        <v>90180221</v>
      </c>
      <c r="F13" s="800">
        <f>+'2.7. sz. Könyvtár'!D44</f>
        <v>2222500</v>
      </c>
      <c r="G13" s="80">
        <f>+'2.7. sz. Könyvtár'!E44</f>
        <v>2654007</v>
      </c>
      <c r="H13" s="83" t="s">
        <v>228</v>
      </c>
      <c r="I13" s="112">
        <f t="shared" si="0"/>
        <v>80967645</v>
      </c>
      <c r="K13" s="209">
        <v>43832055</v>
      </c>
      <c r="L13" s="9">
        <v>717500</v>
      </c>
      <c r="M13" s="14">
        <f t="shared" si="1"/>
        <v>34913090</v>
      </c>
      <c r="N13" s="14">
        <f t="shared" si="2"/>
        <v>1505000</v>
      </c>
      <c r="O13" s="315">
        <f t="shared" si="3"/>
        <v>36418090</v>
      </c>
    </row>
    <row r="14" spans="1:16" ht="32.25" customHeight="1" x14ac:dyDescent="0.2">
      <c r="A14" s="56" t="s">
        <v>201</v>
      </c>
      <c r="B14" s="140" t="s">
        <v>550</v>
      </c>
      <c r="C14" s="76" t="s">
        <v>619</v>
      </c>
      <c r="D14" s="80">
        <f>+'2.8. sz. Műv.Ház'!T43</f>
        <v>129575838</v>
      </c>
      <c r="E14" s="80">
        <f>+'2.8. sz. Műv.Ház'!U43</f>
        <v>141824388</v>
      </c>
      <c r="F14" s="800">
        <f>+'2.8. sz. Műv.Ház'!T44</f>
        <v>3257550</v>
      </c>
      <c r="G14" s="80">
        <f>+'2.8. sz. Műv.Ház'!U44</f>
        <v>4362450</v>
      </c>
      <c r="H14" s="83" t="s">
        <v>228</v>
      </c>
      <c r="I14" s="112">
        <f t="shared" si="0"/>
        <v>132833388</v>
      </c>
      <c r="K14" s="209">
        <v>76579711</v>
      </c>
      <c r="L14" s="9">
        <v>1127000</v>
      </c>
      <c r="M14" s="14">
        <f t="shared" si="1"/>
        <v>52996127</v>
      </c>
      <c r="N14" s="14">
        <f t="shared" si="2"/>
        <v>2130550</v>
      </c>
      <c r="O14" s="315">
        <f t="shared" si="3"/>
        <v>55126677</v>
      </c>
    </row>
    <row r="15" spans="1:16" ht="32.25" customHeight="1" x14ac:dyDescent="0.2">
      <c r="A15" s="148" t="s">
        <v>202</v>
      </c>
      <c r="B15" s="660" t="s">
        <v>550</v>
      </c>
      <c r="C15" s="77" t="s">
        <v>88</v>
      </c>
      <c r="D15" s="81">
        <f>+'2.5. sz. Gyermekjóléti'!D43</f>
        <v>95012674</v>
      </c>
      <c r="E15" s="804">
        <f>+'2.5. sz. Gyermekjóléti'!E43</f>
        <v>100660559</v>
      </c>
      <c r="F15" s="801">
        <f>+'2.5. sz. Gyermekjóléti'!D44</f>
        <v>1851000</v>
      </c>
      <c r="G15" s="81">
        <f>+'2.5. sz. Gyermekjóléti'!E44</f>
        <v>1851000</v>
      </c>
      <c r="H15" s="12" t="s">
        <v>228</v>
      </c>
      <c r="I15" s="112">
        <f t="shared" si="0"/>
        <v>96863674</v>
      </c>
      <c r="K15" s="209">
        <v>71477558</v>
      </c>
      <c r="L15" s="9">
        <v>927000</v>
      </c>
      <c r="M15" s="14">
        <f t="shared" si="1"/>
        <v>23535116</v>
      </c>
      <c r="N15" s="14">
        <f t="shared" si="2"/>
        <v>924000</v>
      </c>
      <c r="O15" s="315">
        <f t="shared" si="3"/>
        <v>24459116</v>
      </c>
    </row>
    <row r="16" spans="1:16" s="11" customFormat="1" ht="32.25" customHeight="1" x14ac:dyDescent="0.25">
      <c r="A16" s="1837" t="s">
        <v>89</v>
      </c>
      <c r="B16" s="1838"/>
      <c r="C16" s="1838"/>
      <c r="D16" s="805">
        <f>SUM(D7:D15)</f>
        <v>3513510223</v>
      </c>
      <c r="E16" s="1245">
        <f>SUM(E7:E15)</f>
        <v>3686246941</v>
      </c>
      <c r="F16" s="1244">
        <f>SUM(F7:F15)</f>
        <v>62281820</v>
      </c>
      <c r="G16" s="805">
        <f>SUM(G7:G15)</f>
        <v>98501338</v>
      </c>
      <c r="H16" s="806"/>
      <c r="I16" s="113">
        <f t="shared" si="0"/>
        <v>3575792043</v>
      </c>
      <c r="K16" s="208">
        <f>SUM(K7:K15)</f>
        <v>2293848745</v>
      </c>
      <c r="L16" s="208">
        <f>SUM(L7:L15)</f>
        <v>62762300</v>
      </c>
      <c r="M16" s="208">
        <f>SUM(M7:M15)</f>
        <v>1219661478</v>
      </c>
      <c r="N16" s="208">
        <f>SUM(N7:N15)</f>
        <v>-480480</v>
      </c>
      <c r="O16" s="208">
        <f>SUM(O7:O15)</f>
        <v>1219180998</v>
      </c>
    </row>
    <row r="17" spans="4:9" x14ac:dyDescent="0.2">
      <c r="I17" s="14"/>
    </row>
    <row r="19" spans="4:9" x14ac:dyDescent="0.2">
      <c r="F19" s="14">
        <f>+D16+F16</f>
        <v>3575792043</v>
      </c>
      <c r="G19" s="14">
        <f>+E16+G16</f>
        <v>3784748279</v>
      </c>
    </row>
    <row r="20" spans="4:9" x14ac:dyDescent="0.2">
      <c r="D20" s="9">
        <v>1726077</v>
      </c>
    </row>
    <row r="21" spans="4:9" x14ac:dyDescent="0.2">
      <c r="D21" s="14"/>
      <c r="E21" s="14"/>
      <c r="F21" s="9">
        <f>+[2]Munka1!$D$94</f>
        <v>2351625349</v>
      </c>
    </row>
    <row r="22" spans="4:9" x14ac:dyDescent="0.2">
      <c r="F22" s="14">
        <f>+F19-F21</f>
        <v>1224166694</v>
      </c>
      <c r="G22" s="14"/>
    </row>
  </sheetData>
  <mergeCells count="10">
    <mergeCell ref="A16:C16"/>
    <mergeCell ref="A1:H1"/>
    <mergeCell ref="A2:H2"/>
    <mergeCell ref="H4:H6"/>
    <mergeCell ref="A4:A6"/>
    <mergeCell ref="B4:B6"/>
    <mergeCell ref="C4:C6"/>
    <mergeCell ref="D6:E6"/>
    <mergeCell ref="F6:G6"/>
    <mergeCell ref="D4:G4"/>
  </mergeCells>
  <phoneticPr fontId="45" type="noConversion"/>
  <printOptions horizontalCentered="1" verticalCentered="1"/>
  <pageMargins left="0.70866141732283472" right="0.70866141732283472" top="0.74803149606299213" bottom="0.74803149606299213" header="0.31496062992125984" footer="0.31496062992125984"/>
  <pageSetup paperSize="9" scale="84" orientation="landscape" r:id="rId1"/>
  <headerFooter>
    <oddHeader>&amp;C2022. évi költségvetés&amp;R&amp;A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03"/>
  <sheetViews>
    <sheetView view="pageBreakPreview" topLeftCell="A70" zoomScale="90" zoomScaleNormal="73" zoomScaleSheetLayoutView="90" workbookViewId="0">
      <selection activeCell="B103" sqref="B103"/>
    </sheetView>
  </sheetViews>
  <sheetFormatPr defaultRowHeight="12.75" x14ac:dyDescent="0.2"/>
  <cols>
    <col min="1" max="1" width="13.85546875" customWidth="1"/>
    <col min="2" max="2" width="104.85546875" customWidth="1"/>
    <col min="3" max="3" width="13.5703125" customWidth="1"/>
    <col min="4" max="4" width="13.85546875" customWidth="1"/>
    <col min="5" max="5" width="20.7109375" bestFit="1" customWidth="1"/>
    <col min="6" max="6" width="20.7109375" customWidth="1"/>
    <col min="7" max="7" width="15.85546875" bestFit="1" customWidth="1"/>
    <col min="8" max="8" width="5.7109375" customWidth="1"/>
    <col min="9" max="9" width="15.42578125" customWidth="1"/>
  </cols>
  <sheetData>
    <row r="1" spans="1:8" ht="16.5" x14ac:dyDescent="0.25">
      <c r="A1" s="1852" t="s">
        <v>1359</v>
      </c>
      <c r="B1" s="1852"/>
      <c r="C1" s="1852"/>
      <c r="D1" s="1852"/>
      <c r="E1" s="1852"/>
      <c r="F1" s="1852"/>
    </row>
    <row r="2" spans="1:8" x14ac:dyDescent="0.2">
      <c r="A2" s="273"/>
      <c r="B2" s="273"/>
      <c r="C2" s="273"/>
      <c r="D2" s="273"/>
      <c r="E2" s="273"/>
      <c r="F2" s="1181"/>
    </row>
    <row r="3" spans="1:8" ht="42" customHeight="1" x14ac:dyDescent="0.2">
      <c r="A3" s="810" t="s">
        <v>929</v>
      </c>
      <c r="B3" s="679"/>
      <c r="C3" s="679" t="s">
        <v>91</v>
      </c>
      <c r="D3" s="679" t="s">
        <v>92</v>
      </c>
      <c r="E3" s="679" t="s">
        <v>1630</v>
      </c>
      <c r="F3" s="894" t="s">
        <v>1631</v>
      </c>
    </row>
    <row r="4" spans="1:8" ht="16.5" customHeight="1" x14ac:dyDescent="0.3">
      <c r="A4" s="810"/>
      <c r="B4" s="1582" t="s">
        <v>2544</v>
      </c>
      <c r="C4" s="679"/>
      <c r="D4" s="679"/>
      <c r="E4" s="679"/>
      <c r="F4" s="819"/>
    </row>
    <row r="5" spans="1:8" ht="24" customHeight="1" x14ac:dyDescent="0.2">
      <c r="A5" s="886" t="s">
        <v>197</v>
      </c>
      <c r="B5" s="1401" t="s">
        <v>2545</v>
      </c>
      <c r="C5" s="1402"/>
      <c r="D5" s="1402"/>
      <c r="E5" s="1402"/>
      <c r="F5" s="1403">
        <f>189906276+189906276</f>
        <v>379812552</v>
      </c>
    </row>
    <row r="6" spans="1:8" ht="18" customHeight="1" x14ac:dyDescent="0.25">
      <c r="A6" s="1407"/>
      <c r="B6" s="1408" t="s">
        <v>2546</v>
      </c>
      <c r="C6" s="1406"/>
      <c r="D6" s="1404"/>
      <c r="E6" s="1404"/>
      <c r="F6" s="1405">
        <f>+F5</f>
        <v>379812552</v>
      </c>
    </row>
    <row r="7" spans="1:8" ht="15.75" customHeight="1" x14ac:dyDescent="0.3">
      <c r="A7" s="1298"/>
      <c r="B7" s="1582" t="s">
        <v>930</v>
      </c>
      <c r="C7" s="1162"/>
      <c r="D7" s="1299"/>
      <c r="E7" s="1299"/>
      <c r="F7" s="1300"/>
    </row>
    <row r="8" spans="1:8" ht="37.5" x14ac:dyDescent="0.2">
      <c r="A8" s="816" t="s">
        <v>931</v>
      </c>
      <c r="B8" s="890" t="s">
        <v>932</v>
      </c>
      <c r="C8" s="817"/>
      <c r="D8" s="891"/>
      <c r="E8" s="818">
        <f>+E10+E12+E21+E23</f>
        <v>441479687</v>
      </c>
      <c r="F8" s="819">
        <f>+F10+F12+F21+F23</f>
        <v>441479687</v>
      </c>
      <c r="G8" s="807"/>
      <c r="H8" s="807"/>
    </row>
    <row r="9" spans="1:8" ht="15.75" x14ac:dyDescent="0.2">
      <c r="A9" s="886" t="s">
        <v>933</v>
      </c>
      <c r="B9" s="887" t="s">
        <v>934</v>
      </c>
      <c r="C9" s="888"/>
      <c r="D9" s="889"/>
      <c r="E9" s="889">
        <f>+E10+E13+E15+E17+E19+E21+E23</f>
        <v>441479687</v>
      </c>
      <c r="F9" s="895">
        <f>+F10+F13+F15+F17+F19+F21+F23</f>
        <v>441479687</v>
      </c>
    </row>
    <row r="10" spans="1:8" ht="15.75" x14ac:dyDescent="0.2">
      <c r="A10" s="809" t="s">
        <v>1418</v>
      </c>
      <c r="B10" s="694" t="s">
        <v>935</v>
      </c>
      <c r="C10" s="680">
        <v>44.54</v>
      </c>
      <c r="D10" s="681">
        <v>5495500</v>
      </c>
      <c r="E10" s="681">
        <f>+C10*D10+1848410</f>
        <v>246617980</v>
      </c>
      <c r="F10" s="682">
        <v>246617980</v>
      </c>
    </row>
    <row r="11" spans="1:8" ht="15.75" x14ac:dyDescent="0.2">
      <c r="A11" s="809"/>
      <c r="B11" s="681"/>
      <c r="C11" s="680"/>
      <c r="D11" s="681"/>
      <c r="E11" s="681">
        <v>0</v>
      </c>
      <c r="F11" s="682">
        <v>0</v>
      </c>
    </row>
    <row r="12" spans="1:8" ht="15.75" x14ac:dyDescent="0.2">
      <c r="A12" s="809"/>
      <c r="B12" s="681"/>
      <c r="C12" s="680"/>
      <c r="D12" s="681"/>
      <c r="E12" s="681">
        <f>+E13+E15+E17+E19</f>
        <v>127804707</v>
      </c>
      <c r="F12" s="682">
        <f>+F13+F15+F17+F19</f>
        <v>127804707</v>
      </c>
    </row>
    <row r="13" spans="1:8" ht="15.75" x14ac:dyDescent="0.2">
      <c r="A13" s="809" t="s">
        <v>1419</v>
      </c>
      <c r="B13" s="694" t="s">
        <v>936</v>
      </c>
      <c r="C13" s="683">
        <f>+E13/D13</f>
        <v>1145.031746031746</v>
      </c>
      <c r="D13" s="681">
        <v>25200</v>
      </c>
      <c r="E13" s="681">
        <f>27966960+887840</f>
        <v>28854800</v>
      </c>
      <c r="F13" s="682">
        <f>27966960+887840</f>
        <v>28854800</v>
      </c>
    </row>
    <row r="14" spans="1:8" ht="15.75" x14ac:dyDescent="0.2">
      <c r="A14" s="809"/>
      <c r="B14" s="681"/>
      <c r="C14" s="680"/>
      <c r="D14" s="681"/>
      <c r="E14" s="681">
        <v>0</v>
      </c>
      <c r="F14" s="682">
        <v>0</v>
      </c>
    </row>
    <row r="15" spans="1:8" ht="15.75" x14ac:dyDescent="0.2">
      <c r="A15" s="809" t="s">
        <v>1420</v>
      </c>
      <c r="B15" s="694" t="s">
        <v>937</v>
      </c>
      <c r="C15" s="680"/>
      <c r="D15" s="681"/>
      <c r="E15" s="681">
        <f>58360000+1604900</f>
        <v>59964900</v>
      </c>
      <c r="F15" s="682">
        <f>58360000+1604900</f>
        <v>59964900</v>
      </c>
    </row>
    <row r="16" spans="1:8" ht="15.75" x14ac:dyDescent="0.2">
      <c r="A16" s="809"/>
      <c r="B16" s="681"/>
      <c r="C16" s="680"/>
      <c r="D16" s="681"/>
      <c r="E16" s="681">
        <v>0</v>
      </c>
      <c r="F16" s="682">
        <v>0</v>
      </c>
    </row>
    <row r="17" spans="1:6" ht="15.75" x14ac:dyDescent="0.2">
      <c r="A17" s="809" t="s">
        <v>1421</v>
      </c>
      <c r="B17" s="694" t="s">
        <v>938</v>
      </c>
      <c r="C17" s="680"/>
      <c r="D17" s="681"/>
      <c r="E17" s="681">
        <f>4814472+509223</f>
        <v>5323695</v>
      </c>
      <c r="F17" s="682">
        <f>4814472+509223</f>
        <v>5323695</v>
      </c>
    </row>
    <row r="18" spans="1:6" ht="15.75" x14ac:dyDescent="0.2">
      <c r="A18" s="809"/>
      <c r="B18" s="681"/>
      <c r="C18" s="680"/>
      <c r="D18" s="681"/>
      <c r="E18" s="681">
        <v>0</v>
      </c>
      <c r="F18" s="682">
        <v>0</v>
      </c>
    </row>
    <row r="19" spans="1:6" ht="15.75" x14ac:dyDescent="0.2">
      <c r="A19" s="809" t="s">
        <v>1422</v>
      </c>
      <c r="B19" s="694" t="s">
        <v>939</v>
      </c>
      <c r="C19" s="680"/>
      <c r="D19" s="681"/>
      <c r="E19" s="681">
        <f>32850847+810465</f>
        <v>33661312</v>
      </c>
      <c r="F19" s="682">
        <f>32850847+810465</f>
        <v>33661312</v>
      </c>
    </row>
    <row r="20" spans="1:6" ht="15.75" x14ac:dyDescent="0.2">
      <c r="A20" s="809"/>
      <c r="B20" s="681"/>
      <c r="C20" s="680"/>
      <c r="D20" s="681"/>
      <c r="E20" s="681">
        <v>0</v>
      </c>
      <c r="F20" s="682">
        <v>0</v>
      </c>
    </row>
    <row r="21" spans="1:6" ht="15.75" x14ac:dyDescent="0.2">
      <c r="A21" s="809" t="s">
        <v>1423</v>
      </c>
      <c r="B21" s="694" t="s">
        <v>546</v>
      </c>
      <c r="C21" s="680"/>
      <c r="D21" s="681"/>
      <c r="E21" s="681">
        <f>64146600+2375800</f>
        <v>66522400</v>
      </c>
      <c r="F21" s="682">
        <f>64146600+2375800</f>
        <v>66522400</v>
      </c>
    </row>
    <row r="22" spans="1:6" ht="15.75" x14ac:dyDescent="0.2">
      <c r="A22" s="809"/>
      <c r="B22" s="681"/>
      <c r="C22" s="680"/>
      <c r="D22" s="681"/>
      <c r="E22" s="681">
        <v>0</v>
      </c>
      <c r="F22" s="682">
        <v>0</v>
      </c>
    </row>
    <row r="23" spans="1:6" ht="15.75" x14ac:dyDescent="0.2">
      <c r="A23" s="811" t="s">
        <v>1424</v>
      </c>
      <c r="B23" s="812" t="s">
        <v>547</v>
      </c>
      <c r="C23" s="813">
        <f>+E23/D23</f>
        <v>209.64705882352942</v>
      </c>
      <c r="D23" s="814">
        <v>2550</v>
      </c>
      <c r="E23" s="814">
        <f>504900+29700</f>
        <v>534600</v>
      </c>
      <c r="F23" s="815">
        <f>504900+29700</f>
        <v>534600</v>
      </c>
    </row>
    <row r="24" spans="1:6" ht="37.5" x14ac:dyDescent="0.3">
      <c r="A24" s="816" t="s">
        <v>940</v>
      </c>
      <c r="B24" s="892" t="s">
        <v>95</v>
      </c>
      <c r="C24" s="817"/>
      <c r="D24" s="818"/>
      <c r="E24" s="818">
        <f>+E25+E29+E33+E44+E49</f>
        <v>824358920</v>
      </c>
      <c r="F24" s="819">
        <f>+F25+F29+F33+F44+F49</f>
        <v>822257970</v>
      </c>
    </row>
    <row r="25" spans="1:6" ht="15" x14ac:dyDescent="0.25">
      <c r="A25" s="820" t="s">
        <v>941</v>
      </c>
      <c r="B25" s="821" t="s">
        <v>96</v>
      </c>
      <c r="C25" s="808"/>
      <c r="D25" s="822"/>
      <c r="E25" s="822">
        <f>+E26</f>
        <v>130130000</v>
      </c>
      <c r="F25" s="896">
        <f>+F26</f>
        <v>127270000</v>
      </c>
    </row>
    <row r="26" spans="1:6" ht="15.75" x14ac:dyDescent="0.25">
      <c r="A26" s="823" t="s">
        <v>2674</v>
      </c>
      <c r="B26" s="684" t="s">
        <v>942</v>
      </c>
      <c r="C26" s="680"/>
      <c r="D26" s="684">
        <v>97400</v>
      </c>
      <c r="E26" s="684">
        <f>+E27+E28+20020000</f>
        <v>130130000</v>
      </c>
      <c r="F26" s="685">
        <f>130130000-1243000-1177000-440000</f>
        <v>127270000</v>
      </c>
    </row>
    <row r="27" spans="1:6" ht="15.75" x14ac:dyDescent="0.25">
      <c r="A27" s="824"/>
      <c r="B27" s="686" t="s">
        <v>621</v>
      </c>
      <c r="C27" s="680">
        <v>1001</v>
      </c>
      <c r="D27" s="647">
        <v>73333</v>
      </c>
      <c r="E27" s="684">
        <f>+C27*D27</f>
        <v>73406333</v>
      </c>
      <c r="F27" s="685">
        <v>73406333</v>
      </c>
    </row>
    <row r="28" spans="1:6" ht="15.75" x14ac:dyDescent="0.25">
      <c r="A28" s="824"/>
      <c r="B28" s="686" t="s">
        <v>654</v>
      </c>
      <c r="C28" s="680">
        <v>1001</v>
      </c>
      <c r="D28" s="647">
        <v>36667</v>
      </c>
      <c r="E28" s="684">
        <f>+C28*D28</f>
        <v>36703667</v>
      </c>
      <c r="F28" s="685">
        <v>36703667</v>
      </c>
    </row>
    <row r="29" spans="1:6" ht="15.75" x14ac:dyDescent="0.25">
      <c r="A29" s="823" t="s">
        <v>943</v>
      </c>
      <c r="B29" s="825" t="s">
        <v>944</v>
      </c>
      <c r="C29" s="680"/>
      <c r="D29" s="735"/>
      <c r="E29" s="825">
        <f>+E30</f>
        <v>453135690</v>
      </c>
      <c r="F29" s="687">
        <f>+F30</f>
        <v>449451660</v>
      </c>
    </row>
    <row r="30" spans="1:6" ht="15.75" x14ac:dyDescent="0.25">
      <c r="A30" s="673" t="s">
        <v>1425</v>
      </c>
      <c r="B30" s="826" t="s">
        <v>945</v>
      </c>
      <c r="C30" s="680"/>
      <c r="D30" s="647">
        <v>4861500</v>
      </c>
      <c r="E30" s="827">
        <f>+E32+E31+34560540</f>
        <v>453135690</v>
      </c>
      <c r="F30" s="377">
        <f>453135690-1944600-1458450-280980</f>
        <v>449451660</v>
      </c>
    </row>
    <row r="31" spans="1:6" ht="15.75" x14ac:dyDescent="0.25">
      <c r="A31" s="673"/>
      <c r="B31" s="827" t="s">
        <v>946</v>
      </c>
      <c r="C31" s="680">
        <v>86.1</v>
      </c>
      <c r="D31" s="647">
        <f>4861500/12*8</f>
        <v>3241000</v>
      </c>
      <c r="E31" s="827">
        <f>+C31*D31</f>
        <v>279050100</v>
      </c>
      <c r="F31" s="377">
        <v>279050100</v>
      </c>
    </row>
    <row r="32" spans="1:6" ht="15.75" x14ac:dyDescent="0.25">
      <c r="A32" s="824"/>
      <c r="B32" s="827" t="s">
        <v>947</v>
      </c>
      <c r="C32" s="680">
        <v>86.1</v>
      </c>
      <c r="D32" s="684">
        <f>4861500/12*4</f>
        <v>1620500</v>
      </c>
      <c r="E32" s="684">
        <f>+C32*D32</f>
        <v>139525050</v>
      </c>
      <c r="F32" s="377">
        <v>139525050</v>
      </c>
    </row>
    <row r="33" spans="1:6" ht="30" x14ac:dyDescent="0.25">
      <c r="A33" s="673" t="s">
        <v>948</v>
      </c>
      <c r="B33" s="828" t="s">
        <v>881</v>
      </c>
      <c r="C33" s="376"/>
      <c r="D33" s="647"/>
      <c r="E33" s="829">
        <f>E34+E39</f>
        <v>18327230</v>
      </c>
      <c r="F33" s="830">
        <f>F34+F39</f>
        <v>22770310</v>
      </c>
    </row>
    <row r="34" spans="1:6" ht="15" x14ac:dyDescent="0.25">
      <c r="A34" s="831" t="s">
        <v>949</v>
      </c>
      <c r="B34" s="832" t="s">
        <v>950</v>
      </c>
      <c r="C34" s="832"/>
      <c r="D34" s="832"/>
      <c r="E34" s="832">
        <f>+E36</f>
        <v>18327230</v>
      </c>
      <c r="F34" s="833">
        <f>+F36</f>
        <v>20197990</v>
      </c>
    </row>
    <row r="35" spans="1:6" ht="15" x14ac:dyDescent="0.25">
      <c r="A35" s="823" t="s">
        <v>951</v>
      </c>
      <c r="B35" s="1855" t="s">
        <v>952</v>
      </c>
      <c r="C35" s="1855"/>
      <c r="D35" s="1855"/>
      <c r="E35" s="1855"/>
      <c r="F35" s="897"/>
    </row>
    <row r="36" spans="1:6" ht="15" x14ac:dyDescent="0.25">
      <c r="A36" s="823" t="s">
        <v>953</v>
      </c>
      <c r="B36" s="684" t="s">
        <v>954</v>
      </c>
      <c r="C36" s="376"/>
      <c r="D36" s="647"/>
      <c r="E36" s="684">
        <f>+E37+E38+E39+E40</f>
        <v>18327230</v>
      </c>
      <c r="F36" s="685">
        <f>+F37+F38</f>
        <v>20197990</v>
      </c>
    </row>
    <row r="37" spans="1:6" ht="15" x14ac:dyDescent="0.25">
      <c r="A37" s="673" t="s">
        <v>1426</v>
      </c>
      <c r="B37" s="827" t="s">
        <v>955</v>
      </c>
      <c r="C37" s="376">
        <v>28</v>
      </c>
      <c r="D37" s="647">
        <v>432000</v>
      </c>
      <c r="E37" s="827">
        <f>+C37*D37+999320</f>
        <v>13095320</v>
      </c>
      <c r="F37" s="377">
        <f>13095320+1728000+142760</f>
        <v>14966080</v>
      </c>
    </row>
    <row r="38" spans="1:6" ht="15" x14ac:dyDescent="0.25">
      <c r="A38" s="673" t="s">
        <v>1427</v>
      </c>
      <c r="B38" s="827" t="s">
        <v>956</v>
      </c>
      <c r="C38" s="376">
        <v>3</v>
      </c>
      <c r="D38" s="647">
        <v>1611000</v>
      </c>
      <c r="E38" s="827">
        <f>+C38*D38+398910</f>
        <v>5231910</v>
      </c>
      <c r="F38" s="377">
        <v>5231910</v>
      </c>
    </row>
    <row r="39" spans="1:6" ht="15" x14ac:dyDescent="0.25">
      <c r="A39" s="831" t="s">
        <v>957</v>
      </c>
      <c r="B39" s="832" t="s">
        <v>958</v>
      </c>
      <c r="C39" s="832"/>
      <c r="D39" s="832"/>
      <c r="E39" s="832">
        <f>+E41</f>
        <v>0</v>
      </c>
      <c r="F39" s="1202">
        <f>+F40</f>
        <v>2572320</v>
      </c>
    </row>
    <row r="40" spans="1:6" ht="15" x14ac:dyDescent="0.25">
      <c r="A40" s="673" t="s">
        <v>959</v>
      </c>
      <c r="B40" s="1855" t="s">
        <v>952</v>
      </c>
      <c r="C40" s="1855"/>
      <c r="D40" s="1855"/>
      <c r="E40" s="1855"/>
      <c r="F40" s="1203">
        <f>+F41</f>
        <v>2572320</v>
      </c>
    </row>
    <row r="41" spans="1:6" ht="15" x14ac:dyDescent="0.25">
      <c r="A41" s="823" t="s">
        <v>960</v>
      </c>
      <c r="B41" s="684" t="s">
        <v>954</v>
      </c>
      <c r="C41" s="376"/>
      <c r="D41" s="735"/>
      <c r="E41" s="735"/>
      <c r="F41" s="1203">
        <f>+F42+F43</f>
        <v>2572320</v>
      </c>
    </row>
    <row r="42" spans="1:6" ht="15" x14ac:dyDescent="0.25">
      <c r="A42" s="673" t="s">
        <v>961</v>
      </c>
      <c r="B42" s="827" t="s">
        <v>955</v>
      </c>
      <c r="C42" s="376">
        <v>0</v>
      </c>
      <c r="D42" s="647">
        <v>396000</v>
      </c>
      <c r="E42" s="827">
        <f>+D42*C42</f>
        <v>0</v>
      </c>
      <c r="F42" s="377">
        <f>2376000+196320</f>
        <v>2572320</v>
      </c>
    </row>
    <row r="43" spans="1:6" ht="15" x14ac:dyDescent="0.25">
      <c r="A43" s="834" t="s">
        <v>962</v>
      </c>
      <c r="B43" s="827" t="s">
        <v>956</v>
      </c>
      <c r="C43" s="376">
        <v>0</v>
      </c>
      <c r="D43" s="392">
        <v>1476750</v>
      </c>
      <c r="E43" s="827">
        <f>+D43*C43</f>
        <v>0</v>
      </c>
      <c r="F43" s="377">
        <v>0</v>
      </c>
    </row>
    <row r="44" spans="1:6" ht="15" x14ac:dyDescent="0.25">
      <c r="A44" s="823" t="s">
        <v>963</v>
      </c>
      <c r="B44" s="835" t="s">
        <v>655</v>
      </c>
      <c r="C44" s="376"/>
      <c r="D44" s="688"/>
      <c r="E44" s="836">
        <f>+E47</f>
        <v>5598000</v>
      </c>
      <c r="F44" s="689">
        <f>+F47</f>
        <v>5598000</v>
      </c>
    </row>
    <row r="45" spans="1:6" ht="15" x14ac:dyDescent="0.25">
      <c r="A45" s="673" t="s">
        <v>964</v>
      </c>
      <c r="B45" s="1855" t="s">
        <v>952</v>
      </c>
      <c r="C45" s="1855"/>
      <c r="D45" s="1855"/>
      <c r="E45" s="1855"/>
      <c r="F45" s="897"/>
    </row>
    <row r="46" spans="1:6" ht="15" x14ac:dyDescent="0.25">
      <c r="A46" s="673" t="s">
        <v>965</v>
      </c>
      <c r="B46" s="827" t="s">
        <v>966</v>
      </c>
      <c r="C46" s="376">
        <v>0</v>
      </c>
      <c r="D46" s="647">
        <v>811600</v>
      </c>
      <c r="E46" s="827">
        <f>C46*D46</f>
        <v>0</v>
      </c>
      <c r="F46" s="377">
        <v>0</v>
      </c>
    </row>
    <row r="47" spans="1:6" ht="15" x14ac:dyDescent="0.25">
      <c r="A47" s="673" t="s">
        <v>967</v>
      </c>
      <c r="B47" s="827" t="s">
        <v>968</v>
      </c>
      <c r="C47" s="376">
        <v>9</v>
      </c>
      <c r="D47" s="647">
        <v>622000</v>
      </c>
      <c r="E47" s="827">
        <f>+C47*D47</f>
        <v>5598000</v>
      </c>
      <c r="F47" s="377">
        <v>5598000</v>
      </c>
    </row>
    <row r="48" spans="1:6" ht="15" x14ac:dyDescent="0.25">
      <c r="A48" s="673" t="s">
        <v>969</v>
      </c>
      <c r="B48" s="827" t="s">
        <v>970</v>
      </c>
      <c r="C48" s="376">
        <v>0</v>
      </c>
      <c r="D48" s="647">
        <v>249000</v>
      </c>
      <c r="E48" s="827">
        <f>+C48*D48</f>
        <v>0</v>
      </c>
      <c r="F48" s="377">
        <v>0</v>
      </c>
    </row>
    <row r="49" spans="1:6" ht="30" x14ac:dyDescent="0.25">
      <c r="A49" s="673" t="s">
        <v>971</v>
      </c>
      <c r="B49" s="690" t="s">
        <v>972</v>
      </c>
      <c r="C49" s="376"/>
      <c r="D49" s="647"/>
      <c r="E49" s="837">
        <f>+E51+E52</f>
        <v>217168000</v>
      </c>
      <c r="F49" s="391">
        <f>+F51+F52</f>
        <v>217168000</v>
      </c>
    </row>
    <row r="50" spans="1:6" ht="15" x14ac:dyDescent="0.25">
      <c r="A50" s="673" t="s">
        <v>973</v>
      </c>
      <c r="B50" s="1855" t="s">
        <v>952</v>
      </c>
      <c r="C50" s="1855"/>
      <c r="D50" s="1855"/>
      <c r="E50" s="1855"/>
      <c r="F50" s="897"/>
    </row>
    <row r="51" spans="1:6" ht="15" x14ac:dyDescent="0.25">
      <c r="A51" s="823" t="s">
        <v>1428</v>
      </c>
      <c r="B51" s="691" t="s">
        <v>974</v>
      </c>
      <c r="C51" s="376">
        <v>56</v>
      </c>
      <c r="D51" s="647">
        <v>3339000</v>
      </c>
      <c r="E51" s="836">
        <f>+D51*C51+30184000</f>
        <v>217168000</v>
      </c>
      <c r="F51" s="689">
        <v>217168000</v>
      </c>
    </row>
    <row r="52" spans="1:6" ht="15" x14ac:dyDescent="0.25">
      <c r="A52" s="838" t="s">
        <v>975</v>
      </c>
      <c r="B52" s="839" t="s">
        <v>976</v>
      </c>
      <c r="C52" s="648"/>
      <c r="D52" s="649">
        <v>4861500</v>
      </c>
      <c r="E52" s="840"/>
      <c r="F52" s="898"/>
    </row>
    <row r="53" spans="1:6" ht="37.5" x14ac:dyDescent="0.3">
      <c r="A53" s="841" t="s">
        <v>977</v>
      </c>
      <c r="B53" s="893" t="s">
        <v>978</v>
      </c>
      <c r="C53" s="843"/>
      <c r="D53" s="844"/>
      <c r="E53" s="842">
        <f>+E54+E55+E64+E69</f>
        <v>240122892</v>
      </c>
      <c r="F53" s="845">
        <f>+F54+F55+F64+F69</f>
        <v>283092272</v>
      </c>
    </row>
    <row r="54" spans="1:6" ht="15" x14ac:dyDescent="0.25">
      <c r="A54" s="820" t="s">
        <v>979</v>
      </c>
      <c r="B54" s="846" t="s">
        <v>980</v>
      </c>
      <c r="C54" s="847"/>
      <c r="D54" s="848"/>
      <c r="E54" s="846">
        <f>+C54*D54</f>
        <v>0</v>
      </c>
      <c r="F54" s="849">
        <v>0</v>
      </c>
    </row>
    <row r="55" spans="1:6" ht="15" x14ac:dyDescent="0.25">
      <c r="A55" s="673" t="s">
        <v>981</v>
      </c>
      <c r="B55" s="837" t="s">
        <v>1921</v>
      </c>
      <c r="C55" s="376"/>
      <c r="D55" s="647"/>
      <c r="E55" s="837">
        <f>+E56+E58+E60+E61+E62</f>
        <v>48011692</v>
      </c>
      <c r="F55" s="391">
        <f>+F56+F58+F60+F61+F62</f>
        <v>48613372</v>
      </c>
    </row>
    <row r="56" spans="1:6" ht="15" x14ac:dyDescent="0.25">
      <c r="A56" s="673" t="s">
        <v>1429</v>
      </c>
      <c r="B56" s="827" t="s">
        <v>982</v>
      </c>
      <c r="C56" s="376">
        <f>+E56/D56</f>
        <v>5.7421006474726175</v>
      </c>
      <c r="D56" s="647">
        <v>4287440</v>
      </c>
      <c r="E56" s="827">
        <f>20579712+4039200</f>
        <v>24618912</v>
      </c>
      <c r="F56" s="377">
        <f>20579712+4039200</f>
        <v>24618912</v>
      </c>
    </row>
    <row r="57" spans="1:6" ht="15" x14ac:dyDescent="0.25">
      <c r="A57" s="673" t="s">
        <v>983</v>
      </c>
      <c r="B57" s="1856" t="s">
        <v>98</v>
      </c>
      <c r="C57" s="1856"/>
      <c r="D57" s="1856"/>
      <c r="E57" s="1856"/>
      <c r="F57" s="897"/>
    </row>
    <row r="58" spans="1:6" ht="15" x14ac:dyDescent="0.25">
      <c r="A58" s="823" t="s">
        <v>1430</v>
      </c>
      <c r="B58" s="827" t="s">
        <v>984</v>
      </c>
      <c r="C58" s="376">
        <v>95</v>
      </c>
      <c r="D58" s="691">
        <v>67810</v>
      </c>
      <c r="E58" s="691">
        <f>+D58*C58+570000</f>
        <v>7011950</v>
      </c>
      <c r="F58" s="692">
        <f>7011950-67810+406860+30000</f>
        <v>7381000</v>
      </c>
    </row>
    <row r="59" spans="1:6" ht="15" x14ac:dyDescent="0.25">
      <c r="A59" s="673" t="s">
        <v>985</v>
      </c>
      <c r="B59" s="1856" t="s">
        <v>99</v>
      </c>
      <c r="C59" s="1856"/>
      <c r="D59" s="1856"/>
      <c r="E59" s="1856"/>
      <c r="F59" s="897"/>
    </row>
    <row r="60" spans="1:6" ht="15" x14ac:dyDescent="0.25">
      <c r="A60" s="673" t="s">
        <v>986</v>
      </c>
      <c r="B60" s="827" t="s">
        <v>549</v>
      </c>
      <c r="C60" s="376">
        <v>4</v>
      </c>
      <c r="D60" s="691">
        <v>25000</v>
      </c>
      <c r="E60" s="827">
        <f>+D60*C60</f>
        <v>100000</v>
      </c>
      <c r="F60" s="377">
        <f>100000-25000-25000</f>
        <v>50000</v>
      </c>
    </row>
    <row r="61" spans="1:6" ht="15" x14ac:dyDescent="0.25">
      <c r="A61" s="673" t="s">
        <v>1431</v>
      </c>
      <c r="B61" s="827" t="s">
        <v>987</v>
      </c>
      <c r="C61" s="693">
        <v>26</v>
      </c>
      <c r="D61" s="647">
        <v>381130</v>
      </c>
      <c r="E61" s="827">
        <f>+C61*D61+2132000</f>
        <v>12041380</v>
      </c>
      <c r="F61" s="377">
        <v>12041380</v>
      </c>
    </row>
    <row r="62" spans="1:6" ht="15" x14ac:dyDescent="0.25">
      <c r="A62" s="834" t="s">
        <v>988</v>
      </c>
      <c r="B62" s="392" t="s">
        <v>100</v>
      </c>
      <c r="C62" s="850"/>
      <c r="D62" s="850"/>
      <c r="E62" s="850">
        <f>+E63</f>
        <v>4239450</v>
      </c>
      <c r="F62" s="851">
        <f>+F63</f>
        <v>4522080</v>
      </c>
    </row>
    <row r="63" spans="1:6" ht="15" x14ac:dyDescent="0.25">
      <c r="A63" s="673" t="s">
        <v>1432</v>
      </c>
      <c r="B63" s="392" t="s">
        <v>989</v>
      </c>
      <c r="C63" s="693">
        <v>15</v>
      </c>
      <c r="D63" s="647">
        <v>225630</v>
      </c>
      <c r="E63" s="827">
        <f>+C63*D63+855000</f>
        <v>4239450</v>
      </c>
      <c r="F63" s="377">
        <f>4239450+676890-451260+57000</f>
        <v>4522080</v>
      </c>
    </row>
    <row r="64" spans="1:6" ht="15.75" x14ac:dyDescent="0.25">
      <c r="A64" s="674" t="s">
        <v>990</v>
      </c>
      <c r="B64" s="852" t="s">
        <v>622</v>
      </c>
      <c r="C64" s="852"/>
      <c r="D64" s="852"/>
      <c r="E64" s="688">
        <f>+E66+E67+E68</f>
        <v>192111200</v>
      </c>
      <c r="F64" s="853">
        <f>+F66+F67+F68</f>
        <v>234478900</v>
      </c>
    </row>
    <row r="65" spans="1:7" ht="15.75" x14ac:dyDescent="0.25">
      <c r="A65" s="674" t="s">
        <v>991</v>
      </c>
      <c r="B65" s="1857" t="s">
        <v>992</v>
      </c>
      <c r="C65" s="1857"/>
      <c r="D65" s="1857"/>
      <c r="E65" s="1857"/>
      <c r="F65" s="897"/>
    </row>
    <row r="66" spans="1:7" ht="15.75" x14ac:dyDescent="0.25">
      <c r="A66" s="674" t="s">
        <v>1433</v>
      </c>
      <c r="B66" s="650" t="s">
        <v>623</v>
      </c>
      <c r="C66" s="651">
        <v>6</v>
      </c>
      <c r="D66" s="647">
        <v>5100000</v>
      </c>
      <c r="E66" s="653">
        <f>+D66*C66+11344200</f>
        <v>41944200</v>
      </c>
      <c r="F66" s="654">
        <f>41944200+5100000+1890700</f>
        <v>48934900</v>
      </c>
    </row>
    <row r="67" spans="1:7" ht="15.75" x14ac:dyDescent="0.25">
      <c r="A67" s="674" t="s">
        <v>1434</v>
      </c>
      <c r="B67" s="650" t="s">
        <v>624</v>
      </c>
      <c r="C67" s="651">
        <v>19</v>
      </c>
      <c r="D67" s="647">
        <v>4260000</v>
      </c>
      <c r="E67" s="653">
        <f>+D67*C67+22667000</f>
        <v>103607000</v>
      </c>
      <c r="F67" s="654">
        <f>103607000+21300000-4260000+4772000</f>
        <v>125419000</v>
      </c>
    </row>
    <row r="68" spans="1:7" ht="18.75" x14ac:dyDescent="0.3">
      <c r="A68" s="674" t="s">
        <v>993</v>
      </c>
      <c r="B68" s="885" t="s">
        <v>994</v>
      </c>
      <c r="C68" s="657"/>
      <c r="D68" s="647"/>
      <c r="E68" s="827">
        <v>46560000</v>
      </c>
      <c r="F68" s="377">
        <f>46560000+13565000</f>
        <v>60125000</v>
      </c>
    </row>
    <row r="69" spans="1:7" ht="32.25" x14ac:dyDescent="0.3">
      <c r="A69" s="674" t="s">
        <v>995</v>
      </c>
      <c r="B69" s="652" t="s">
        <v>415</v>
      </c>
      <c r="C69" s="657"/>
      <c r="D69" s="657"/>
      <c r="E69" s="827"/>
      <c r="F69" s="899"/>
      <c r="G69" s="1518">
        <f>+F53+F71+F86</f>
        <v>545251287</v>
      </c>
    </row>
    <row r="70" spans="1:7" ht="15.75" x14ac:dyDescent="0.25">
      <c r="A70" s="854" t="s">
        <v>996</v>
      </c>
      <c r="B70" s="812" t="s">
        <v>997</v>
      </c>
      <c r="C70" s="855"/>
      <c r="D70" s="814">
        <v>4234040</v>
      </c>
      <c r="E70" s="814"/>
      <c r="F70" s="900"/>
    </row>
    <row r="71" spans="1:7" ht="37.5" x14ac:dyDescent="0.3">
      <c r="A71" s="816" t="s">
        <v>998</v>
      </c>
      <c r="B71" s="893" t="s">
        <v>999</v>
      </c>
      <c r="C71" s="856"/>
      <c r="D71" s="856"/>
      <c r="E71" s="857">
        <f>+E72+E75</f>
        <v>174329070</v>
      </c>
      <c r="F71" s="858">
        <f>+F72+F75</f>
        <v>232116052</v>
      </c>
      <c r="G71" s="1518">
        <f>+E53+E71</f>
        <v>414451962</v>
      </c>
    </row>
    <row r="72" spans="1:7" ht="15.75" x14ac:dyDescent="0.25">
      <c r="A72" s="859" t="s">
        <v>1000</v>
      </c>
      <c r="B72" s="860" t="s">
        <v>1001</v>
      </c>
      <c r="C72" s="861"/>
      <c r="D72" s="862"/>
      <c r="E72" s="863">
        <f>+E73+E74</f>
        <v>174154650</v>
      </c>
      <c r="F72" s="864">
        <f>+F73+F74</f>
        <v>231991792</v>
      </c>
    </row>
    <row r="73" spans="1:7" ht="15.75" x14ac:dyDescent="0.25">
      <c r="A73" s="675" t="s">
        <v>1435</v>
      </c>
      <c r="B73" s="650" t="s">
        <v>1002</v>
      </c>
      <c r="C73" s="651">
        <v>32.630000000000003</v>
      </c>
      <c r="D73" s="681">
        <v>2442000</v>
      </c>
      <c r="E73" s="827">
        <f>+D73*C73+8428329</f>
        <v>88110789</v>
      </c>
      <c r="F73" s="899">
        <f>88110789+14529900+1536885</f>
        <v>104177574</v>
      </c>
    </row>
    <row r="74" spans="1:7" ht="15.75" x14ac:dyDescent="0.25">
      <c r="A74" s="675" t="s">
        <v>1003</v>
      </c>
      <c r="B74" s="885" t="s">
        <v>1004</v>
      </c>
      <c r="C74" s="651"/>
      <c r="D74" s="681"/>
      <c r="E74" s="827">
        <v>86043861</v>
      </c>
      <c r="F74" s="377">
        <f>86043861+28937657+12832700</f>
        <v>127814218</v>
      </c>
    </row>
    <row r="75" spans="1:7" ht="15.75" x14ac:dyDescent="0.25">
      <c r="A75" s="865" t="s">
        <v>1005</v>
      </c>
      <c r="B75" s="866" t="s">
        <v>1006</v>
      </c>
      <c r="C75" s="855">
        <v>612</v>
      </c>
      <c r="D75" s="867">
        <v>285</v>
      </c>
      <c r="E75" s="866">
        <f>+D75*C75</f>
        <v>174420</v>
      </c>
      <c r="F75" s="901">
        <f>174420-1140-49020</f>
        <v>124260</v>
      </c>
    </row>
    <row r="76" spans="1:7" ht="37.5" x14ac:dyDescent="0.3">
      <c r="A76" s="868" t="s">
        <v>1007</v>
      </c>
      <c r="B76" s="892" t="s">
        <v>101</v>
      </c>
      <c r="C76" s="869"/>
      <c r="D76" s="869"/>
      <c r="E76" s="857">
        <f>+E77</f>
        <v>52576454</v>
      </c>
      <c r="F76" s="858">
        <f>+F77</f>
        <v>52576454</v>
      </c>
    </row>
    <row r="77" spans="1:7" ht="15.75" x14ac:dyDescent="0.25">
      <c r="A77" s="870" t="s">
        <v>1008</v>
      </c>
      <c r="B77" s="871" t="s">
        <v>102</v>
      </c>
      <c r="C77" s="872">
        <f>+E77/D77</f>
        <v>23758</v>
      </c>
      <c r="D77" s="873">
        <v>2213</v>
      </c>
      <c r="E77" s="874">
        <v>52576454</v>
      </c>
      <c r="F77" s="875">
        <v>52576454</v>
      </c>
      <c r="G77" s="695"/>
    </row>
    <row r="78" spans="1:7" ht="15.75" x14ac:dyDescent="0.25">
      <c r="A78" s="1858" t="s">
        <v>103</v>
      </c>
      <c r="B78" s="1859"/>
      <c r="C78" s="817"/>
      <c r="D78" s="876"/>
      <c r="E78" s="876">
        <f>+E8+E24+E53+E71+E76</f>
        <v>1732867023</v>
      </c>
      <c r="F78" s="877">
        <f>+F8+F24+F53+F71+F76</f>
        <v>1831522435</v>
      </c>
      <c r="G78" s="656"/>
    </row>
    <row r="79" spans="1:7" ht="15.75" x14ac:dyDescent="0.25">
      <c r="A79" s="878"/>
      <c r="B79" s="879"/>
      <c r="C79" s="879"/>
      <c r="D79" s="879"/>
      <c r="E79" s="879"/>
      <c r="F79" s="880"/>
    </row>
    <row r="80" spans="1:7" ht="15.75" x14ac:dyDescent="0.25">
      <c r="A80" s="1858" t="s">
        <v>548</v>
      </c>
      <c r="B80" s="1859"/>
      <c r="C80" s="817"/>
      <c r="D80" s="876"/>
      <c r="E80" s="876">
        <v>898020658</v>
      </c>
      <c r="F80" s="877">
        <v>898020658</v>
      </c>
      <c r="G80" s="1163">
        <f>+F55+F64+F86</f>
        <v>313135235</v>
      </c>
    </row>
    <row r="81" spans="1:9" ht="15.75" x14ac:dyDescent="0.25">
      <c r="A81" s="1301"/>
      <c r="B81" s="879"/>
      <c r="C81" s="879"/>
      <c r="D81" s="879"/>
      <c r="E81" s="879"/>
      <c r="F81" s="880"/>
    </row>
    <row r="82" spans="1:9" ht="18.75" x14ac:dyDescent="0.3">
      <c r="A82" s="1853" t="s">
        <v>1299</v>
      </c>
      <c r="B82" s="1854"/>
      <c r="C82" s="881"/>
      <c r="D82" s="882"/>
      <c r="E82" s="883">
        <f>+E78-E80</f>
        <v>834846365</v>
      </c>
      <c r="F82" s="884">
        <f>+F78-F80</f>
        <v>933501777</v>
      </c>
      <c r="G82" s="1163">
        <f>+F76+F88+F87</f>
        <v>53165454</v>
      </c>
      <c r="I82" s="1163">
        <f>+F53+F86</f>
        <v>313135235</v>
      </c>
    </row>
    <row r="83" spans="1:9" ht="18.75" x14ac:dyDescent="0.3">
      <c r="A83" s="1148"/>
      <c r="B83" s="1149"/>
      <c r="C83" s="314"/>
      <c r="D83" s="1150"/>
      <c r="E83" s="1151"/>
      <c r="F83" s="1152"/>
    </row>
    <row r="84" spans="1:9" ht="18.75" customHeight="1" x14ac:dyDescent="0.3">
      <c r="A84" s="1848" t="s">
        <v>1786</v>
      </c>
      <c r="B84" s="1849"/>
      <c r="C84" s="1849"/>
      <c r="D84" s="1849"/>
      <c r="E84" s="1162"/>
      <c r="F84" s="1161"/>
    </row>
    <row r="85" spans="1:9" ht="25.5" x14ac:dyDescent="0.2">
      <c r="A85" s="1153" t="s">
        <v>1787</v>
      </c>
      <c r="B85" s="1154" t="s">
        <v>2490</v>
      </c>
      <c r="C85" s="1850"/>
      <c r="D85" s="1850"/>
      <c r="E85" s="1302"/>
      <c r="F85" s="1155">
        <v>0</v>
      </c>
    </row>
    <row r="86" spans="1:9" ht="15.75" x14ac:dyDescent="0.2">
      <c r="A86" s="1156" t="s">
        <v>1788</v>
      </c>
      <c r="B86" s="76" t="s">
        <v>1789</v>
      </c>
      <c r="C86" s="1851"/>
      <c r="D86" s="1851"/>
      <c r="E86" s="146"/>
      <c r="F86" s="1157">
        <f>2037004+2619348+2596264+2663304+2607203+2612303+2570921+2510268+2523290+2618209+2325296+2359553</f>
        <v>30042963</v>
      </c>
      <c r="G86" s="656">
        <f>+F78+F90+F94+F6</f>
        <v>2374477160</v>
      </c>
      <c r="I86" s="656">
        <f>+'1.b sz. Önkormányzat 2022.'!BW30</f>
        <v>2374477160</v>
      </c>
    </row>
    <row r="87" spans="1:9" ht="15.75" x14ac:dyDescent="0.2">
      <c r="A87" s="1156" t="s">
        <v>1790</v>
      </c>
      <c r="B87" s="76" t="s">
        <v>1791</v>
      </c>
      <c r="C87" s="1851"/>
      <c r="D87" s="1851"/>
      <c r="E87" s="146"/>
      <c r="F87" s="1157">
        <v>589000</v>
      </c>
    </row>
    <row r="88" spans="1:9" ht="15.75" x14ac:dyDescent="0.2">
      <c r="A88" s="1156" t="s">
        <v>1792</v>
      </c>
      <c r="B88" s="76" t="s">
        <v>1793</v>
      </c>
      <c r="C88" s="1851"/>
      <c r="D88" s="1851"/>
      <c r="E88" s="146"/>
      <c r="F88" s="1157">
        <v>0</v>
      </c>
    </row>
    <row r="89" spans="1:9" ht="15.75" x14ac:dyDescent="0.2">
      <c r="A89" s="1158" t="s">
        <v>1794</v>
      </c>
      <c r="B89" s="77" t="s">
        <v>1795</v>
      </c>
      <c r="C89" s="1863"/>
      <c r="D89" s="1863"/>
      <c r="E89" s="150"/>
      <c r="F89" s="1159">
        <v>123753075</v>
      </c>
    </row>
    <row r="90" spans="1:9" ht="15.75" x14ac:dyDescent="0.25">
      <c r="A90" s="1864" t="s">
        <v>1796</v>
      </c>
      <c r="B90" s="1865"/>
      <c r="C90" s="1866">
        <f>+E85+E86+E87+E88</f>
        <v>0</v>
      </c>
      <c r="D90" s="1866"/>
      <c r="E90" s="1866"/>
      <c r="F90" s="1160">
        <f>F85+F86+F87+F88+F89</f>
        <v>154385038</v>
      </c>
    </row>
    <row r="91" spans="1:9" x14ac:dyDescent="0.2">
      <c r="A91" s="1391"/>
      <c r="F91" s="1392"/>
    </row>
    <row r="92" spans="1:9" ht="60" x14ac:dyDescent="0.2">
      <c r="A92" s="1393" t="s">
        <v>2444</v>
      </c>
      <c r="B92" s="1394" t="s">
        <v>2</v>
      </c>
      <c r="C92" s="1394" t="s">
        <v>91</v>
      </c>
      <c r="D92" s="1394" t="s">
        <v>92</v>
      </c>
      <c r="E92" s="1394" t="s">
        <v>1630</v>
      </c>
      <c r="F92" s="1395" t="s">
        <v>1631</v>
      </c>
    </row>
    <row r="93" spans="1:9" ht="15.75" x14ac:dyDescent="0.25">
      <c r="A93" s="1396"/>
      <c r="B93" s="1397" t="s">
        <v>2445</v>
      </c>
      <c r="C93" s="1398"/>
      <c r="D93" s="1398"/>
      <c r="E93" s="1398"/>
      <c r="F93" s="1157">
        <f>7953135+804000</f>
        <v>8757135</v>
      </c>
    </row>
    <row r="94" spans="1:9" ht="15.75" x14ac:dyDescent="0.25">
      <c r="A94" s="1860" t="s">
        <v>118</v>
      </c>
      <c r="B94" s="1861"/>
      <c r="C94" s="1862"/>
      <c r="D94" s="1862"/>
      <c r="E94" s="1862"/>
      <c r="F94" s="1399">
        <f>SUM(F93:F93)</f>
        <v>8757135</v>
      </c>
    </row>
    <row r="95" spans="1:9" ht="18.75" x14ac:dyDescent="0.3">
      <c r="A95" s="1149"/>
      <c r="B95" s="1149"/>
      <c r="C95" s="314"/>
      <c r="D95" s="1150"/>
      <c r="E95" s="1151"/>
      <c r="F95" s="1151"/>
    </row>
    <row r="96" spans="1:9" x14ac:dyDescent="0.2">
      <c r="A96" s="314"/>
      <c r="B96" s="314"/>
      <c r="C96" s="314"/>
      <c r="D96" s="314"/>
      <c r="E96" s="314"/>
      <c r="F96" s="314"/>
    </row>
    <row r="97" spans="1:6" x14ac:dyDescent="0.2">
      <c r="A97" s="314" t="s">
        <v>1436</v>
      </c>
      <c r="B97" s="314"/>
      <c r="C97" s="314"/>
      <c r="D97" s="314"/>
      <c r="E97" s="314"/>
      <c r="F97" s="314"/>
    </row>
    <row r="98" spans="1:6" x14ac:dyDescent="0.2">
      <c r="A98" s="314"/>
      <c r="B98" s="314"/>
      <c r="C98" s="314"/>
      <c r="D98" s="314"/>
      <c r="E98" s="314"/>
      <c r="F98" s="314"/>
    </row>
    <row r="99" spans="1:6" x14ac:dyDescent="0.2">
      <c r="A99" s="314"/>
      <c r="B99" s="314"/>
      <c r="C99" s="314"/>
      <c r="D99" s="314"/>
      <c r="E99" s="314"/>
      <c r="F99" s="314"/>
    </row>
    <row r="100" spans="1:6" x14ac:dyDescent="0.2">
      <c r="A100" s="314"/>
      <c r="B100" s="314"/>
      <c r="C100" s="314"/>
      <c r="D100" s="314"/>
      <c r="E100" s="314"/>
      <c r="F100" s="314"/>
    </row>
    <row r="101" spans="1:6" x14ac:dyDescent="0.2">
      <c r="A101" s="314"/>
      <c r="B101" s="314"/>
      <c r="C101" s="314"/>
      <c r="D101" s="314"/>
      <c r="E101" s="314"/>
      <c r="F101" s="314"/>
    </row>
    <row r="102" spans="1:6" x14ac:dyDescent="0.2">
      <c r="A102" s="314"/>
      <c r="B102" s="314"/>
      <c r="C102" s="314"/>
      <c r="D102" s="314"/>
      <c r="E102" s="314"/>
      <c r="F102" s="314"/>
    </row>
    <row r="103" spans="1:6" x14ac:dyDescent="0.2">
      <c r="A103" s="314"/>
      <c r="B103" s="314"/>
      <c r="C103" s="314"/>
      <c r="D103" s="314"/>
      <c r="E103" s="314"/>
      <c r="F103" s="314"/>
    </row>
  </sheetData>
  <mergeCells count="22">
    <mergeCell ref="C87:D87"/>
    <mergeCell ref="A94:B94"/>
    <mergeCell ref="C94:E94"/>
    <mergeCell ref="C89:D89"/>
    <mergeCell ref="A90:B90"/>
    <mergeCell ref="C90:E90"/>
    <mergeCell ref="C88:D88"/>
    <mergeCell ref="A84:B84"/>
    <mergeCell ref="C84:D84"/>
    <mergeCell ref="C85:D85"/>
    <mergeCell ref="C86:D86"/>
    <mergeCell ref="A1:F1"/>
    <mergeCell ref="A82:B82"/>
    <mergeCell ref="B35:E35"/>
    <mergeCell ref="B40:E40"/>
    <mergeCell ref="B45:E45"/>
    <mergeCell ref="B50:E50"/>
    <mergeCell ref="B57:E57"/>
    <mergeCell ref="B59:E59"/>
    <mergeCell ref="B65:E65"/>
    <mergeCell ref="A78:B78"/>
    <mergeCell ref="A80:B80"/>
  </mergeCells>
  <printOptions horizontalCentered="1" verticalCentered="1"/>
  <pageMargins left="0.31496062992125984" right="0.31496062992125984" top="0.35433070866141736" bottom="0.35433070866141736" header="0.31496062992125984" footer="0.31496062992125984"/>
  <pageSetup paperSize="9" scale="55" orientation="landscape" r:id="rId1"/>
  <headerFooter>
    <oddHeader>&amp;C2022. évi költségvetés&amp;R&amp;A</oddHeader>
    <oddFooter>&amp;C&amp;P/&amp;N</oddFooter>
  </headerFooter>
  <rowBreaks count="1" manualBreakCount="1">
    <brk id="5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4"/>
  <sheetViews>
    <sheetView view="pageBreakPreview" zoomScale="90" zoomScaleNormal="100" zoomScaleSheetLayoutView="90" workbookViewId="0">
      <selection activeCell="V39" sqref="V39"/>
    </sheetView>
  </sheetViews>
  <sheetFormatPr defaultColWidth="9.140625" defaultRowHeight="12.75" x14ac:dyDescent="0.2"/>
  <cols>
    <col min="1" max="1" width="3.7109375" style="20" customWidth="1"/>
    <col min="2" max="2" width="5.7109375" style="20" customWidth="1"/>
    <col min="3" max="3" width="5.85546875" style="20" customWidth="1"/>
    <col min="4" max="4" width="45.7109375" style="20" customWidth="1"/>
    <col min="5" max="24" width="15.7109375" style="20" customWidth="1"/>
    <col min="25" max="28" width="15.5703125" style="20" customWidth="1"/>
    <col min="29" max="29" width="15.28515625" style="20" customWidth="1"/>
    <col min="30" max="30" width="15.5703125" style="20" bestFit="1" customWidth="1"/>
    <col min="31" max="16384" width="9.140625" style="20"/>
  </cols>
  <sheetData>
    <row r="1" spans="1:30" ht="23.25" customHeight="1" x14ac:dyDescent="0.2">
      <c r="A1" s="1714" t="s">
        <v>2317</v>
      </c>
      <c r="B1" s="1714"/>
      <c r="C1" s="1714"/>
      <c r="D1" s="1714"/>
      <c r="E1" s="1714"/>
      <c r="F1" s="1714"/>
      <c r="G1" s="1714"/>
      <c r="H1" s="1714"/>
      <c r="I1" s="1714"/>
      <c r="J1" s="1714"/>
      <c r="K1" s="1714"/>
      <c r="L1" s="1714"/>
      <c r="M1" s="1714"/>
      <c r="N1" s="1714"/>
      <c r="O1" s="1714"/>
      <c r="P1" s="1714"/>
      <c r="Q1" s="1714" t="s">
        <v>2317</v>
      </c>
      <c r="R1" s="1714"/>
      <c r="S1" s="1714"/>
      <c r="T1" s="1714"/>
      <c r="U1" s="1714"/>
      <c r="V1" s="1714"/>
      <c r="W1" s="1714"/>
      <c r="X1" s="1714"/>
      <c r="Y1" s="1714"/>
      <c r="Z1" s="1714"/>
      <c r="AA1" s="1714"/>
      <c r="AB1" s="1714"/>
      <c r="AC1" s="1714"/>
      <c r="AD1" s="1714"/>
    </row>
    <row r="2" spans="1:30" ht="12.75" customHeight="1" x14ac:dyDescent="0.25">
      <c r="A2" s="704"/>
      <c r="B2" s="47"/>
      <c r="C2" s="47"/>
      <c r="D2" s="47"/>
      <c r="E2" s="47"/>
      <c r="F2" s="47"/>
      <c r="G2" s="47"/>
      <c r="H2" s="47"/>
      <c r="I2" s="47"/>
      <c r="J2" s="47"/>
      <c r="K2" s="47"/>
      <c r="L2" s="47"/>
      <c r="M2" s="47"/>
      <c r="N2" s="47"/>
      <c r="O2" s="47"/>
      <c r="P2" s="109" t="s">
        <v>444</v>
      </c>
      <c r="Q2" s="47"/>
      <c r="R2" s="47"/>
      <c r="S2" s="47"/>
      <c r="T2" s="47"/>
      <c r="V2" s="47"/>
      <c r="W2" s="47"/>
      <c r="X2" s="47"/>
      <c r="Y2" s="47"/>
      <c r="Z2" s="47"/>
      <c r="AA2" s="47"/>
      <c r="AB2" s="47"/>
      <c r="AC2" s="47"/>
      <c r="AD2" s="109" t="s">
        <v>444</v>
      </c>
    </row>
    <row r="3" spans="1:30" ht="34.5" customHeight="1" x14ac:dyDescent="0.2">
      <c r="A3" s="1726" t="s">
        <v>53</v>
      </c>
      <c r="B3" s="1726" t="s">
        <v>742</v>
      </c>
      <c r="C3" s="1726" t="s">
        <v>55</v>
      </c>
      <c r="D3" s="1724" t="s">
        <v>2</v>
      </c>
      <c r="E3" s="751" t="s">
        <v>279</v>
      </c>
      <c r="F3" s="1115" t="s">
        <v>1512</v>
      </c>
      <c r="G3" s="1115" t="s">
        <v>279</v>
      </c>
      <c r="H3" s="1115" t="s">
        <v>1512</v>
      </c>
      <c r="I3" s="1115" t="s">
        <v>279</v>
      </c>
      <c r="J3" s="1115" t="s">
        <v>1512</v>
      </c>
      <c r="K3" s="1115" t="s">
        <v>279</v>
      </c>
      <c r="L3" s="1115" t="s">
        <v>1512</v>
      </c>
      <c r="M3" s="1115" t="s">
        <v>279</v>
      </c>
      <c r="N3" s="1115" t="s">
        <v>1512</v>
      </c>
      <c r="O3" s="1115" t="s">
        <v>279</v>
      </c>
      <c r="P3" s="1116" t="s">
        <v>1512</v>
      </c>
      <c r="Q3" s="756" t="s">
        <v>279</v>
      </c>
      <c r="R3" s="1115" t="s">
        <v>1512</v>
      </c>
      <c r="S3" s="756" t="s">
        <v>279</v>
      </c>
      <c r="T3" s="1115" t="s">
        <v>1512</v>
      </c>
      <c r="U3" s="1115" t="s">
        <v>279</v>
      </c>
      <c r="V3" s="1115" t="s">
        <v>1512</v>
      </c>
      <c r="W3" s="1115" t="s">
        <v>279</v>
      </c>
      <c r="X3" s="1115" t="s">
        <v>1512</v>
      </c>
      <c r="Y3" s="1115" t="s">
        <v>279</v>
      </c>
      <c r="Z3" s="1115" t="s">
        <v>1512</v>
      </c>
      <c r="AA3" s="1115" t="s">
        <v>279</v>
      </c>
      <c r="AB3" s="902" t="s">
        <v>1512</v>
      </c>
      <c r="AC3" s="1546" t="s">
        <v>279</v>
      </c>
      <c r="AD3" s="1546" t="s">
        <v>1512</v>
      </c>
    </row>
    <row r="4" spans="1:30" ht="117.75" customHeight="1" x14ac:dyDescent="0.2">
      <c r="A4" s="1727"/>
      <c r="B4" s="1727"/>
      <c r="C4" s="1727"/>
      <c r="D4" s="1725"/>
      <c r="E4" s="903" t="s">
        <v>252</v>
      </c>
      <c r="F4" s="752" t="s">
        <v>252</v>
      </c>
      <c r="G4" s="752" t="s">
        <v>2318</v>
      </c>
      <c r="H4" s="752" t="s">
        <v>2318</v>
      </c>
      <c r="I4" s="752" t="s">
        <v>390</v>
      </c>
      <c r="J4" s="752" t="s">
        <v>390</v>
      </c>
      <c r="K4" s="752" t="s">
        <v>424</v>
      </c>
      <c r="L4" s="752" t="s">
        <v>424</v>
      </c>
      <c r="M4" s="752" t="s">
        <v>1443</v>
      </c>
      <c r="N4" s="752" t="s">
        <v>1443</v>
      </c>
      <c r="O4" s="752" t="s">
        <v>597</v>
      </c>
      <c r="P4" s="768" t="s">
        <v>3172</v>
      </c>
      <c r="Q4" s="1140" t="s">
        <v>359</v>
      </c>
      <c r="R4" s="752" t="s">
        <v>3173</v>
      </c>
      <c r="S4" s="752" t="s">
        <v>2730</v>
      </c>
      <c r="T4" s="752" t="s">
        <v>2731</v>
      </c>
      <c r="U4" s="752" t="s">
        <v>642</v>
      </c>
      <c r="V4" s="752" t="s">
        <v>642</v>
      </c>
      <c r="W4" s="752" t="s">
        <v>341</v>
      </c>
      <c r="X4" s="752" t="s">
        <v>341</v>
      </c>
      <c r="Y4" s="752" t="s">
        <v>140</v>
      </c>
      <c r="Z4" s="752" t="s">
        <v>140</v>
      </c>
      <c r="AA4" s="752" t="s">
        <v>141</v>
      </c>
      <c r="AB4" s="768" t="s">
        <v>141</v>
      </c>
      <c r="AC4" s="1569" t="s">
        <v>118</v>
      </c>
      <c r="AD4" s="1569" t="s">
        <v>118</v>
      </c>
    </row>
    <row r="5" spans="1:30" s="39" customFormat="1" ht="22.5" customHeight="1" x14ac:dyDescent="0.2">
      <c r="A5" s="1719" t="s">
        <v>58</v>
      </c>
      <c r="B5" s="1720"/>
      <c r="C5" s="1720"/>
      <c r="D5" s="1720"/>
      <c r="E5" s="63">
        <f>SUM(E6:E14)</f>
        <v>1732867023</v>
      </c>
      <c r="F5" s="63">
        <f t="shared" ref="F5:AB5" si="0">SUM(F6:F14)</f>
        <v>2374477160</v>
      </c>
      <c r="G5" s="63">
        <f t="shared" si="0"/>
        <v>0</v>
      </c>
      <c r="H5" s="63">
        <f t="shared" si="0"/>
        <v>1484000</v>
      </c>
      <c r="I5" s="63">
        <f t="shared" si="0"/>
        <v>0</v>
      </c>
      <c r="J5" s="63">
        <f t="shared" si="0"/>
        <v>630000</v>
      </c>
      <c r="K5" s="63">
        <f t="shared" si="0"/>
        <v>2278940</v>
      </c>
      <c r="L5" s="63">
        <f t="shared" si="0"/>
        <v>2278944</v>
      </c>
      <c r="M5" s="63">
        <f t="shared" si="0"/>
        <v>0</v>
      </c>
      <c r="N5" s="63">
        <f t="shared" si="0"/>
        <v>159364724</v>
      </c>
      <c r="O5" s="63">
        <f t="shared" si="0"/>
        <v>0</v>
      </c>
      <c r="P5" s="706">
        <f>SUM(P6:P14)</f>
        <v>8841120</v>
      </c>
      <c r="Q5" s="757">
        <f t="shared" si="0"/>
        <v>0</v>
      </c>
      <c r="R5" s="63">
        <f t="shared" si="0"/>
        <v>7723234</v>
      </c>
      <c r="S5" s="63">
        <f t="shared" si="0"/>
        <v>0</v>
      </c>
      <c r="T5" s="63">
        <f>SUM(T6:T14)</f>
        <v>0</v>
      </c>
      <c r="U5" s="63">
        <f t="shared" si="0"/>
        <v>0</v>
      </c>
      <c r="V5" s="63">
        <f t="shared" si="0"/>
        <v>0</v>
      </c>
      <c r="W5" s="63">
        <f t="shared" si="0"/>
        <v>0</v>
      </c>
      <c r="X5" s="63">
        <f t="shared" si="0"/>
        <v>0</v>
      </c>
      <c r="Y5" s="63">
        <f t="shared" si="0"/>
        <v>0</v>
      </c>
      <c r="Z5" s="63">
        <f t="shared" si="0"/>
        <v>0</v>
      </c>
      <c r="AA5" s="63">
        <f t="shared" si="0"/>
        <v>0</v>
      </c>
      <c r="AB5" s="63">
        <f t="shared" si="0"/>
        <v>0</v>
      </c>
      <c r="AC5" s="96">
        <f>+E5+G5+I5+K5+M5+U5+W5+Y5+AA5+O5+Q5+S5</f>
        <v>1735145963</v>
      </c>
      <c r="AD5" s="96">
        <f>+F5+H5+J5+L5+N5+V5+X5+Z5+AB5+P5+R5+T5</f>
        <v>2554799182</v>
      </c>
    </row>
    <row r="6" spans="1:30" s="244" customFormat="1" ht="91.5" customHeight="1" x14ac:dyDescent="0.2">
      <c r="A6" s="55" t="s">
        <v>194</v>
      </c>
      <c r="B6" s="158">
        <v>501</v>
      </c>
      <c r="C6" s="326" t="s">
        <v>2547</v>
      </c>
      <c r="D6" s="334" t="s">
        <v>2319</v>
      </c>
      <c r="E6" s="335">
        <v>1732867023</v>
      </c>
      <c r="F6" s="335">
        <f>1742782943+2607203+7953135+2612303+589000+189906276+2570921+916400+35449080+28936517+189906276+2510268+2523290+2618209+123753075+2325296+2359553-2635450+770600+27313580-381900+6749700+1536885+804000</f>
        <v>2374477160</v>
      </c>
      <c r="G6" s="335"/>
      <c r="H6" s="335"/>
      <c r="I6" s="335"/>
      <c r="J6" s="335"/>
      <c r="K6" s="335"/>
      <c r="L6" s="335"/>
      <c r="M6" s="335"/>
      <c r="N6" s="335"/>
      <c r="O6" s="335"/>
      <c r="P6" s="755"/>
      <c r="Q6" s="758"/>
      <c r="R6" s="335"/>
      <c r="S6" s="335"/>
      <c r="T6" s="335"/>
      <c r="U6" s="335"/>
      <c r="V6" s="335"/>
      <c r="W6" s="335"/>
      <c r="X6" s="335"/>
      <c r="Y6" s="335"/>
      <c r="Z6" s="335"/>
      <c r="AA6" s="335"/>
      <c r="AB6" s="755"/>
      <c r="AC6" s="96">
        <f>+E6+G6+I6+K6+M6+U6+W6+Y6+AA6+O6+Q6+S6</f>
        <v>1732867023</v>
      </c>
      <c r="AD6" s="96">
        <f t="shared" ref="AD6:AD25" si="1">+F6+H6+J6+L6+N6+V6+X6+Z6+AB6+P6+R6+T6</f>
        <v>2374477160</v>
      </c>
    </row>
    <row r="7" spans="1:30" ht="27" customHeight="1" x14ac:dyDescent="0.2">
      <c r="A7" s="56" t="s">
        <v>195</v>
      </c>
      <c r="B7" s="140">
        <v>501</v>
      </c>
      <c r="C7" s="119" t="s">
        <v>2320</v>
      </c>
      <c r="D7" s="1490" t="s">
        <v>2321</v>
      </c>
      <c r="E7" s="131"/>
      <c r="F7" s="131">
        <f>16564354-16564354</f>
        <v>0</v>
      </c>
      <c r="G7" s="131"/>
      <c r="H7" s="131"/>
      <c r="I7" s="131"/>
      <c r="J7" s="131"/>
      <c r="K7" s="131"/>
      <c r="L7" s="131"/>
      <c r="M7" s="131"/>
      <c r="N7" s="131"/>
      <c r="O7" s="131"/>
      <c r="P7" s="386"/>
      <c r="Q7" s="317"/>
      <c r="R7" s="131"/>
      <c r="S7" s="131"/>
      <c r="T7" s="131"/>
      <c r="U7" s="131"/>
      <c r="V7" s="131"/>
      <c r="W7" s="131"/>
      <c r="X7" s="131"/>
      <c r="Y7" s="131"/>
      <c r="Z7" s="131"/>
      <c r="AA7" s="131"/>
      <c r="AB7" s="386"/>
      <c r="AC7" s="96">
        <f t="shared" ref="AC7:AC28" si="2">+E7+G7+I7+K7+M7+U7+W7+Y7+AA7+O7+Q7+S7</f>
        <v>0</v>
      </c>
      <c r="AD7" s="96">
        <f t="shared" si="1"/>
        <v>0</v>
      </c>
    </row>
    <row r="8" spans="1:30" ht="27" customHeight="1" x14ac:dyDescent="0.2">
      <c r="A8" s="56" t="s">
        <v>196</v>
      </c>
      <c r="B8" s="140" t="s">
        <v>153</v>
      </c>
      <c r="C8" s="119" t="s">
        <v>2320</v>
      </c>
      <c r="D8" s="1490" t="s">
        <v>2322</v>
      </c>
      <c r="E8" s="131"/>
      <c r="F8" s="1266"/>
      <c r="G8" s="131"/>
      <c r="H8" s="131">
        <v>1484000</v>
      </c>
      <c r="I8" s="131"/>
      <c r="J8" s="131"/>
      <c r="K8" s="131"/>
      <c r="L8" s="131"/>
      <c r="M8" s="131"/>
      <c r="N8" s="131"/>
      <c r="O8" s="131"/>
      <c r="P8" s="386"/>
      <c r="Q8" s="317"/>
      <c r="R8" s="131"/>
      <c r="S8" s="131"/>
      <c r="T8" s="131"/>
      <c r="U8" s="131"/>
      <c r="V8" s="131"/>
      <c r="W8" s="131"/>
      <c r="X8" s="131"/>
      <c r="Y8" s="131"/>
      <c r="Z8" s="131"/>
      <c r="AA8" s="131"/>
      <c r="AB8" s="386"/>
      <c r="AC8" s="96">
        <f t="shared" si="2"/>
        <v>0</v>
      </c>
      <c r="AD8" s="96">
        <f t="shared" si="1"/>
        <v>1484000</v>
      </c>
    </row>
    <row r="9" spans="1:30" ht="27" customHeight="1" x14ac:dyDescent="0.2">
      <c r="A9" s="56" t="s">
        <v>197</v>
      </c>
      <c r="B9" s="140">
        <v>310</v>
      </c>
      <c r="C9" s="119" t="s">
        <v>2320</v>
      </c>
      <c r="D9" s="1490" t="s">
        <v>2323</v>
      </c>
      <c r="E9" s="131"/>
      <c r="F9" s="131"/>
      <c r="G9" s="131"/>
      <c r="H9" s="131"/>
      <c r="I9" s="131"/>
      <c r="J9" s="131">
        <v>630000</v>
      </c>
      <c r="K9" s="131"/>
      <c r="L9" s="131"/>
      <c r="M9" s="131"/>
      <c r="N9" s="131"/>
      <c r="O9" s="131"/>
      <c r="P9" s="386"/>
      <c r="Q9" s="317"/>
      <c r="R9" s="131"/>
      <c r="S9" s="131"/>
      <c r="T9" s="131"/>
      <c r="U9" s="131"/>
      <c r="V9" s="131"/>
      <c r="W9" s="131"/>
      <c r="X9" s="131"/>
      <c r="Y9" s="131"/>
      <c r="Z9" s="131"/>
      <c r="AA9" s="131"/>
      <c r="AB9" s="386"/>
      <c r="AC9" s="96">
        <f t="shared" si="2"/>
        <v>0</v>
      </c>
      <c r="AD9" s="96">
        <f t="shared" si="1"/>
        <v>630000</v>
      </c>
    </row>
    <row r="10" spans="1:30" ht="27" customHeight="1" x14ac:dyDescent="0.2">
      <c r="A10" s="56" t="s">
        <v>198</v>
      </c>
      <c r="B10" s="140">
        <v>313</v>
      </c>
      <c r="C10" s="119" t="s">
        <v>2320</v>
      </c>
      <c r="D10" s="1490" t="s">
        <v>2324</v>
      </c>
      <c r="E10" s="131"/>
      <c r="F10" s="131"/>
      <c r="G10" s="131"/>
      <c r="H10" s="131"/>
      <c r="I10" s="131"/>
      <c r="J10" s="131"/>
      <c r="K10" s="131">
        <v>2278940</v>
      </c>
      <c r="L10" s="131">
        <f>2278940+4</f>
        <v>2278944</v>
      </c>
      <c r="M10" s="131"/>
      <c r="N10" s="131"/>
      <c r="O10" s="131"/>
      <c r="P10" s="386"/>
      <c r="Q10" s="317"/>
      <c r="R10" s="131"/>
      <c r="S10" s="131"/>
      <c r="T10" s="131"/>
      <c r="U10" s="131"/>
      <c r="V10" s="131"/>
      <c r="W10" s="131"/>
      <c r="X10" s="131"/>
      <c r="Y10" s="131"/>
      <c r="Z10" s="131"/>
      <c r="AA10" s="131"/>
      <c r="AB10" s="386"/>
      <c r="AC10" s="96">
        <f t="shared" si="2"/>
        <v>2278940</v>
      </c>
      <c r="AD10" s="96">
        <f t="shared" si="1"/>
        <v>2278944</v>
      </c>
    </row>
    <row r="11" spans="1:30" ht="27" customHeight="1" x14ac:dyDescent="0.2">
      <c r="A11" s="56" t="s">
        <v>199</v>
      </c>
      <c r="B11" s="140">
        <v>317</v>
      </c>
      <c r="C11" s="119" t="s">
        <v>2320</v>
      </c>
      <c r="D11" s="1490" t="s">
        <v>2325</v>
      </c>
      <c r="E11" s="131"/>
      <c r="F11" s="131"/>
      <c r="G11" s="131"/>
      <c r="H11" s="131"/>
      <c r="I11" s="131"/>
      <c r="J11" s="131"/>
      <c r="K11" s="131"/>
      <c r="L11" s="131"/>
      <c r="M11" s="131"/>
      <c r="N11" s="131">
        <v>32017</v>
      </c>
      <c r="O11" s="131"/>
      <c r="P11" s="386"/>
      <c r="Q11" s="317"/>
      <c r="R11" s="131"/>
      <c r="S11" s="131"/>
      <c r="T11" s="131"/>
      <c r="U11" s="131"/>
      <c r="V11" s="131"/>
      <c r="W11" s="131"/>
      <c r="X11" s="131"/>
      <c r="Y11" s="131"/>
      <c r="Z11" s="131"/>
      <c r="AA11" s="131"/>
      <c r="AB11" s="386"/>
      <c r="AC11" s="96">
        <f t="shared" si="2"/>
        <v>0</v>
      </c>
      <c r="AD11" s="96">
        <f t="shared" si="1"/>
        <v>32017</v>
      </c>
    </row>
    <row r="12" spans="1:30" ht="27" customHeight="1" x14ac:dyDescent="0.2">
      <c r="A12" s="56" t="s">
        <v>200</v>
      </c>
      <c r="B12" s="367" t="s">
        <v>739</v>
      </c>
      <c r="C12" s="119" t="s">
        <v>2320</v>
      </c>
      <c r="D12" s="1490" t="s">
        <v>2344</v>
      </c>
      <c r="E12" s="131"/>
      <c r="F12" s="131"/>
      <c r="G12" s="131"/>
      <c r="H12" s="131"/>
      <c r="I12" s="131"/>
      <c r="J12" s="131"/>
      <c r="K12" s="131"/>
      <c r="L12" s="131"/>
      <c r="M12" s="131"/>
      <c r="N12" s="131"/>
      <c r="O12" s="131"/>
      <c r="P12" s="386">
        <v>8841120</v>
      </c>
      <c r="Q12" s="317"/>
      <c r="R12" s="131"/>
      <c r="S12" s="131"/>
      <c r="T12" s="131"/>
      <c r="U12" s="131"/>
      <c r="V12" s="131"/>
      <c r="W12" s="131"/>
      <c r="X12" s="131"/>
      <c r="Y12" s="131"/>
      <c r="Z12" s="131"/>
      <c r="AA12" s="131"/>
      <c r="AB12" s="386"/>
      <c r="AC12" s="96">
        <f t="shared" si="2"/>
        <v>0</v>
      </c>
      <c r="AD12" s="96">
        <f t="shared" si="1"/>
        <v>8841120</v>
      </c>
    </row>
    <row r="13" spans="1:30" ht="29.25" customHeight="1" x14ac:dyDescent="0.2">
      <c r="A13" s="56" t="s">
        <v>201</v>
      </c>
      <c r="B13" s="367" t="s">
        <v>2341</v>
      </c>
      <c r="C13" s="119" t="s">
        <v>2320</v>
      </c>
      <c r="D13" s="1490" t="s">
        <v>2345</v>
      </c>
      <c r="E13" s="131"/>
      <c r="F13" s="131"/>
      <c r="G13" s="131"/>
      <c r="H13" s="131"/>
      <c r="I13" s="131"/>
      <c r="J13" s="131"/>
      <c r="K13" s="131"/>
      <c r="L13" s="131"/>
      <c r="M13" s="131"/>
      <c r="N13" s="131"/>
      <c r="O13" s="131"/>
      <c r="P13" s="386"/>
      <c r="Q13" s="317"/>
      <c r="R13" s="131">
        <v>7723234</v>
      </c>
      <c r="S13" s="131"/>
      <c r="T13" s="131"/>
      <c r="U13" s="131"/>
      <c r="V13" s="131"/>
      <c r="W13" s="131"/>
      <c r="X13" s="131"/>
      <c r="Y13" s="131"/>
      <c r="Z13" s="131"/>
      <c r="AA13" s="131"/>
      <c r="AB13" s="386"/>
      <c r="AC13" s="96">
        <f t="shared" si="2"/>
        <v>0</v>
      </c>
      <c r="AD13" s="96">
        <f t="shared" si="1"/>
        <v>7723234</v>
      </c>
    </row>
    <row r="14" spans="1:30" ht="29.25" customHeight="1" x14ac:dyDescent="0.2">
      <c r="A14" s="148" t="s">
        <v>202</v>
      </c>
      <c r="B14" s="659" t="s">
        <v>153</v>
      </c>
      <c r="C14" s="155" t="s">
        <v>2342</v>
      </c>
      <c r="D14" s="153" t="s">
        <v>2343</v>
      </c>
      <c r="E14" s="151"/>
      <c r="F14" s="151"/>
      <c r="G14" s="151"/>
      <c r="H14" s="151"/>
      <c r="I14" s="151"/>
      <c r="J14" s="151"/>
      <c r="K14" s="151"/>
      <c r="L14" s="151"/>
      <c r="M14" s="151"/>
      <c r="N14" s="151">
        <v>159332707</v>
      </c>
      <c r="O14" s="151"/>
      <c r="P14" s="671"/>
      <c r="Q14" s="661"/>
      <c r="R14" s="151"/>
      <c r="S14" s="151"/>
      <c r="T14" s="151"/>
      <c r="U14" s="151"/>
      <c r="V14" s="151"/>
      <c r="W14" s="151"/>
      <c r="X14" s="151"/>
      <c r="Y14" s="151"/>
      <c r="Z14" s="151"/>
      <c r="AA14" s="151"/>
      <c r="AB14" s="904"/>
      <c r="AC14" s="96">
        <f t="shared" si="2"/>
        <v>0</v>
      </c>
      <c r="AD14" s="96">
        <f t="shared" si="1"/>
        <v>159332707</v>
      </c>
    </row>
    <row r="15" spans="1:30" s="39" customFormat="1" ht="20.25" customHeight="1" x14ac:dyDescent="0.2">
      <c r="A15" s="1719" t="s">
        <v>60</v>
      </c>
      <c r="B15" s="1720"/>
      <c r="C15" s="1720"/>
      <c r="D15" s="1720"/>
      <c r="E15" s="63">
        <f>+E16+E19+E21+E23+E26</f>
        <v>0</v>
      </c>
      <c r="F15" s="63">
        <f t="shared" ref="F15:S15" si="3">+F16+F19+F21+F23+F26</f>
        <v>0</v>
      </c>
      <c r="G15" s="63">
        <f t="shared" si="3"/>
        <v>0</v>
      </c>
      <c r="H15" s="63">
        <f t="shared" si="3"/>
        <v>0</v>
      </c>
      <c r="I15" s="63">
        <f t="shared" si="3"/>
        <v>0</v>
      </c>
      <c r="J15" s="63">
        <f t="shared" si="3"/>
        <v>0</v>
      </c>
      <c r="K15" s="63">
        <f t="shared" si="3"/>
        <v>0</v>
      </c>
      <c r="L15" s="63">
        <f t="shared" si="3"/>
        <v>0</v>
      </c>
      <c r="M15" s="63">
        <f t="shared" si="3"/>
        <v>0</v>
      </c>
      <c r="N15" s="63">
        <f t="shared" si="3"/>
        <v>0</v>
      </c>
      <c r="O15" s="63">
        <f t="shared" si="3"/>
        <v>0</v>
      </c>
      <c r="P15" s="706">
        <f>+P16+P19+P21+P23+P26</f>
        <v>350000</v>
      </c>
      <c r="Q15" s="757">
        <f>+Q16+Q19+Q21+Q23+Q26</f>
        <v>0</v>
      </c>
      <c r="R15" s="63">
        <f>+R16+R19+R21+R23+R26</f>
        <v>0</v>
      </c>
      <c r="S15" s="63">
        <f t="shared" si="3"/>
        <v>0</v>
      </c>
      <c r="T15" s="63">
        <f>+T16+T19+T21+T23</f>
        <v>18907521</v>
      </c>
      <c r="U15" s="63">
        <f t="shared" ref="U15:AB15" si="4">+U16+U19+U21+U23</f>
        <v>0</v>
      </c>
      <c r="V15" s="63">
        <f>+V16+V19+V21+V23</f>
        <v>6609505</v>
      </c>
      <c r="W15" s="63">
        <f t="shared" si="4"/>
        <v>0</v>
      </c>
      <c r="X15" s="63">
        <f t="shared" si="4"/>
        <v>700000</v>
      </c>
      <c r="Y15" s="63">
        <f t="shared" si="4"/>
        <v>85000000</v>
      </c>
      <c r="Z15" s="63">
        <f t="shared" si="4"/>
        <v>107232400</v>
      </c>
      <c r="AA15" s="63">
        <f t="shared" si="4"/>
        <v>2000000</v>
      </c>
      <c r="AB15" s="760">
        <f t="shared" si="4"/>
        <v>2000000</v>
      </c>
      <c r="AC15" s="96">
        <f>+E15+G15+I15+K15+M15+U15+W15+Y15+AA15+O15+Q15+S15</f>
        <v>87000000</v>
      </c>
      <c r="AD15" s="96">
        <f>+F15+H15+J15+L15+N15+V15+X15+Z15+AB15+P15+R15+T15</f>
        <v>135799426</v>
      </c>
    </row>
    <row r="16" spans="1:30" s="39" customFormat="1" ht="20.25" customHeight="1" x14ac:dyDescent="0.2">
      <c r="A16" s="1719" t="s">
        <v>506</v>
      </c>
      <c r="B16" s="1757"/>
      <c r="C16" s="1757"/>
      <c r="D16" s="1757"/>
      <c r="E16" s="63">
        <f>+E17+E18</f>
        <v>0</v>
      </c>
      <c r="F16" s="63">
        <f t="shared" ref="F16:AA16" si="5">+F17+F18</f>
        <v>0</v>
      </c>
      <c r="G16" s="63">
        <f t="shared" si="5"/>
        <v>0</v>
      </c>
      <c r="H16" s="63">
        <f t="shared" si="5"/>
        <v>0</v>
      </c>
      <c r="I16" s="63">
        <f t="shared" si="5"/>
        <v>0</v>
      </c>
      <c r="J16" s="63">
        <f t="shared" si="5"/>
        <v>0</v>
      </c>
      <c r="K16" s="63">
        <f t="shared" si="5"/>
        <v>0</v>
      </c>
      <c r="L16" s="63">
        <f t="shared" si="5"/>
        <v>0</v>
      </c>
      <c r="M16" s="63">
        <f t="shared" si="5"/>
        <v>0</v>
      </c>
      <c r="N16" s="63">
        <f t="shared" si="5"/>
        <v>0</v>
      </c>
      <c r="O16" s="63">
        <f t="shared" si="5"/>
        <v>0</v>
      </c>
      <c r="P16" s="706">
        <f t="shared" si="5"/>
        <v>0</v>
      </c>
      <c r="Q16" s="757">
        <f t="shared" si="5"/>
        <v>0</v>
      </c>
      <c r="R16" s="63">
        <f t="shared" si="5"/>
        <v>0</v>
      </c>
      <c r="S16" s="63">
        <f t="shared" si="5"/>
        <v>0</v>
      </c>
      <c r="T16" s="63">
        <f t="shared" si="5"/>
        <v>18907521</v>
      </c>
      <c r="U16" s="63">
        <f t="shared" si="5"/>
        <v>0</v>
      </c>
      <c r="V16" s="63">
        <f t="shared" si="5"/>
        <v>6609505</v>
      </c>
      <c r="W16" s="63">
        <f t="shared" si="5"/>
        <v>0</v>
      </c>
      <c r="X16" s="63">
        <f t="shared" si="5"/>
        <v>0</v>
      </c>
      <c r="Y16" s="63">
        <f t="shared" si="5"/>
        <v>0</v>
      </c>
      <c r="Z16" s="63">
        <f t="shared" si="5"/>
        <v>0</v>
      </c>
      <c r="AA16" s="63">
        <f t="shared" si="5"/>
        <v>0</v>
      </c>
      <c r="AB16" s="760">
        <f>+AB17</f>
        <v>0</v>
      </c>
      <c r="AC16" s="96">
        <f t="shared" si="2"/>
        <v>0</v>
      </c>
      <c r="AD16" s="96">
        <f t="shared" si="1"/>
        <v>25517026</v>
      </c>
    </row>
    <row r="17" spans="1:30" ht="25.5" customHeight="1" x14ac:dyDescent="0.2">
      <c r="A17" s="55" t="s">
        <v>194</v>
      </c>
      <c r="B17" s="699" t="s">
        <v>152</v>
      </c>
      <c r="C17" s="323" t="s">
        <v>2320</v>
      </c>
      <c r="D17" s="1154" t="s">
        <v>2326</v>
      </c>
      <c r="E17" s="335"/>
      <c r="F17" s="335"/>
      <c r="G17" s="335"/>
      <c r="H17" s="335"/>
      <c r="I17" s="335"/>
      <c r="J17" s="335"/>
      <c r="K17" s="335"/>
      <c r="L17" s="335"/>
      <c r="M17" s="335"/>
      <c r="N17" s="335"/>
      <c r="O17" s="335"/>
      <c r="P17" s="755"/>
      <c r="Q17" s="758"/>
      <c r="R17" s="335"/>
      <c r="S17" s="335"/>
      <c r="T17" s="335"/>
      <c r="U17" s="335"/>
      <c r="V17" s="335">
        <f>6385700+223805</f>
        <v>6609505</v>
      </c>
      <c r="W17" s="335"/>
      <c r="X17" s="335"/>
      <c r="Y17" s="335"/>
      <c r="Z17" s="335"/>
      <c r="AA17" s="335"/>
      <c r="AB17" s="755"/>
      <c r="AC17" s="96">
        <f t="shared" si="2"/>
        <v>0</v>
      </c>
      <c r="AD17" s="96">
        <f t="shared" si="1"/>
        <v>6609505</v>
      </c>
    </row>
    <row r="18" spans="1:30" ht="25.5" customHeight="1" x14ac:dyDescent="0.2">
      <c r="A18" s="148" t="s">
        <v>195</v>
      </c>
      <c r="B18" s="659" t="s">
        <v>481</v>
      </c>
      <c r="C18" s="155" t="s">
        <v>2320</v>
      </c>
      <c r="D18" s="678" t="s">
        <v>2548</v>
      </c>
      <c r="E18" s="151"/>
      <c r="F18" s="151"/>
      <c r="G18" s="151"/>
      <c r="H18" s="151"/>
      <c r="I18" s="1409"/>
      <c r="J18" s="151"/>
      <c r="K18" s="151"/>
      <c r="L18" s="151"/>
      <c r="M18" s="151"/>
      <c r="N18" s="151"/>
      <c r="O18" s="151"/>
      <c r="P18" s="671"/>
      <c r="Q18" s="661"/>
      <c r="R18" s="151"/>
      <c r="S18" s="151"/>
      <c r="T18" s="985">
        <f>16837942+2069579</f>
        <v>18907521</v>
      </c>
      <c r="U18" s="151"/>
      <c r="V18" s="151"/>
      <c r="W18" s="151"/>
      <c r="X18" s="151"/>
      <c r="Y18" s="151"/>
      <c r="Z18" s="151"/>
      <c r="AA18" s="151"/>
      <c r="AB18" s="671"/>
      <c r="AC18" s="96">
        <f t="shared" si="2"/>
        <v>0</v>
      </c>
      <c r="AD18" s="96">
        <f t="shared" si="1"/>
        <v>18907521</v>
      </c>
    </row>
    <row r="19" spans="1:30" s="39" customFormat="1" ht="20.25" customHeight="1" x14ac:dyDescent="0.2">
      <c r="A19" s="1719" t="s">
        <v>24</v>
      </c>
      <c r="B19" s="1757"/>
      <c r="C19" s="1757"/>
      <c r="D19" s="1757"/>
      <c r="E19" s="63">
        <f>+E20</f>
        <v>0</v>
      </c>
      <c r="F19" s="63">
        <f t="shared" ref="F19:AB19" si="6">+F20</f>
        <v>0</v>
      </c>
      <c r="G19" s="63">
        <f t="shared" si="6"/>
        <v>0</v>
      </c>
      <c r="H19" s="63">
        <f t="shared" si="6"/>
        <v>0</v>
      </c>
      <c r="I19" s="63">
        <f t="shared" si="6"/>
        <v>0</v>
      </c>
      <c r="J19" s="63">
        <f t="shared" si="6"/>
        <v>0</v>
      </c>
      <c r="K19" s="63">
        <f t="shared" si="6"/>
        <v>0</v>
      </c>
      <c r="L19" s="63">
        <f t="shared" si="6"/>
        <v>0</v>
      </c>
      <c r="M19" s="63">
        <f t="shared" si="6"/>
        <v>0</v>
      </c>
      <c r="N19" s="63">
        <f t="shared" si="6"/>
        <v>0</v>
      </c>
      <c r="O19" s="63">
        <f t="shared" si="6"/>
        <v>0</v>
      </c>
      <c r="P19" s="706">
        <f t="shared" si="6"/>
        <v>0</v>
      </c>
      <c r="Q19" s="757">
        <f t="shared" si="6"/>
        <v>0</v>
      </c>
      <c r="R19" s="63">
        <f t="shared" si="6"/>
        <v>0</v>
      </c>
      <c r="S19" s="63">
        <f t="shared" si="6"/>
        <v>0</v>
      </c>
      <c r="T19" s="63">
        <f t="shared" si="6"/>
        <v>0</v>
      </c>
      <c r="U19" s="63">
        <f t="shared" si="6"/>
        <v>0</v>
      </c>
      <c r="V19" s="63">
        <f t="shared" si="6"/>
        <v>0</v>
      </c>
      <c r="W19" s="63">
        <f t="shared" si="6"/>
        <v>0</v>
      </c>
      <c r="X19" s="63">
        <f t="shared" si="6"/>
        <v>350000</v>
      </c>
      <c r="Y19" s="63">
        <f t="shared" si="6"/>
        <v>0</v>
      </c>
      <c r="Z19" s="63">
        <f t="shared" si="6"/>
        <v>0</v>
      </c>
      <c r="AA19" s="63">
        <f t="shared" si="6"/>
        <v>0</v>
      </c>
      <c r="AB19" s="706">
        <f t="shared" si="6"/>
        <v>0</v>
      </c>
      <c r="AC19" s="96">
        <f t="shared" si="2"/>
        <v>0</v>
      </c>
      <c r="AD19" s="96">
        <f t="shared" si="1"/>
        <v>350000</v>
      </c>
    </row>
    <row r="20" spans="1:30" ht="25.5" customHeight="1" x14ac:dyDescent="0.2">
      <c r="A20" s="1559" t="s">
        <v>194</v>
      </c>
      <c r="B20" s="1268" t="s">
        <v>151</v>
      </c>
      <c r="C20" s="1560" t="s">
        <v>2320</v>
      </c>
      <c r="D20" s="1200" t="s">
        <v>2327</v>
      </c>
      <c r="E20" s="63"/>
      <c r="F20" s="63"/>
      <c r="G20" s="63"/>
      <c r="H20" s="63"/>
      <c r="I20" s="63"/>
      <c r="J20" s="63"/>
      <c r="K20" s="63"/>
      <c r="L20" s="63"/>
      <c r="M20" s="63"/>
      <c r="N20" s="63"/>
      <c r="O20" s="63"/>
      <c r="P20" s="706"/>
      <c r="Q20" s="757"/>
      <c r="R20" s="63"/>
      <c r="S20" s="63"/>
      <c r="T20" s="63"/>
      <c r="U20" s="63"/>
      <c r="V20" s="63"/>
      <c r="W20" s="63"/>
      <c r="X20" s="157">
        <v>350000</v>
      </c>
      <c r="Y20" s="157"/>
      <c r="Z20" s="157"/>
      <c r="AA20" s="157"/>
      <c r="AB20" s="759"/>
      <c r="AC20" s="96">
        <f t="shared" si="2"/>
        <v>0</v>
      </c>
      <c r="AD20" s="96">
        <f t="shared" si="1"/>
        <v>350000</v>
      </c>
    </row>
    <row r="21" spans="1:30" s="39" customFormat="1" ht="20.25" customHeight="1" x14ac:dyDescent="0.2">
      <c r="A21" s="1719" t="s">
        <v>87</v>
      </c>
      <c r="B21" s="1757"/>
      <c r="C21" s="1757"/>
      <c r="D21" s="1757"/>
      <c r="E21" s="63">
        <f>+E22</f>
        <v>0</v>
      </c>
      <c r="F21" s="63">
        <f t="shared" ref="F21:AB21" si="7">+F22</f>
        <v>0</v>
      </c>
      <c r="G21" s="63">
        <f t="shared" si="7"/>
        <v>0</v>
      </c>
      <c r="H21" s="63">
        <f t="shared" si="7"/>
        <v>0</v>
      </c>
      <c r="I21" s="63">
        <f t="shared" si="7"/>
        <v>0</v>
      </c>
      <c r="J21" s="63">
        <f t="shared" si="7"/>
        <v>0</v>
      </c>
      <c r="K21" s="63">
        <f t="shared" si="7"/>
        <v>0</v>
      </c>
      <c r="L21" s="63">
        <f t="shared" si="7"/>
        <v>0</v>
      </c>
      <c r="M21" s="63">
        <f t="shared" si="7"/>
        <v>0</v>
      </c>
      <c r="N21" s="63">
        <f t="shared" si="7"/>
        <v>0</v>
      </c>
      <c r="O21" s="63">
        <f t="shared" si="7"/>
        <v>0</v>
      </c>
      <c r="P21" s="706">
        <f t="shared" si="7"/>
        <v>0</v>
      </c>
      <c r="Q21" s="757">
        <f t="shared" si="7"/>
        <v>0</v>
      </c>
      <c r="R21" s="63">
        <f t="shared" si="7"/>
        <v>0</v>
      </c>
      <c r="S21" s="63">
        <f t="shared" si="7"/>
        <v>0</v>
      </c>
      <c r="T21" s="63">
        <f t="shared" si="7"/>
        <v>0</v>
      </c>
      <c r="U21" s="63">
        <f t="shared" si="7"/>
        <v>0</v>
      </c>
      <c r="V21" s="63">
        <f t="shared" si="7"/>
        <v>0</v>
      </c>
      <c r="W21" s="63">
        <f t="shared" si="7"/>
        <v>0</v>
      </c>
      <c r="X21" s="63">
        <f t="shared" si="7"/>
        <v>350000</v>
      </c>
      <c r="Y21" s="63">
        <f t="shared" si="7"/>
        <v>0</v>
      </c>
      <c r="Z21" s="63">
        <f t="shared" si="7"/>
        <v>0</v>
      </c>
      <c r="AA21" s="63">
        <f t="shared" si="7"/>
        <v>0</v>
      </c>
      <c r="AB21" s="706">
        <f t="shared" si="7"/>
        <v>0</v>
      </c>
      <c r="AC21" s="96">
        <f t="shared" si="2"/>
        <v>0</v>
      </c>
      <c r="AD21" s="96">
        <f t="shared" si="1"/>
        <v>350000</v>
      </c>
    </row>
    <row r="22" spans="1:30" ht="25.5" customHeight="1" x14ac:dyDescent="0.2">
      <c r="A22" s="1559" t="s">
        <v>194</v>
      </c>
      <c r="B22" s="1268" t="s">
        <v>132</v>
      </c>
      <c r="C22" s="1560" t="s">
        <v>2320</v>
      </c>
      <c r="D22" s="1200" t="s">
        <v>2327</v>
      </c>
      <c r="E22" s="157"/>
      <c r="F22" s="157"/>
      <c r="G22" s="157"/>
      <c r="H22" s="157"/>
      <c r="I22" s="157"/>
      <c r="J22" s="157"/>
      <c r="K22" s="157"/>
      <c r="L22" s="157"/>
      <c r="M22" s="157"/>
      <c r="N22" s="157"/>
      <c r="O22" s="157"/>
      <c r="P22" s="759"/>
      <c r="Q22" s="1303"/>
      <c r="R22" s="157"/>
      <c r="S22" s="157"/>
      <c r="T22" s="157"/>
      <c r="U22" s="157"/>
      <c r="V22" s="157"/>
      <c r="W22" s="157"/>
      <c r="X22" s="157">
        <v>350000</v>
      </c>
      <c r="Y22" s="157"/>
      <c r="Z22" s="157"/>
      <c r="AA22" s="157"/>
      <c r="AB22" s="759"/>
      <c r="AC22" s="96">
        <f t="shared" si="2"/>
        <v>0</v>
      </c>
      <c r="AD22" s="96">
        <f t="shared" si="1"/>
        <v>350000</v>
      </c>
    </row>
    <row r="23" spans="1:30" s="39" customFormat="1" ht="20.25" customHeight="1" x14ac:dyDescent="0.2">
      <c r="A23" s="1719" t="s">
        <v>25</v>
      </c>
      <c r="B23" s="1757"/>
      <c r="C23" s="1757"/>
      <c r="D23" s="1757"/>
      <c r="E23" s="63">
        <f>+E24+E25</f>
        <v>0</v>
      </c>
      <c r="F23" s="63">
        <f t="shared" ref="F23:AB23" si="8">+F24+F25</f>
        <v>0</v>
      </c>
      <c r="G23" s="63">
        <f t="shared" si="8"/>
        <v>0</v>
      </c>
      <c r="H23" s="63">
        <f t="shared" si="8"/>
        <v>0</v>
      </c>
      <c r="I23" s="63">
        <f t="shared" si="8"/>
        <v>0</v>
      </c>
      <c r="J23" s="63">
        <f t="shared" si="8"/>
        <v>0</v>
      </c>
      <c r="K23" s="63">
        <f t="shared" si="8"/>
        <v>0</v>
      </c>
      <c r="L23" s="63">
        <f t="shared" si="8"/>
        <v>0</v>
      </c>
      <c r="M23" s="63">
        <f t="shared" si="8"/>
        <v>0</v>
      </c>
      <c r="N23" s="63">
        <f t="shared" si="8"/>
        <v>0</v>
      </c>
      <c r="O23" s="63">
        <f t="shared" si="8"/>
        <v>0</v>
      </c>
      <c r="P23" s="706">
        <f t="shared" si="8"/>
        <v>0</v>
      </c>
      <c r="Q23" s="757">
        <f t="shared" si="8"/>
        <v>0</v>
      </c>
      <c r="R23" s="63">
        <f t="shared" si="8"/>
        <v>0</v>
      </c>
      <c r="S23" s="63">
        <f t="shared" si="8"/>
        <v>0</v>
      </c>
      <c r="T23" s="63">
        <f t="shared" si="8"/>
        <v>0</v>
      </c>
      <c r="U23" s="63">
        <f t="shared" si="8"/>
        <v>0</v>
      </c>
      <c r="V23" s="63">
        <f t="shared" si="8"/>
        <v>0</v>
      </c>
      <c r="W23" s="63">
        <f t="shared" si="8"/>
        <v>0</v>
      </c>
      <c r="X23" s="63">
        <f t="shared" si="8"/>
        <v>0</v>
      </c>
      <c r="Y23" s="63">
        <f t="shared" si="8"/>
        <v>85000000</v>
      </c>
      <c r="Z23" s="63">
        <f>+Z24+Z25</f>
        <v>107232400</v>
      </c>
      <c r="AA23" s="63">
        <f t="shared" si="8"/>
        <v>2000000</v>
      </c>
      <c r="AB23" s="706">
        <f t="shared" si="8"/>
        <v>2000000</v>
      </c>
      <c r="AC23" s="96">
        <f t="shared" si="2"/>
        <v>87000000</v>
      </c>
      <c r="AD23" s="96">
        <f t="shared" si="1"/>
        <v>109232400</v>
      </c>
    </row>
    <row r="24" spans="1:30" ht="27.75" customHeight="1" x14ac:dyDescent="0.2">
      <c r="A24" s="55" t="s">
        <v>194</v>
      </c>
      <c r="B24" s="699" t="s">
        <v>152</v>
      </c>
      <c r="C24" s="323" t="s">
        <v>2320</v>
      </c>
      <c r="D24" s="1154" t="s">
        <v>2328</v>
      </c>
      <c r="E24" s="335"/>
      <c r="F24" s="335"/>
      <c r="G24" s="335"/>
      <c r="H24" s="335"/>
      <c r="I24" s="335"/>
      <c r="J24" s="335"/>
      <c r="K24" s="335"/>
      <c r="L24" s="335"/>
      <c r="M24" s="335"/>
      <c r="N24" s="335"/>
      <c r="O24" s="335"/>
      <c r="P24" s="755"/>
      <c r="Q24" s="758"/>
      <c r="R24" s="335"/>
      <c r="S24" s="335"/>
      <c r="T24" s="335"/>
      <c r="U24" s="335"/>
      <c r="V24" s="335"/>
      <c r="W24" s="335"/>
      <c r="X24" s="335"/>
      <c r="Y24" s="335">
        <v>85000000</v>
      </c>
      <c r="Z24" s="335">
        <f>85000000+20000000+2232400</f>
        <v>107232400</v>
      </c>
      <c r="AA24" s="335"/>
      <c r="AB24" s="755"/>
      <c r="AC24" s="96">
        <f t="shared" si="2"/>
        <v>85000000</v>
      </c>
      <c r="AD24" s="96">
        <f t="shared" si="1"/>
        <v>107232400</v>
      </c>
    </row>
    <row r="25" spans="1:30" ht="25.5" customHeight="1" x14ac:dyDescent="0.2">
      <c r="A25" s="148" t="s">
        <v>195</v>
      </c>
      <c r="B25" s="659" t="s">
        <v>65</v>
      </c>
      <c r="C25" s="155" t="s">
        <v>2320</v>
      </c>
      <c r="D25" s="678" t="s">
        <v>2329</v>
      </c>
      <c r="E25" s="151"/>
      <c r="F25" s="151"/>
      <c r="G25" s="151"/>
      <c r="H25" s="151"/>
      <c r="I25" s="151"/>
      <c r="J25" s="151"/>
      <c r="K25" s="151"/>
      <c r="L25" s="151"/>
      <c r="M25" s="151"/>
      <c r="N25" s="151"/>
      <c r="O25" s="151"/>
      <c r="P25" s="671"/>
      <c r="Q25" s="661"/>
      <c r="R25" s="151"/>
      <c r="S25" s="151"/>
      <c r="T25" s="151"/>
      <c r="U25" s="151"/>
      <c r="V25" s="151"/>
      <c r="W25" s="151"/>
      <c r="X25" s="151"/>
      <c r="Y25" s="151"/>
      <c r="Z25" s="151"/>
      <c r="AA25" s="151">
        <v>2000000</v>
      </c>
      <c r="AB25" s="671">
        <v>2000000</v>
      </c>
      <c r="AC25" s="96">
        <f t="shared" si="2"/>
        <v>2000000</v>
      </c>
      <c r="AD25" s="96">
        <f t="shared" si="1"/>
        <v>2000000</v>
      </c>
    </row>
    <row r="26" spans="1:30" ht="19.5" customHeight="1" x14ac:dyDescent="0.2">
      <c r="A26" s="1719" t="s">
        <v>2842</v>
      </c>
      <c r="B26" s="1757"/>
      <c r="C26" s="1757"/>
      <c r="D26" s="1757"/>
      <c r="E26" s="63">
        <f>+E27</f>
        <v>0</v>
      </c>
      <c r="F26" s="63">
        <f t="shared" ref="F26:W26" si="9">+F27</f>
        <v>0</v>
      </c>
      <c r="G26" s="63">
        <f t="shared" si="9"/>
        <v>0</v>
      </c>
      <c r="H26" s="63">
        <f t="shared" si="9"/>
        <v>0</v>
      </c>
      <c r="I26" s="63">
        <f t="shared" si="9"/>
        <v>0</v>
      </c>
      <c r="J26" s="63">
        <f t="shared" si="9"/>
        <v>0</v>
      </c>
      <c r="K26" s="63">
        <f t="shared" si="9"/>
        <v>0</v>
      </c>
      <c r="L26" s="63">
        <f t="shared" si="9"/>
        <v>0</v>
      </c>
      <c r="M26" s="63">
        <f t="shared" si="9"/>
        <v>0</v>
      </c>
      <c r="N26" s="63">
        <f t="shared" si="9"/>
        <v>0</v>
      </c>
      <c r="O26" s="63">
        <f t="shared" si="9"/>
        <v>0</v>
      </c>
      <c r="P26" s="706">
        <f>+P27</f>
        <v>350000</v>
      </c>
      <c r="Q26" s="757">
        <f t="shared" si="9"/>
        <v>0</v>
      </c>
      <c r="R26" s="63">
        <f t="shared" si="9"/>
        <v>0</v>
      </c>
      <c r="S26" s="63">
        <f t="shared" si="9"/>
        <v>0</v>
      </c>
      <c r="T26" s="63">
        <f t="shared" si="9"/>
        <v>0</v>
      </c>
      <c r="U26" s="63">
        <f t="shared" si="9"/>
        <v>0</v>
      </c>
      <c r="V26" s="63">
        <f t="shared" si="9"/>
        <v>0</v>
      </c>
      <c r="W26" s="63">
        <f t="shared" si="9"/>
        <v>0</v>
      </c>
      <c r="X26" s="157"/>
      <c r="Y26" s="157"/>
      <c r="Z26" s="157"/>
      <c r="AA26" s="157"/>
      <c r="AB26" s="759"/>
      <c r="AC26" s="96">
        <f>+E26+G26+I26+K26+M26+U26+W26+Y26+AA26+O26+Q26+S26</f>
        <v>0</v>
      </c>
      <c r="AD26" s="96">
        <f>+F26+H26+J26+L26+N26+V26+X26+Z26+AB26+P26+R26+T26</f>
        <v>350000</v>
      </c>
    </row>
    <row r="27" spans="1:30" ht="28.5" customHeight="1" x14ac:dyDescent="0.2">
      <c r="A27" s="1559" t="s">
        <v>194</v>
      </c>
      <c r="B27" s="1268" t="s">
        <v>132</v>
      </c>
      <c r="C27" s="1560" t="s">
        <v>2320</v>
      </c>
      <c r="D27" s="1200" t="s">
        <v>2843</v>
      </c>
      <c r="E27" s="157"/>
      <c r="F27" s="157"/>
      <c r="G27" s="157"/>
      <c r="H27" s="157"/>
      <c r="I27" s="157"/>
      <c r="J27" s="157"/>
      <c r="K27" s="157"/>
      <c r="L27" s="157"/>
      <c r="M27" s="157"/>
      <c r="N27" s="157"/>
      <c r="O27" s="157"/>
      <c r="P27" s="759">
        <v>350000</v>
      </c>
      <c r="Q27" s="1303"/>
      <c r="R27" s="157"/>
      <c r="S27" s="157"/>
      <c r="T27" s="157"/>
      <c r="U27" s="157"/>
      <c r="V27" s="157"/>
      <c r="W27" s="157"/>
      <c r="X27" s="157"/>
      <c r="Y27" s="157"/>
      <c r="Z27" s="157"/>
      <c r="AA27" s="157"/>
      <c r="AB27" s="759"/>
      <c r="AC27" s="96">
        <f>+E27+G27+I27+K27+M27+U27+W27+Y27+AA27+O27+Q27+S27</f>
        <v>0</v>
      </c>
      <c r="AD27" s="96">
        <f>+F27+H27+J27+L27+N27+V27+X27+Z27+AB27+P27+R27+T27</f>
        <v>350000</v>
      </c>
    </row>
    <row r="28" spans="1:30" ht="31.5" customHeight="1" x14ac:dyDescent="0.2">
      <c r="A28" s="1717" t="s">
        <v>29</v>
      </c>
      <c r="B28" s="1718"/>
      <c r="C28" s="1718"/>
      <c r="D28" s="1718"/>
      <c r="E28" s="63">
        <f t="shared" ref="E28:N28" si="10">+E5+E15</f>
        <v>1732867023</v>
      </c>
      <c r="F28" s="63">
        <f t="shared" si="10"/>
        <v>2374477160</v>
      </c>
      <c r="G28" s="63">
        <f t="shared" si="10"/>
        <v>0</v>
      </c>
      <c r="H28" s="63">
        <f t="shared" si="10"/>
        <v>1484000</v>
      </c>
      <c r="I28" s="63">
        <f t="shared" si="10"/>
        <v>0</v>
      </c>
      <c r="J28" s="63">
        <f t="shared" si="10"/>
        <v>630000</v>
      </c>
      <c r="K28" s="63">
        <f t="shared" si="10"/>
        <v>2278940</v>
      </c>
      <c r="L28" s="63">
        <f t="shared" si="10"/>
        <v>2278944</v>
      </c>
      <c r="M28" s="63">
        <f t="shared" si="10"/>
        <v>0</v>
      </c>
      <c r="N28" s="63">
        <f t="shared" si="10"/>
        <v>159364724</v>
      </c>
      <c r="O28" s="63">
        <f t="shared" ref="O28:T28" si="11">+O5+O15</f>
        <v>0</v>
      </c>
      <c r="P28" s="706">
        <f>+P5+P15</f>
        <v>9191120</v>
      </c>
      <c r="Q28" s="757">
        <f t="shared" si="11"/>
        <v>0</v>
      </c>
      <c r="R28" s="63">
        <f t="shared" si="11"/>
        <v>7723234</v>
      </c>
      <c r="S28" s="63">
        <f t="shared" si="11"/>
        <v>0</v>
      </c>
      <c r="T28" s="63">
        <f t="shared" si="11"/>
        <v>18907521</v>
      </c>
      <c r="U28" s="63">
        <f t="shared" ref="U28:AB28" si="12">+U5+U15</f>
        <v>0</v>
      </c>
      <c r="V28" s="63">
        <f t="shared" si="12"/>
        <v>6609505</v>
      </c>
      <c r="W28" s="63">
        <f t="shared" si="12"/>
        <v>0</v>
      </c>
      <c r="X28" s="63">
        <f t="shared" si="12"/>
        <v>700000</v>
      </c>
      <c r="Y28" s="63">
        <f t="shared" si="12"/>
        <v>85000000</v>
      </c>
      <c r="Z28" s="63">
        <f t="shared" si="12"/>
        <v>107232400</v>
      </c>
      <c r="AA28" s="63">
        <f t="shared" si="12"/>
        <v>2000000</v>
      </c>
      <c r="AB28" s="706">
        <f t="shared" si="12"/>
        <v>2000000</v>
      </c>
      <c r="AC28" s="96">
        <f t="shared" si="2"/>
        <v>1822145963</v>
      </c>
      <c r="AD28" s="96">
        <f>+F28+H28+J28+L28+N28+V28+X28+Z28+AB28+P28+R28+T28</f>
        <v>2690598608</v>
      </c>
    </row>
    <row r="29" spans="1:30" x14ac:dyDescent="0.2">
      <c r="E29" s="40"/>
      <c r="F29" s="40"/>
      <c r="G29" s="40"/>
      <c r="H29" s="40"/>
      <c r="I29" s="40"/>
      <c r="J29" s="40"/>
      <c r="K29" s="40"/>
      <c r="L29" s="40"/>
      <c r="M29" s="40"/>
      <c r="N29" s="40"/>
      <c r="O29" s="40"/>
      <c r="P29" s="40"/>
      <c r="Q29" s="40"/>
      <c r="R29" s="40"/>
      <c r="S29" s="40"/>
      <c r="T29" s="40"/>
      <c r="U29" s="40"/>
      <c r="V29" s="40"/>
      <c r="W29" s="40"/>
      <c r="X29" s="40"/>
      <c r="Y29" s="40"/>
      <c r="Z29" s="40"/>
      <c r="AA29" s="40"/>
      <c r="AB29" s="40"/>
    </row>
    <row r="30" spans="1:30" x14ac:dyDescent="0.2">
      <c r="E30" s="40"/>
      <c r="F30" s="40"/>
      <c r="G30" s="40"/>
      <c r="H30" s="40"/>
      <c r="I30" s="40"/>
      <c r="J30" s="40"/>
      <c r="K30" s="40"/>
      <c r="L30" s="40"/>
      <c r="M30" s="40"/>
      <c r="N30" s="40"/>
      <c r="O30" s="40"/>
      <c r="P30" s="40"/>
      <c r="Q30" s="40"/>
      <c r="R30" s="40"/>
      <c r="S30" s="40"/>
      <c r="T30" s="40"/>
      <c r="U30" s="40"/>
      <c r="V30" s="40"/>
      <c r="W30" s="40"/>
      <c r="X30" s="40"/>
      <c r="Y30" s="40"/>
      <c r="Z30" s="40"/>
      <c r="AA30" s="40"/>
      <c r="AB30" s="40"/>
    </row>
    <row r="31" spans="1:30" x14ac:dyDescent="0.2">
      <c r="E31" s="40"/>
      <c r="F31" s="40"/>
      <c r="G31" s="40"/>
      <c r="H31" s="40"/>
      <c r="I31" s="40"/>
      <c r="J31" s="40"/>
      <c r="K31" s="40"/>
      <c r="L31" s="40"/>
      <c r="M31" s="40"/>
      <c r="N31" s="40"/>
      <c r="O31" s="40"/>
      <c r="P31" s="40"/>
      <c r="Q31" s="40"/>
      <c r="R31" s="40"/>
      <c r="S31" s="40"/>
      <c r="T31" s="40"/>
      <c r="U31" s="40"/>
      <c r="V31" s="40"/>
      <c r="W31" s="40"/>
      <c r="X31" s="40"/>
      <c r="Y31" s="40"/>
      <c r="Z31" s="40"/>
      <c r="AA31" s="40"/>
      <c r="AB31" s="40"/>
    </row>
    <row r="32" spans="1:30" x14ac:dyDescent="0.2">
      <c r="E32" s="40"/>
      <c r="F32" s="40"/>
      <c r="G32" s="40"/>
      <c r="H32" s="40"/>
      <c r="I32" s="40"/>
      <c r="J32" s="40"/>
      <c r="K32" s="40"/>
      <c r="L32" s="40"/>
      <c r="M32" s="40"/>
      <c r="N32" s="40"/>
      <c r="O32" s="40"/>
      <c r="P32" s="40"/>
      <c r="Q32" s="40"/>
      <c r="R32" s="40"/>
      <c r="S32" s="40"/>
      <c r="T32" s="40"/>
      <c r="U32" s="40"/>
      <c r="V32" s="40"/>
      <c r="W32" s="40"/>
      <c r="X32" s="40"/>
      <c r="Y32" s="40"/>
      <c r="Z32" s="40"/>
      <c r="AA32" s="40"/>
      <c r="AB32" s="40"/>
    </row>
    <row r="33" spans="5:28" x14ac:dyDescent="0.2">
      <c r="E33" s="40"/>
      <c r="F33" s="40"/>
      <c r="G33" s="40"/>
      <c r="H33" s="40"/>
      <c r="I33" s="40"/>
      <c r="J33" s="40"/>
      <c r="K33" s="40"/>
      <c r="L33" s="40"/>
      <c r="M33" s="40"/>
      <c r="N33" s="40"/>
      <c r="O33" s="40"/>
      <c r="P33" s="40"/>
      <c r="Q33" s="40"/>
      <c r="R33" s="40"/>
      <c r="S33" s="40"/>
      <c r="T33" s="40"/>
      <c r="U33" s="40"/>
      <c r="V33" s="40"/>
      <c r="W33" s="40"/>
      <c r="X33" s="40"/>
      <c r="Y33" s="40"/>
      <c r="Z33" s="40"/>
      <c r="AA33" s="40"/>
      <c r="AB33" s="40"/>
    </row>
    <row r="34" spans="5:28" x14ac:dyDescent="0.2">
      <c r="E34" s="40"/>
      <c r="F34" s="40"/>
      <c r="G34" s="40"/>
      <c r="H34" s="40"/>
      <c r="I34" s="40"/>
      <c r="J34" s="40"/>
      <c r="K34" s="40"/>
      <c r="L34" s="40"/>
      <c r="M34" s="40"/>
      <c r="N34" s="40"/>
      <c r="O34" s="40"/>
      <c r="P34" s="40"/>
      <c r="Q34" s="40"/>
      <c r="R34" s="40"/>
      <c r="S34" s="40"/>
      <c r="T34" s="40"/>
      <c r="U34" s="40"/>
      <c r="V34" s="40"/>
      <c r="W34" s="40"/>
      <c r="X34" s="40"/>
      <c r="Y34" s="40"/>
      <c r="Z34" s="40"/>
      <c r="AA34" s="40"/>
      <c r="AB34" s="40"/>
    </row>
  </sheetData>
  <mergeCells count="14">
    <mergeCell ref="Q1:AD1"/>
    <mergeCell ref="A28:D28"/>
    <mergeCell ref="A5:D5"/>
    <mergeCell ref="A15:D15"/>
    <mergeCell ref="A16:D16"/>
    <mergeCell ref="A19:D19"/>
    <mergeCell ref="A21:D21"/>
    <mergeCell ref="A23:D23"/>
    <mergeCell ref="A3:A4"/>
    <mergeCell ref="B3:B4"/>
    <mergeCell ref="C3:C4"/>
    <mergeCell ref="D3:D4"/>
    <mergeCell ref="A1:P1"/>
    <mergeCell ref="A26:D26"/>
  </mergeCells>
  <printOptions horizontalCentered="1" verticalCentered="1"/>
  <pageMargins left="0.31496062992125984" right="0.31496062992125984" top="0.74803149606299213" bottom="0.74803149606299213" header="0.31496062992125984" footer="0.31496062992125984"/>
  <pageSetup paperSize="9" scale="50" orientation="landscape" r:id="rId1"/>
  <headerFooter>
    <oddHeader>&amp;C2022. évi költségvetés
&amp;R&amp;A</oddHeader>
    <oddFooter>&amp;C&amp;P/&amp;N</oddFooter>
  </headerFooter>
  <colBreaks count="1" manualBreakCount="1">
    <brk id="16" max="2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2"/>
  <sheetViews>
    <sheetView view="pageBreakPreview" zoomScaleNormal="100" zoomScaleSheetLayoutView="100" workbookViewId="0">
      <selection activeCell="L5" sqref="L5"/>
    </sheetView>
  </sheetViews>
  <sheetFormatPr defaultColWidth="9.140625" defaultRowHeight="12.75" x14ac:dyDescent="0.2"/>
  <cols>
    <col min="1" max="1" width="3.7109375" style="20" customWidth="1"/>
    <col min="2" max="2" width="4" style="20" customWidth="1"/>
    <col min="3" max="3" width="5" style="20" customWidth="1"/>
    <col min="4" max="4" width="45.7109375" style="20" customWidth="1"/>
    <col min="5" max="5" width="14.7109375" style="20" customWidth="1"/>
    <col min="6" max="7" width="14.28515625" style="20" customWidth="1"/>
    <col min="8" max="8" width="14.42578125" style="20" customWidth="1"/>
    <col min="9" max="9" width="14.5703125" style="20" customWidth="1"/>
    <col min="10" max="10" width="14.7109375" style="20" customWidth="1"/>
    <col min="11" max="11" width="15.28515625" style="20" customWidth="1"/>
    <col min="12" max="12" width="15" style="20" customWidth="1"/>
    <col min="13" max="16384" width="9.140625" style="20"/>
  </cols>
  <sheetData>
    <row r="1" spans="1:12" ht="23.25" customHeight="1" x14ac:dyDescent="0.2">
      <c r="A1" s="1714" t="s">
        <v>1479</v>
      </c>
      <c r="B1" s="1714"/>
      <c r="C1" s="1714"/>
      <c r="D1" s="1714"/>
      <c r="E1" s="1714"/>
      <c r="F1" s="1714"/>
      <c r="G1" s="1714"/>
      <c r="H1" s="1714"/>
      <c r="I1" s="1714"/>
      <c r="J1" s="1714"/>
      <c r="K1" s="1714"/>
      <c r="L1" s="1714"/>
    </row>
    <row r="2" spans="1:12" ht="18.75" customHeight="1" x14ac:dyDescent="0.25">
      <c r="A2" s="704"/>
      <c r="B2" s="1752"/>
      <c r="C2" s="1752"/>
      <c r="D2" s="1752"/>
      <c r="E2" s="1752"/>
      <c r="F2" s="1752"/>
      <c r="G2" s="1752"/>
      <c r="H2" s="1752"/>
      <c r="I2" s="1752"/>
      <c r="J2" s="1752"/>
      <c r="K2" s="1752"/>
      <c r="L2" s="109" t="s">
        <v>444</v>
      </c>
    </row>
    <row r="3" spans="1:12" ht="33.75" customHeight="1" x14ac:dyDescent="0.2">
      <c r="A3" s="1726" t="s">
        <v>53</v>
      </c>
      <c r="B3" s="1726" t="s">
        <v>742</v>
      </c>
      <c r="C3" s="1726" t="s">
        <v>55</v>
      </c>
      <c r="D3" s="1724" t="s">
        <v>2</v>
      </c>
      <c r="E3" s="751" t="s">
        <v>279</v>
      </c>
      <c r="F3" s="1115" t="s">
        <v>1512</v>
      </c>
      <c r="G3" s="1115" t="s">
        <v>279</v>
      </c>
      <c r="H3" s="1115" t="s">
        <v>1512</v>
      </c>
      <c r="I3" s="1115" t="s">
        <v>279</v>
      </c>
      <c r="J3" s="902" t="s">
        <v>1512</v>
      </c>
      <c r="K3" s="1546" t="s">
        <v>279</v>
      </c>
      <c r="L3" s="1546" t="s">
        <v>1512</v>
      </c>
    </row>
    <row r="4" spans="1:12" ht="83.25" customHeight="1" x14ac:dyDescent="0.2">
      <c r="A4" s="1727"/>
      <c r="B4" s="1727"/>
      <c r="C4" s="1727"/>
      <c r="D4" s="1725"/>
      <c r="E4" s="1304" t="s">
        <v>901</v>
      </c>
      <c r="F4" s="1305" t="s">
        <v>901</v>
      </c>
      <c r="G4" s="1305" t="s">
        <v>374</v>
      </c>
      <c r="H4" s="1305" t="s">
        <v>374</v>
      </c>
      <c r="I4" s="752" t="s">
        <v>1</v>
      </c>
      <c r="J4" s="768" t="s">
        <v>1</v>
      </c>
      <c r="K4" s="1569" t="s">
        <v>118</v>
      </c>
      <c r="L4" s="1569" t="s">
        <v>118</v>
      </c>
    </row>
    <row r="5" spans="1:12" s="39" customFormat="1" ht="22.5" customHeight="1" x14ac:dyDescent="0.2">
      <c r="A5" s="1719" t="s">
        <v>58</v>
      </c>
      <c r="B5" s="1720"/>
      <c r="C5" s="1720"/>
      <c r="D5" s="1720"/>
      <c r="E5" s="63">
        <f t="shared" ref="E5:J5" si="0">SUM(E6:E12)</f>
        <v>0</v>
      </c>
      <c r="F5" s="63">
        <f t="shared" si="0"/>
        <v>4690003</v>
      </c>
      <c r="G5" s="63">
        <f t="shared" si="0"/>
        <v>0</v>
      </c>
      <c r="H5" s="63">
        <f t="shared" si="0"/>
        <v>49565206</v>
      </c>
      <c r="I5" s="63">
        <f t="shared" si="0"/>
        <v>0</v>
      </c>
      <c r="J5" s="760">
        <f t="shared" si="0"/>
        <v>0</v>
      </c>
      <c r="K5" s="96">
        <f>+E5+G5+I5</f>
        <v>0</v>
      </c>
      <c r="L5" s="96">
        <f>+F5+H5+J5</f>
        <v>54255209</v>
      </c>
    </row>
    <row r="6" spans="1:12" s="244" customFormat="1" ht="30" customHeight="1" x14ac:dyDescent="0.2">
      <c r="A6" s="55" t="s">
        <v>194</v>
      </c>
      <c r="B6" s="158">
        <v>150</v>
      </c>
      <c r="C6" s="323" t="s">
        <v>2143</v>
      </c>
      <c r="D6" s="334" t="s">
        <v>2726</v>
      </c>
      <c r="E6" s="335"/>
      <c r="F6" s="335">
        <v>4690003</v>
      </c>
      <c r="G6" s="335"/>
      <c r="H6" s="335"/>
      <c r="I6" s="335"/>
      <c r="J6" s="755"/>
      <c r="K6" s="96">
        <f t="shared" ref="K6:K16" si="1">+E6+G6+I6</f>
        <v>0</v>
      </c>
      <c r="L6" s="96">
        <f>+F6+H6+J6</f>
        <v>4690003</v>
      </c>
    </row>
    <row r="7" spans="1:12" ht="29.25" customHeight="1" x14ac:dyDescent="0.2">
      <c r="A7" s="56" t="s">
        <v>195</v>
      </c>
      <c r="B7" s="140">
        <v>140</v>
      </c>
      <c r="C7" s="119" t="s">
        <v>2628</v>
      </c>
      <c r="D7" s="754" t="s">
        <v>2629</v>
      </c>
      <c r="E7" s="131"/>
      <c r="F7" s="131"/>
      <c r="G7" s="131"/>
      <c r="H7" s="131">
        <v>49565206</v>
      </c>
      <c r="I7" s="131"/>
      <c r="J7" s="386"/>
      <c r="K7" s="96">
        <f t="shared" si="1"/>
        <v>0</v>
      </c>
      <c r="L7" s="96">
        <f>+F7+H7+J7</f>
        <v>49565206</v>
      </c>
    </row>
    <row r="8" spans="1:12" ht="24" customHeight="1" x14ac:dyDescent="0.2">
      <c r="A8" s="56"/>
      <c r="B8" s="140"/>
      <c r="C8" s="76"/>
      <c r="D8" s="753"/>
      <c r="E8" s="131"/>
      <c r="F8" s="131"/>
      <c r="G8" s="131"/>
      <c r="H8" s="131"/>
      <c r="I8" s="131"/>
      <c r="J8" s="386"/>
      <c r="K8" s="96">
        <f t="shared" si="1"/>
        <v>0</v>
      </c>
      <c r="L8" s="96">
        <f t="shared" ref="L8:L15" si="2">+F8+H8+J8</f>
        <v>0</v>
      </c>
    </row>
    <row r="9" spans="1:12" ht="25.5" customHeight="1" x14ac:dyDescent="0.2">
      <c r="A9" s="56"/>
      <c r="B9" s="140"/>
      <c r="C9" s="76"/>
      <c r="D9" s="754"/>
      <c r="E9" s="131"/>
      <c r="F9" s="131"/>
      <c r="G9" s="131"/>
      <c r="H9" s="131"/>
      <c r="I9" s="131"/>
      <c r="J9" s="386"/>
      <c r="K9" s="96">
        <f t="shared" si="1"/>
        <v>0</v>
      </c>
      <c r="L9" s="96">
        <f t="shared" si="2"/>
        <v>0</v>
      </c>
    </row>
    <row r="10" spans="1:12" ht="25.5" customHeight="1" x14ac:dyDescent="0.2">
      <c r="A10" s="56"/>
      <c r="B10" s="140"/>
      <c r="C10" s="76"/>
      <c r="D10" s="754"/>
      <c r="E10" s="131"/>
      <c r="F10" s="131"/>
      <c r="G10" s="131"/>
      <c r="H10" s="131"/>
      <c r="I10" s="131"/>
      <c r="J10" s="386"/>
      <c r="K10" s="96">
        <f t="shared" si="1"/>
        <v>0</v>
      </c>
      <c r="L10" s="96">
        <f t="shared" si="2"/>
        <v>0</v>
      </c>
    </row>
    <row r="11" spans="1:12" ht="22.5" customHeight="1" x14ac:dyDescent="0.2">
      <c r="A11" s="56"/>
      <c r="B11" s="140"/>
      <c r="C11" s="76"/>
      <c r="D11" s="754"/>
      <c r="E11" s="131"/>
      <c r="F11" s="131"/>
      <c r="G11" s="131"/>
      <c r="H11" s="131"/>
      <c r="I11" s="131"/>
      <c r="J11" s="386"/>
      <c r="K11" s="96">
        <f t="shared" si="1"/>
        <v>0</v>
      </c>
      <c r="L11" s="96">
        <f t="shared" si="2"/>
        <v>0</v>
      </c>
    </row>
    <row r="12" spans="1:12" ht="21.75" customHeight="1" x14ac:dyDescent="0.2">
      <c r="A12" s="148"/>
      <c r="B12" s="660"/>
      <c r="C12" s="77"/>
      <c r="D12" s="678"/>
      <c r="E12" s="151"/>
      <c r="F12" s="151"/>
      <c r="G12" s="696"/>
      <c r="H12" s="696"/>
      <c r="I12" s="151"/>
      <c r="J12" s="671"/>
      <c r="K12" s="96">
        <f t="shared" si="1"/>
        <v>0</v>
      </c>
      <c r="L12" s="96">
        <f t="shared" si="2"/>
        <v>0</v>
      </c>
    </row>
    <row r="13" spans="1:12" s="39" customFormat="1" ht="20.25" customHeight="1" x14ac:dyDescent="0.2">
      <c r="A13" s="1719" t="s">
        <v>60</v>
      </c>
      <c r="B13" s="1720"/>
      <c r="C13" s="1720"/>
      <c r="D13" s="1720"/>
      <c r="E13" s="63">
        <f t="shared" ref="E13:J13" si="3">SUM(E15)</f>
        <v>0</v>
      </c>
      <c r="F13" s="63">
        <f t="shared" si="3"/>
        <v>0</v>
      </c>
      <c r="G13" s="63">
        <f t="shared" si="3"/>
        <v>0</v>
      </c>
      <c r="H13" s="63">
        <f t="shared" si="3"/>
        <v>0</v>
      </c>
      <c r="I13" s="63">
        <f t="shared" si="3"/>
        <v>0</v>
      </c>
      <c r="J13" s="760">
        <f t="shared" si="3"/>
        <v>0</v>
      </c>
      <c r="K13" s="96">
        <f t="shared" si="1"/>
        <v>0</v>
      </c>
      <c r="L13" s="96">
        <f t="shared" si="2"/>
        <v>0</v>
      </c>
    </row>
    <row r="14" spans="1:12" s="39" customFormat="1" ht="20.25" customHeight="1" x14ac:dyDescent="0.2">
      <c r="A14" s="1721" t="s">
        <v>506</v>
      </c>
      <c r="B14" s="1722"/>
      <c r="C14" s="1722"/>
      <c r="D14" s="1723"/>
      <c r="E14" s="1867"/>
      <c r="F14" s="1868"/>
      <c r="G14" s="1868"/>
      <c r="H14" s="1868"/>
      <c r="I14" s="1868"/>
      <c r="J14" s="1868"/>
      <c r="K14" s="96">
        <f t="shared" si="1"/>
        <v>0</v>
      </c>
      <c r="L14" s="96">
        <f t="shared" si="2"/>
        <v>0</v>
      </c>
    </row>
    <row r="15" spans="1:12" ht="25.5" customHeight="1" x14ac:dyDescent="0.2">
      <c r="A15" s="214"/>
      <c r="B15" s="215"/>
      <c r="C15" s="318"/>
      <c r="D15" s="319"/>
      <c r="E15" s="320"/>
      <c r="F15" s="320"/>
      <c r="G15" s="320"/>
      <c r="H15" s="320"/>
      <c r="I15" s="320"/>
      <c r="J15" s="321"/>
      <c r="K15" s="96">
        <f t="shared" si="1"/>
        <v>0</v>
      </c>
      <c r="L15" s="96">
        <f t="shared" si="2"/>
        <v>0</v>
      </c>
    </row>
    <row r="16" spans="1:12" ht="31.5" customHeight="1" x14ac:dyDescent="0.2">
      <c r="A16" s="1717" t="s">
        <v>29</v>
      </c>
      <c r="B16" s="1718"/>
      <c r="C16" s="1718"/>
      <c r="D16" s="1718"/>
      <c r="E16" s="63">
        <f t="shared" ref="E16:J16" si="4">+E13+E5</f>
        <v>0</v>
      </c>
      <c r="F16" s="63">
        <f t="shared" si="4"/>
        <v>4690003</v>
      </c>
      <c r="G16" s="63">
        <f t="shared" si="4"/>
        <v>0</v>
      </c>
      <c r="H16" s="63">
        <f t="shared" si="4"/>
        <v>49565206</v>
      </c>
      <c r="I16" s="63">
        <f t="shared" si="4"/>
        <v>0</v>
      </c>
      <c r="J16" s="706">
        <f t="shared" si="4"/>
        <v>0</v>
      </c>
      <c r="K16" s="96">
        <f t="shared" si="1"/>
        <v>0</v>
      </c>
      <c r="L16" s="96">
        <f>+F16+H16+J16</f>
        <v>54255209</v>
      </c>
    </row>
    <row r="17" spans="5:10" x14ac:dyDescent="0.2">
      <c r="E17" s="40"/>
      <c r="F17" s="40"/>
      <c r="G17" s="40"/>
      <c r="H17" s="40"/>
      <c r="I17" s="40"/>
      <c r="J17" s="40"/>
    </row>
    <row r="18" spans="5:10" x14ac:dyDescent="0.2">
      <c r="E18" s="40"/>
      <c r="F18" s="40"/>
      <c r="G18" s="40"/>
      <c r="H18" s="40"/>
      <c r="I18" s="40"/>
      <c r="J18" s="40"/>
    </row>
    <row r="19" spans="5:10" x14ac:dyDescent="0.2">
      <c r="E19" s="40"/>
      <c r="F19" s="40"/>
      <c r="G19" s="40"/>
      <c r="H19" s="40"/>
      <c r="I19" s="40"/>
      <c r="J19" s="40"/>
    </row>
    <row r="20" spans="5:10" x14ac:dyDescent="0.2">
      <c r="E20" s="40"/>
      <c r="F20" s="40"/>
      <c r="G20" s="40"/>
      <c r="H20" s="40"/>
      <c r="I20" s="40"/>
      <c r="J20" s="40"/>
    </row>
    <row r="21" spans="5:10" x14ac:dyDescent="0.2">
      <c r="E21" s="40"/>
      <c r="F21" s="40"/>
      <c r="G21" s="40"/>
      <c r="H21" s="40"/>
      <c r="I21" s="40"/>
      <c r="J21" s="40"/>
    </row>
    <row r="22" spans="5:10" x14ac:dyDescent="0.2">
      <c r="E22" s="40"/>
      <c r="F22" s="40"/>
      <c r="G22" s="40"/>
      <c r="H22" s="40"/>
      <c r="I22" s="40"/>
      <c r="J22" s="40"/>
    </row>
  </sheetData>
  <mergeCells count="11">
    <mergeCell ref="A1:L1"/>
    <mergeCell ref="A16:D16"/>
    <mergeCell ref="B2:K2"/>
    <mergeCell ref="A5:D5"/>
    <mergeCell ref="A13:D13"/>
    <mergeCell ref="A14:D14"/>
    <mergeCell ref="E14:J14"/>
    <mergeCell ref="D3:D4"/>
    <mergeCell ref="C3:C4"/>
    <mergeCell ref="B3:B4"/>
    <mergeCell ref="A3:A4"/>
  </mergeCells>
  <printOptions horizontalCentered="1" verticalCentered="1"/>
  <pageMargins left="0.31496062992125984" right="0.31496062992125984" top="0.74803149606299213" bottom="0.74803149606299213" header="0.31496062992125984" footer="0.31496062992125984"/>
  <pageSetup paperSize="9" scale="75" orientation="landscape" r:id="rId1"/>
  <headerFooter>
    <oddHeader>&amp;C2022. évi költségvetés
&amp;R&amp;A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25"/>
  <sheetViews>
    <sheetView view="pageBreakPreview" zoomScaleNormal="100" zoomScaleSheetLayoutView="100" workbookViewId="0">
      <selection activeCell="Q19" sqref="Q19"/>
    </sheetView>
  </sheetViews>
  <sheetFormatPr defaultColWidth="9.140625" defaultRowHeight="12.75" x14ac:dyDescent="0.2"/>
  <cols>
    <col min="1" max="1" width="3.7109375" style="20" customWidth="1"/>
    <col min="2" max="2" width="4" style="20" customWidth="1"/>
    <col min="3" max="3" width="5" style="20" customWidth="1"/>
    <col min="4" max="4" width="45.7109375" style="20" customWidth="1"/>
    <col min="5" max="10" width="15.7109375" style="20" customWidth="1"/>
    <col min="11" max="16" width="15.5703125" style="20" customWidth="1"/>
    <col min="17" max="17" width="15.28515625" style="20" customWidth="1"/>
    <col min="18" max="18" width="14.7109375" style="20" customWidth="1"/>
    <col min="19" max="16384" width="9.140625" style="20"/>
  </cols>
  <sheetData>
    <row r="1" spans="1:18" ht="23.25" customHeight="1" x14ac:dyDescent="0.2">
      <c r="A1" s="1714" t="s">
        <v>1044</v>
      </c>
      <c r="B1" s="1714"/>
      <c r="C1" s="1714"/>
      <c r="D1" s="1714"/>
      <c r="E1" s="1714"/>
      <c r="F1" s="1714"/>
      <c r="G1" s="1714"/>
      <c r="H1" s="1714"/>
      <c r="I1" s="1714"/>
      <c r="J1" s="1714"/>
      <c r="K1" s="1714"/>
      <c r="L1" s="1714"/>
      <c r="M1" s="1714"/>
      <c r="N1" s="1714"/>
      <c r="O1" s="1714"/>
      <c r="P1" s="1714"/>
      <c r="Q1" s="1714"/>
      <c r="R1" s="1714"/>
    </row>
    <row r="2" spans="1:18" ht="12.75" customHeight="1" x14ac:dyDescent="0.25">
      <c r="A2" s="704"/>
      <c r="B2" s="1752"/>
      <c r="C2" s="1752"/>
      <c r="D2" s="1752"/>
      <c r="E2" s="1752"/>
      <c r="F2" s="1752"/>
      <c r="G2" s="1752"/>
      <c r="H2" s="1752"/>
      <c r="I2" s="1752"/>
      <c r="J2" s="1752"/>
      <c r="K2" s="1752"/>
      <c r="L2" s="1752"/>
      <c r="M2" s="1752"/>
      <c r="N2" s="1752"/>
      <c r="O2" s="1752"/>
      <c r="P2" s="1752"/>
      <c r="Q2" s="1752"/>
      <c r="R2" s="109" t="s">
        <v>444</v>
      </c>
    </row>
    <row r="3" spans="1:18" ht="34.5" customHeight="1" x14ac:dyDescent="0.2">
      <c r="A3" s="1726" t="s">
        <v>53</v>
      </c>
      <c r="B3" s="1726" t="s">
        <v>742</v>
      </c>
      <c r="C3" s="1726" t="s">
        <v>55</v>
      </c>
      <c r="D3" s="1724" t="s">
        <v>2</v>
      </c>
      <c r="E3" s="751" t="s">
        <v>279</v>
      </c>
      <c r="F3" s="1115" t="s">
        <v>1512</v>
      </c>
      <c r="G3" s="1115" t="s">
        <v>279</v>
      </c>
      <c r="H3" s="1115" t="s">
        <v>1512</v>
      </c>
      <c r="I3" s="1115" t="s">
        <v>279</v>
      </c>
      <c r="J3" s="1115" t="s">
        <v>1512</v>
      </c>
      <c r="K3" s="1115" t="s">
        <v>279</v>
      </c>
      <c r="L3" s="1115" t="s">
        <v>1512</v>
      </c>
      <c r="M3" s="1115" t="s">
        <v>279</v>
      </c>
      <c r="N3" s="1115" t="s">
        <v>1512</v>
      </c>
      <c r="O3" s="1115" t="s">
        <v>279</v>
      </c>
      <c r="P3" s="1116" t="s">
        <v>1512</v>
      </c>
      <c r="Q3" s="1546" t="s">
        <v>279</v>
      </c>
      <c r="R3" s="1546" t="s">
        <v>1512</v>
      </c>
    </row>
    <row r="4" spans="1:18" ht="105.75" customHeight="1" x14ac:dyDescent="0.2">
      <c r="A4" s="1727"/>
      <c r="B4" s="1727"/>
      <c r="C4" s="1727"/>
      <c r="D4" s="1725"/>
      <c r="E4" s="903" t="s">
        <v>904</v>
      </c>
      <c r="F4" s="752" t="s">
        <v>904</v>
      </c>
      <c r="G4" s="752" t="s">
        <v>252</v>
      </c>
      <c r="H4" s="1269" t="s">
        <v>2384</v>
      </c>
      <c r="I4" s="752" t="s">
        <v>360</v>
      </c>
      <c r="J4" s="752" t="s">
        <v>360</v>
      </c>
      <c r="K4" s="752" t="s">
        <v>137</v>
      </c>
      <c r="L4" s="752" t="s">
        <v>137</v>
      </c>
      <c r="M4" s="752" t="s">
        <v>340</v>
      </c>
      <c r="N4" s="752" t="s">
        <v>340</v>
      </c>
      <c r="O4" s="752" t="s">
        <v>339</v>
      </c>
      <c r="P4" s="768" t="s">
        <v>339</v>
      </c>
      <c r="Q4" s="1569" t="s">
        <v>118</v>
      </c>
      <c r="R4" s="1569" t="s">
        <v>118</v>
      </c>
    </row>
    <row r="5" spans="1:18" s="39" customFormat="1" ht="22.5" customHeight="1" x14ac:dyDescent="0.2">
      <c r="A5" s="1719" t="s">
        <v>58</v>
      </c>
      <c r="B5" s="1720"/>
      <c r="C5" s="1720"/>
      <c r="D5" s="1720"/>
      <c r="E5" s="63">
        <f>SUM(E6:E13)</f>
        <v>3822360000</v>
      </c>
      <c r="F5" s="63">
        <f>SUM(F6:F13)</f>
        <v>4719186287</v>
      </c>
      <c r="G5" s="63">
        <f>SUM(G6:G13)</f>
        <v>46979111</v>
      </c>
      <c r="H5" s="63">
        <f t="shared" ref="H5:P5" si="0">SUM(H6:H13)</f>
        <v>0</v>
      </c>
      <c r="I5" s="63">
        <f t="shared" si="0"/>
        <v>0</v>
      </c>
      <c r="J5" s="63">
        <f>SUM(J6:J13)</f>
        <v>160000</v>
      </c>
      <c r="K5" s="63">
        <f t="shared" si="0"/>
        <v>0</v>
      </c>
      <c r="L5" s="63">
        <f t="shared" si="0"/>
        <v>0</v>
      </c>
      <c r="M5" s="63">
        <f t="shared" si="0"/>
        <v>0</v>
      </c>
      <c r="N5" s="63">
        <f t="shared" si="0"/>
        <v>0</v>
      </c>
      <c r="O5" s="63">
        <f t="shared" si="0"/>
        <v>0</v>
      </c>
      <c r="P5" s="63">
        <f t="shared" si="0"/>
        <v>28146</v>
      </c>
      <c r="Q5" s="96">
        <f>+E5+G5+K5+O5+M5</f>
        <v>3869339111</v>
      </c>
      <c r="R5" s="96">
        <f>+F5+H5+L5+P5+J5+N5</f>
        <v>4719374433</v>
      </c>
    </row>
    <row r="6" spans="1:18" s="244" customFormat="1" ht="19.5" customHeight="1" x14ac:dyDescent="0.2">
      <c r="A6" s="55" t="s">
        <v>194</v>
      </c>
      <c r="B6" s="158">
        <v>500</v>
      </c>
      <c r="C6" s="323" t="s">
        <v>1486</v>
      </c>
      <c r="D6" s="334" t="s">
        <v>728</v>
      </c>
      <c r="E6" s="335">
        <v>600000000</v>
      </c>
      <c r="F6" s="335">
        <f>600000000+10962098+68530542+10000000+7000000+6194560</f>
        <v>702687200</v>
      </c>
      <c r="G6" s="335"/>
      <c r="H6" s="335"/>
      <c r="I6" s="335"/>
      <c r="J6" s="335"/>
      <c r="K6" s="335"/>
      <c r="L6" s="335"/>
      <c r="M6" s="335"/>
      <c r="N6" s="335"/>
      <c r="O6" s="335"/>
      <c r="P6" s="755"/>
      <c r="Q6" s="96">
        <f t="shared" ref="Q6:Q19" si="1">+E6+G6+K6+O6+M6</f>
        <v>600000000</v>
      </c>
      <c r="R6" s="96">
        <f t="shared" ref="R6:R18" si="2">+F6+H6+L6+P6+J6+N6</f>
        <v>702687200</v>
      </c>
    </row>
    <row r="7" spans="1:18" ht="27" customHeight="1" x14ac:dyDescent="0.2">
      <c r="A7" s="56" t="s">
        <v>195</v>
      </c>
      <c r="B7" s="140">
        <v>500</v>
      </c>
      <c r="C7" s="119" t="s">
        <v>1486</v>
      </c>
      <c r="D7" s="1490" t="s">
        <v>729</v>
      </c>
      <c r="E7" s="131">
        <v>150000000</v>
      </c>
      <c r="F7" s="131">
        <f>150000000+1712939-23428093+20000000+10000000+6119481</f>
        <v>164404327</v>
      </c>
      <c r="G7" s="131"/>
      <c r="H7" s="131"/>
      <c r="I7" s="131"/>
      <c r="J7" s="131"/>
      <c r="K7" s="131"/>
      <c r="L7" s="131"/>
      <c r="M7" s="131"/>
      <c r="N7" s="131"/>
      <c r="O7" s="131"/>
      <c r="P7" s="386"/>
      <c r="Q7" s="96">
        <f t="shared" si="1"/>
        <v>150000000</v>
      </c>
      <c r="R7" s="96">
        <f t="shared" si="2"/>
        <v>164404327</v>
      </c>
    </row>
    <row r="8" spans="1:18" ht="21" customHeight="1" x14ac:dyDescent="0.2">
      <c r="A8" s="56" t="s">
        <v>196</v>
      </c>
      <c r="B8" s="140">
        <v>500</v>
      </c>
      <c r="C8" s="119" t="s">
        <v>1486</v>
      </c>
      <c r="D8" s="1490" t="s">
        <v>1483</v>
      </c>
      <c r="E8" s="131">
        <v>22200000</v>
      </c>
      <c r="F8" s="131">
        <f>22200000+1214121-699541+3000000+1945164</f>
        <v>27659744</v>
      </c>
      <c r="G8" s="131"/>
      <c r="H8" s="131"/>
      <c r="I8" s="131"/>
      <c r="J8" s="131"/>
      <c r="K8" s="131"/>
      <c r="L8" s="131"/>
      <c r="M8" s="131"/>
      <c r="N8" s="131"/>
      <c r="O8" s="131"/>
      <c r="P8" s="386"/>
      <c r="Q8" s="96">
        <f t="shared" si="1"/>
        <v>22200000</v>
      </c>
      <c r="R8" s="96">
        <f t="shared" si="2"/>
        <v>27659744</v>
      </c>
    </row>
    <row r="9" spans="1:18" ht="22.5" customHeight="1" x14ac:dyDescent="0.2">
      <c r="A9" s="56" t="s">
        <v>197</v>
      </c>
      <c r="B9" s="140">
        <v>500</v>
      </c>
      <c r="C9" s="119" t="s">
        <v>1488</v>
      </c>
      <c r="D9" s="1490" t="s">
        <v>1491</v>
      </c>
      <c r="E9" s="131">
        <v>160000</v>
      </c>
      <c r="F9" s="131">
        <f>160000+92544</f>
        <v>252544</v>
      </c>
      <c r="G9" s="131"/>
      <c r="H9" s="131"/>
      <c r="I9" s="131"/>
      <c r="J9" s="131"/>
      <c r="K9" s="131"/>
      <c r="L9" s="131"/>
      <c r="M9" s="131"/>
      <c r="N9" s="131"/>
      <c r="O9" s="131"/>
      <c r="P9" s="386"/>
      <c r="Q9" s="96">
        <f t="shared" si="1"/>
        <v>160000</v>
      </c>
      <c r="R9" s="96">
        <f t="shared" si="2"/>
        <v>252544</v>
      </c>
    </row>
    <row r="10" spans="1:18" ht="26.25" customHeight="1" x14ac:dyDescent="0.2">
      <c r="A10" s="56" t="s">
        <v>198</v>
      </c>
      <c r="B10" s="140">
        <v>500</v>
      </c>
      <c r="C10" s="119" t="s">
        <v>1487</v>
      </c>
      <c r="D10" s="1490" t="s">
        <v>731</v>
      </c>
      <c r="E10" s="131">
        <v>3050000000</v>
      </c>
      <c r="F10" s="131">
        <f>3050000000+29661178+567625831+100000000+80000000-23638367</f>
        <v>3803648642</v>
      </c>
      <c r="G10" s="131"/>
      <c r="H10" s="131"/>
      <c r="I10" s="131"/>
      <c r="J10" s="131"/>
      <c r="K10" s="131"/>
      <c r="L10" s="131"/>
      <c r="M10" s="131"/>
      <c r="N10" s="131"/>
      <c r="O10" s="131"/>
      <c r="P10" s="386"/>
      <c r="Q10" s="96">
        <f t="shared" si="1"/>
        <v>3050000000</v>
      </c>
      <c r="R10" s="96">
        <f t="shared" si="2"/>
        <v>3803648642</v>
      </c>
    </row>
    <row r="11" spans="1:18" ht="25.5" customHeight="1" x14ac:dyDescent="0.2">
      <c r="A11" s="56" t="s">
        <v>199</v>
      </c>
      <c r="B11" s="140">
        <v>500</v>
      </c>
      <c r="C11" s="119" t="s">
        <v>1489</v>
      </c>
      <c r="D11" s="1490" t="s">
        <v>1484</v>
      </c>
      <c r="E11" s="131"/>
      <c r="F11" s="131">
        <f>2929027+499748+2916629+6185301+2856674+3000000+2146451</f>
        <v>20533830</v>
      </c>
      <c r="G11" s="131"/>
      <c r="H11" s="131"/>
      <c r="I11" s="131"/>
      <c r="J11" s="131"/>
      <c r="K11" s="131"/>
      <c r="L11" s="131"/>
      <c r="M11" s="131"/>
      <c r="N11" s="131"/>
      <c r="O11" s="131"/>
      <c r="P11" s="386"/>
      <c r="Q11" s="96">
        <f t="shared" si="1"/>
        <v>0</v>
      </c>
      <c r="R11" s="96">
        <f t="shared" si="2"/>
        <v>20533830</v>
      </c>
    </row>
    <row r="12" spans="1:18" ht="22.5" customHeight="1" x14ac:dyDescent="0.2">
      <c r="A12" s="56" t="s">
        <v>200</v>
      </c>
      <c r="B12" s="140">
        <v>502</v>
      </c>
      <c r="C12" s="119" t="s">
        <v>217</v>
      </c>
      <c r="D12" s="1490" t="s">
        <v>1485</v>
      </c>
      <c r="E12" s="131"/>
      <c r="F12" s="131"/>
      <c r="G12" s="131">
        <v>46979111</v>
      </c>
      <c r="H12" s="131">
        <f>46979111-46979111</f>
        <v>0</v>
      </c>
      <c r="I12" s="131"/>
      <c r="J12" s="131"/>
      <c r="K12" s="131"/>
      <c r="L12" s="131"/>
      <c r="M12" s="131"/>
      <c r="N12" s="131"/>
      <c r="O12" s="131"/>
      <c r="P12" s="386"/>
      <c r="Q12" s="96">
        <f t="shared" si="1"/>
        <v>46979111</v>
      </c>
      <c r="R12" s="96">
        <f t="shared" si="2"/>
        <v>0</v>
      </c>
    </row>
    <row r="13" spans="1:18" ht="26.25" customHeight="1" x14ac:dyDescent="0.2">
      <c r="A13" s="148" t="s">
        <v>201</v>
      </c>
      <c r="B13" s="659" t="s">
        <v>153</v>
      </c>
      <c r="C13" s="155" t="s">
        <v>1489</v>
      </c>
      <c r="D13" s="153" t="s">
        <v>3462</v>
      </c>
      <c r="E13" s="151"/>
      <c r="F13" s="151"/>
      <c r="G13" s="151"/>
      <c r="H13" s="151"/>
      <c r="I13" s="151"/>
      <c r="J13" s="151">
        <f>60000+100000</f>
        <v>160000</v>
      </c>
      <c r="K13" s="151"/>
      <c r="L13" s="151"/>
      <c r="M13" s="151"/>
      <c r="N13" s="151"/>
      <c r="O13" s="151"/>
      <c r="P13" s="671">
        <v>28146</v>
      </c>
      <c r="Q13" s="96">
        <f t="shared" si="1"/>
        <v>0</v>
      </c>
      <c r="R13" s="96">
        <f>+F13+H13+L13+P13+J13+N13</f>
        <v>188146</v>
      </c>
    </row>
    <row r="14" spans="1:18" s="39" customFormat="1" ht="20.25" customHeight="1" x14ac:dyDescent="0.2">
      <c r="A14" s="1719" t="s">
        <v>60</v>
      </c>
      <c r="B14" s="1720"/>
      <c r="C14" s="1720"/>
      <c r="D14" s="1720"/>
      <c r="E14" s="63">
        <f>+E15</f>
        <v>0</v>
      </c>
      <c r="F14" s="63">
        <f t="shared" ref="F14:P14" si="3">+F15</f>
        <v>0</v>
      </c>
      <c r="G14" s="63">
        <f t="shared" si="3"/>
        <v>0</v>
      </c>
      <c r="H14" s="63">
        <f t="shared" si="3"/>
        <v>0</v>
      </c>
      <c r="I14" s="63">
        <f t="shared" si="3"/>
        <v>0</v>
      </c>
      <c r="J14" s="63">
        <f t="shared" si="3"/>
        <v>0</v>
      </c>
      <c r="K14" s="63">
        <f t="shared" si="3"/>
        <v>4000000</v>
      </c>
      <c r="L14" s="63">
        <f t="shared" si="3"/>
        <v>4030000</v>
      </c>
      <c r="M14" s="63">
        <f t="shared" si="3"/>
        <v>0</v>
      </c>
      <c r="N14" s="63">
        <f t="shared" si="3"/>
        <v>90000</v>
      </c>
      <c r="O14" s="63">
        <f t="shared" si="3"/>
        <v>0</v>
      </c>
      <c r="P14" s="63">
        <f t="shared" si="3"/>
        <v>10000</v>
      </c>
      <c r="Q14" s="96">
        <f t="shared" si="1"/>
        <v>4000000</v>
      </c>
      <c r="R14" s="96">
        <f>+F14+H14+L14+P14+J14+N14</f>
        <v>4130000</v>
      </c>
    </row>
    <row r="15" spans="1:18" s="39" customFormat="1" ht="20.25" customHeight="1" x14ac:dyDescent="0.2">
      <c r="A15" s="1719" t="s">
        <v>506</v>
      </c>
      <c r="B15" s="1757"/>
      <c r="C15" s="1757"/>
      <c r="D15" s="1757"/>
      <c r="E15" s="63">
        <f>SUM(E16:E18)</f>
        <v>0</v>
      </c>
      <c r="F15" s="63">
        <f t="shared" ref="F15:O15" si="4">SUM(F16:F18)</f>
        <v>0</v>
      </c>
      <c r="G15" s="63">
        <f t="shared" si="4"/>
        <v>0</v>
      </c>
      <c r="H15" s="63">
        <f t="shared" si="4"/>
        <v>0</v>
      </c>
      <c r="I15" s="63">
        <f t="shared" si="4"/>
        <v>0</v>
      </c>
      <c r="J15" s="63">
        <f t="shared" si="4"/>
        <v>0</v>
      </c>
      <c r="K15" s="63">
        <f t="shared" si="4"/>
        <v>4000000</v>
      </c>
      <c r="L15" s="63">
        <f t="shared" si="4"/>
        <v>4030000</v>
      </c>
      <c r="M15" s="63">
        <f t="shared" si="4"/>
        <v>0</v>
      </c>
      <c r="N15" s="63">
        <f>SUM(N16:N18)</f>
        <v>90000</v>
      </c>
      <c r="O15" s="63">
        <f t="shared" si="4"/>
        <v>0</v>
      </c>
      <c r="P15" s="706">
        <f>SUM(P16:P17)</f>
        <v>10000</v>
      </c>
      <c r="Q15" s="96">
        <f t="shared" si="1"/>
        <v>4000000</v>
      </c>
      <c r="R15" s="96">
        <f t="shared" si="2"/>
        <v>4130000</v>
      </c>
    </row>
    <row r="16" spans="1:18" ht="24" customHeight="1" x14ac:dyDescent="0.2">
      <c r="A16" s="55" t="s">
        <v>194</v>
      </c>
      <c r="B16" s="699" t="s">
        <v>150</v>
      </c>
      <c r="C16" s="323" t="s">
        <v>1489</v>
      </c>
      <c r="D16" s="1154" t="s">
        <v>1490</v>
      </c>
      <c r="E16" s="335"/>
      <c r="F16" s="335"/>
      <c r="G16" s="335"/>
      <c r="H16" s="335"/>
      <c r="I16" s="335"/>
      <c r="J16" s="335"/>
      <c r="K16" s="335">
        <v>4000000</v>
      </c>
      <c r="L16" s="335">
        <f>4000000+500000-470000</f>
        <v>4030000</v>
      </c>
      <c r="M16" s="335"/>
      <c r="N16" s="335"/>
      <c r="O16" s="335"/>
      <c r="P16" s="755"/>
      <c r="Q16" s="96">
        <f t="shared" si="1"/>
        <v>4000000</v>
      </c>
      <c r="R16" s="96">
        <f t="shared" si="2"/>
        <v>4030000</v>
      </c>
    </row>
    <row r="17" spans="1:18" ht="25.5" customHeight="1" x14ac:dyDescent="0.2">
      <c r="A17" s="56" t="s">
        <v>195</v>
      </c>
      <c r="B17" s="367" t="s">
        <v>90</v>
      </c>
      <c r="C17" s="119" t="s">
        <v>1489</v>
      </c>
      <c r="D17" s="754" t="s">
        <v>1924</v>
      </c>
      <c r="E17" s="131"/>
      <c r="F17" s="131"/>
      <c r="G17" s="131"/>
      <c r="H17" s="131"/>
      <c r="I17" s="131"/>
      <c r="J17" s="131"/>
      <c r="K17" s="131"/>
      <c r="L17" s="131"/>
      <c r="M17" s="131"/>
      <c r="N17" s="131"/>
      <c r="O17" s="131"/>
      <c r="P17" s="386">
        <v>10000</v>
      </c>
      <c r="Q17" s="96">
        <f t="shared" si="1"/>
        <v>0</v>
      </c>
      <c r="R17" s="96">
        <f t="shared" si="2"/>
        <v>10000</v>
      </c>
    </row>
    <row r="18" spans="1:18" ht="25.5" customHeight="1" x14ac:dyDescent="0.2">
      <c r="A18" s="148" t="s">
        <v>195</v>
      </c>
      <c r="B18" s="659" t="s">
        <v>131</v>
      </c>
      <c r="C18" s="155" t="s">
        <v>1489</v>
      </c>
      <c r="D18" s="678" t="s">
        <v>2460</v>
      </c>
      <c r="E18" s="151"/>
      <c r="F18" s="151"/>
      <c r="G18" s="151"/>
      <c r="H18" s="151"/>
      <c r="I18" s="151"/>
      <c r="J18" s="151"/>
      <c r="K18" s="151"/>
      <c r="L18" s="151"/>
      <c r="M18" s="151"/>
      <c r="N18" s="151">
        <v>90000</v>
      </c>
      <c r="O18" s="151"/>
      <c r="P18" s="904"/>
      <c r="Q18" s="96">
        <f t="shared" si="1"/>
        <v>0</v>
      </c>
      <c r="R18" s="96">
        <f t="shared" si="2"/>
        <v>90000</v>
      </c>
    </row>
    <row r="19" spans="1:18" ht="31.5" customHeight="1" x14ac:dyDescent="0.2">
      <c r="A19" s="1717" t="s">
        <v>29</v>
      </c>
      <c r="B19" s="1718"/>
      <c r="C19" s="1718"/>
      <c r="D19" s="1718"/>
      <c r="E19" s="63">
        <f>+E14+E5</f>
        <v>3822360000</v>
      </c>
      <c r="F19" s="63">
        <f>+F14+F5</f>
        <v>4719186287</v>
      </c>
      <c r="G19" s="63">
        <f>+G14+G5</f>
        <v>46979111</v>
      </c>
      <c r="H19" s="63">
        <f>+H14+H5</f>
        <v>0</v>
      </c>
      <c r="I19" s="63">
        <f t="shared" ref="I19:O19" si="5">+I14+I5</f>
        <v>0</v>
      </c>
      <c r="J19" s="63">
        <f>+J14+J5</f>
        <v>160000</v>
      </c>
      <c r="K19" s="63">
        <f t="shared" si="5"/>
        <v>4000000</v>
      </c>
      <c r="L19" s="63">
        <f>+L14+L5</f>
        <v>4030000</v>
      </c>
      <c r="M19" s="63">
        <f t="shared" si="5"/>
        <v>0</v>
      </c>
      <c r="N19" s="63">
        <f t="shared" si="5"/>
        <v>90000</v>
      </c>
      <c r="O19" s="63">
        <f t="shared" si="5"/>
        <v>0</v>
      </c>
      <c r="P19" s="63">
        <f>+P14+P5</f>
        <v>38146</v>
      </c>
      <c r="Q19" s="96">
        <f t="shared" si="1"/>
        <v>3873339111</v>
      </c>
      <c r="R19" s="96">
        <f>+F19+H19+L19+P19+J19+N19</f>
        <v>4723504433</v>
      </c>
    </row>
    <row r="20" spans="1:18" x14ac:dyDescent="0.2">
      <c r="E20" s="40"/>
      <c r="F20" s="40"/>
      <c r="G20" s="40"/>
      <c r="H20" s="40"/>
      <c r="I20" s="40"/>
      <c r="J20" s="40"/>
      <c r="K20" s="40"/>
      <c r="L20" s="40"/>
      <c r="M20" s="40"/>
      <c r="N20" s="40"/>
      <c r="O20" s="40"/>
      <c r="P20" s="40"/>
    </row>
    <row r="21" spans="1:18" x14ac:dyDescent="0.2">
      <c r="E21" s="40"/>
      <c r="F21" s="40"/>
      <c r="G21" s="40"/>
      <c r="H21" s="40"/>
      <c r="I21" s="40"/>
      <c r="J21" s="40"/>
      <c r="K21" s="40"/>
      <c r="L21" s="40"/>
      <c r="M21" s="40"/>
      <c r="N21" s="40"/>
      <c r="O21" s="40"/>
      <c r="P21" s="40"/>
    </row>
    <row r="22" spans="1:18" x14ac:dyDescent="0.2">
      <c r="E22" s="40"/>
      <c r="F22" s="40"/>
      <c r="G22" s="40"/>
      <c r="H22" s="40"/>
      <c r="I22" s="40"/>
      <c r="J22" s="40"/>
      <c r="K22" s="40"/>
      <c r="L22" s="40"/>
      <c r="M22" s="40"/>
      <c r="N22" s="40"/>
      <c r="O22" s="40"/>
      <c r="P22" s="40"/>
    </row>
    <row r="23" spans="1:18" x14ac:dyDescent="0.2">
      <c r="E23" s="40"/>
      <c r="F23" s="40"/>
      <c r="G23" s="40"/>
      <c r="H23" s="40"/>
      <c r="I23" s="40"/>
      <c r="J23" s="40"/>
      <c r="K23" s="40"/>
      <c r="L23" s="40"/>
      <c r="M23" s="40"/>
      <c r="N23" s="40"/>
      <c r="O23" s="40"/>
      <c r="P23" s="40"/>
    </row>
    <row r="24" spans="1:18" x14ac:dyDescent="0.2">
      <c r="E24" s="40"/>
      <c r="F24" s="40"/>
      <c r="G24" s="40"/>
      <c r="H24" s="40"/>
      <c r="I24" s="40"/>
      <c r="J24" s="40"/>
      <c r="K24" s="40"/>
      <c r="L24" s="40"/>
      <c r="M24" s="40"/>
      <c r="N24" s="40"/>
      <c r="O24" s="40"/>
      <c r="P24" s="40"/>
    </row>
    <row r="25" spans="1:18" x14ac:dyDescent="0.2">
      <c r="E25" s="40"/>
      <c r="F25" s="40"/>
      <c r="G25" s="40"/>
      <c r="H25" s="40"/>
      <c r="I25" s="40"/>
      <c r="J25" s="40"/>
      <c r="K25" s="40"/>
      <c r="L25" s="40"/>
      <c r="M25" s="40"/>
      <c r="N25" s="40"/>
      <c r="O25" s="40"/>
      <c r="P25" s="40"/>
    </row>
  </sheetData>
  <mergeCells count="10">
    <mergeCell ref="A1:R1"/>
    <mergeCell ref="A19:D19"/>
    <mergeCell ref="B2:Q2"/>
    <mergeCell ref="A5:D5"/>
    <mergeCell ref="A14:D14"/>
    <mergeCell ref="A15:D15"/>
    <mergeCell ref="B3:B4"/>
    <mergeCell ref="A3:A4"/>
    <mergeCell ref="D3:D4"/>
    <mergeCell ref="C3:C4"/>
  </mergeCells>
  <phoneticPr fontId="45" type="noConversion"/>
  <printOptions horizontalCentered="1" verticalCentered="1"/>
  <pageMargins left="0.31496062992125984" right="0.31496062992125984" top="0.74803149606299213" bottom="0.74803149606299213" header="0.31496062992125984" footer="0.31496062992125984"/>
  <pageSetup paperSize="9" scale="50" orientation="landscape" r:id="rId1"/>
  <headerFooter>
    <oddHeader>&amp;C2022. évi költségvetés
&amp;R&amp;A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23"/>
  <sheetViews>
    <sheetView view="pageBreakPreview" zoomScaleNormal="100" zoomScaleSheetLayoutView="100" workbookViewId="0">
      <selection activeCell="D8" sqref="D8"/>
    </sheetView>
  </sheetViews>
  <sheetFormatPr defaultColWidth="10.42578125" defaultRowHeight="12.75" x14ac:dyDescent="0.2"/>
  <cols>
    <col min="1" max="1" width="4.42578125" style="9" customWidth="1"/>
    <col min="2" max="2" width="4.5703125" style="9" customWidth="1"/>
    <col min="3" max="3" width="10.42578125" style="9" customWidth="1"/>
    <col min="4" max="4" width="46.5703125" style="9" customWidth="1"/>
    <col min="5" max="5" width="15.5703125" style="9" customWidth="1"/>
    <col min="6" max="6" width="16" style="9" customWidth="1"/>
    <col min="7" max="8" width="17.42578125" style="9" customWidth="1"/>
    <col min="9" max="9" width="16.42578125" style="9" customWidth="1"/>
    <col min="10" max="10" width="15.85546875" style="9" customWidth="1"/>
    <col min="11" max="11" width="15.42578125" style="9" customWidth="1"/>
    <col min="12" max="12" width="16.5703125" style="9" customWidth="1"/>
    <col min="13" max="13" width="16.7109375" style="9" customWidth="1"/>
    <col min="14" max="14" width="18" style="9" customWidth="1"/>
    <col min="15" max="15" width="10.42578125" style="9"/>
    <col min="16" max="16" width="6" style="9" customWidth="1"/>
    <col min="17" max="17" width="10.42578125" style="9"/>
    <col min="18" max="18" width="5.42578125" style="9" customWidth="1"/>
    <col min="19" max="16384" width="10.42578125" style="9"/>
  </cols>
  <sheetData>
    <row r="1" spans="1:18" ht="27" customHeight="1" x14ac:dyDescent="0.2">
      <c r="A1" s="1778" t="s">
        <v>1480</v>
      </c>
      <c r="B1" s="1778"/>
      <c r="C1" s="1778"/>
      <c r="D1" s="1778"/>
      <c r="E1" s="1778"/>
      <c r="F1" s="1778"/>
      <c r="G1" s="1778"/>
      <c r="H1" s="1778"/>
      <c r="I1" s="1778"/>
      <c r="J1" s="1778"/>
      <c r="K1" s="1778"/>
      <c r="L1" s="1778"/>
      <c r="M1" s="1778"/>
      <c r="N1" s="1778"/>
      <c r="O1" s="1778"/>
      <c r="P1" s="1778"/>
      <c r="Q1" s="1778"/>
      <c r="R1" s="1778"/>
    </row>
    <row r="2" spans="1:18" ht="14.25" customHeight="1" x14ac:dyDescent="0.2">
      <c r="A2" s="1886"/>
      <c r="B2" s="1886"/>
      <c r="C2" s="1886"/>
      <c r="D2" s="1886"/>
      <c r="E2" s="1886"/>
      <c r="F2" s="1886"/>
      <c r="G2" s="1886"/>
      <c r="H2" s="1886"/>
      <c r="I2" s="1886"/>
      <c r="J2" s="1886"/>
      <c r="K2" s="1886"/>
      <c r="L2" s="1886"/>
      <c r="M2" s="1886"/>
      <c r="N2" s="273"/>
      <c r="O2" s="273"/>
      <c r="P2" s="273"/>
      <c r="Q2" s="273"/>
      <c r="R2" s="907" t="s">
        <v>444</v>
      </c>
    </row>
    <row r="3" spans="1:18" ht="35.25" customHeight="1" x14ac:dyDescent="0.2">
      <c r="A3" s="1873" t="s">
        <v>53</v>
      </c>
      <c r="B3" s="1873" t="s">
        <v>742</v>
      </c>
      <c r="C3" s="1876" t="s">
        <v>82</v>
      </c>
      <c r="D3" s="1876" t="s">
        <v>2</v>
      </c>
      <c r="E3" s="751" t="s">
        <v>279</v>
      </c>
      <c r="F3" s="1115" t="s">
        <v>1512</v>
      </c>
      <c r="G3" s="751" t="s">
        <v>279</v>
      </c>
      <c r="H3" s="1115" t="s">
        <v>1512</v>
      </c>
      <c r="I3" s="751" t="s">
        <v>279</v>
      </c>
      <c r="J3" s="1115" t="s">
        <v>1512</v>
      </c>
      <c r="K3" s="1115" t="s">
        <v>279</v>
      </c>
      <c r="L3" s="1115" t="s">
        <v>1512</v>
      </c>
      <c r="M3" s="1115" t="s">
        <v>279</v>
      </c>
      <c r="N3" s="1116" t="s">
        <v>1512</v>
      </c>
      <c r="O3" s="1632" t="s">
        <v>279</v>
      </c>
      <c r="P3" s="1632"/>
      <c r="Q3" s="1632" t="s">
        <v>1512</v>
      </c>
      <c r="R3" s="1632"/>
    </row>
    <row r="4" spans="1:18" ht="23.25" customHeight="1" x14ac:dyDescent="0.2">
      <c r="A4" s="1874"/>
      <c r="B4" s="1874"/>
      <c r="C4" s="1877"/>
      <c r="D4" s="1877"/>
      <c r="E4" s="1887" t="s">
        <v>359</v>
      </c>
      <c r="F4" s="1879" t="s">
        <v>359</v>
      </c>
      <c r="G4" s="1879" t="s">
        <v>339</v>
      </c>
      <c r="H4" s="1879" t="s">
        <v>339</v>
      </c>
      <c r="I4" s="1879" t="s">
        <v>447</v>
      </c>
      <c r="J4" s="1879" t="s">
        <v>447</v>
      </c>
      <c r="K4" s="1879" t="s">
        <v>500</v>
      </c>
      <c r="L4" s="1879" t="s">
        <v>500</v>
      </c>
      <c r="M4" s="1807" t="s">
        <v>383</v>
      </c>
      <c r="N4" s="1870" t="s">
        <v>383</v>
      </c>
      <c r="O4" s="1882" t="s">
        <v>118</v>
      </c>
      <c r="P4" s="1882"/>
      <c r="Q4" s="1882" t="s">
        <v>118</v>
      </c>
      <c r="R4" s="1882"/>
    </row>
    <row r="5" spans="1:18" ht="31.5" customHeight="1" x14ac:dyDescent="0.2">
      <c r="A5" s="1874"/>
      <c r="B5" s="1874"/>
      <c r="C5" s="1877"/>
      <c r="D5" s="1877"/>
      <c r="E5" s="1888"/>
      <c r="F5" s="1880"/>
      <c r="G5" s="1880"/>
      <c r="H5" s="1880"/>
      <c r="I5" s="1880"/>
      <c r="J5" s="1880"/>
      <c r="K5" s="1880"/>
      <c r="L5" s="1880"/>
      <c r="M5" s="1808"/>
      <c r="N5" s="1871"/>
      <c r="O5" s="1882"/>
      <c r="P5" s="1882"/>
      <c r="Q5" s="1882"/>
      <c r="R5" s="1882"/>
    </row>
    <row r="6" spans="1:18" ht="22.5" customHeight="1" x14ac:dyDescent="0.2">
      <c r="A6" s="1875"/>
      <c r="B6" s="1875"/>
      <c r="C6" s="1878"/>
      <c r="D6" s="1878"/>
      <c r="E6" s="1889"/>
      <c r="F6" s="1881"/>
      <c r="G6" s="1881"/>
      <c r="H6" s="1881"/>
      <c r="I6" s="1881"/>
      <c r="J6" s="1881"/>
      <c r="K6" s="1881"/>
      <c r="L6" s="1881"/>
      <c r="M6" s="1809"/>
      <c r="N6" s="1872"/>
      <c r="O6" s="1882"/>
      <c r="P6" s="1882"/>
      <c r="Q6" s="1882"/>
      <c r="R6" s="1882"/>
    </row>
    <row r="7" spans="1:18" s="10" customFormat="1" ht="27.75" customHeight="1" x14ac:dyDescent="0.2">
      <c r="A7" s="1885" t="s">
        <v>58</v>
      </c>
      <c r="B7" s="1720"/>
      <c r="C7" s="1720"/>
      <c r="D7" s="1720"/>
      <c r="E7" s="1571"/>
      <c r="F7" s="1571"/>
      <c r="G7" s="1571"/>
      <c r="H7" s="1571"/>
      <c r="I7" s="1571"/>
      <c r="J7" s="1571"/>
      <c r="K7" s="1571"/>
      <c r="L7" s="1571"/>
      <c r="M7" s="1222">
        <f>SUM(M8:M11)</f>
        <v>720079203</v>
      </c>
      <c r="N7" s="1237">
        <f>SUM(N8:N14)</f>
        <v>741863797</v>
      </c>
      <c r="O7" s="1869">
        <f>+E7+M7+G7+K7</f>
        <v>720079203</v>
      </c>
      <c r="P7" s="1869"/>
      <c r="Q7" s="1869">
        <f>+F7+N7+H7+L7</f>
        <v>741863797</v>
      </c>
      <c r="R7" s="1869"/>
    </row>
    <row r="8" spans="1:18" ht="19.5" customHeight="1" x14ac:dyDescent="0.2">
      <c r="A8" s="1223" t="s">
        <v>194</v>
      </c>
      <c r="B8" s="1224" t="s">
        <v>66</v>
      </c>
      <c r="C8" s="1225" t="s">
        <v>1495</v>
      </c>
      <c r="D8" s="1226" t="s">
        <v>1481</v>
      </c>
      <c r="E8" s="1226"/>
      <c r="F8" s="1226"/>
      <c r="G8" s="1226"/>
      <c r="H8" s="1226"/>
      <c r="I8" s="1226"/>
      <c r="J8" s="1226"/>
      <c r="K8" s="1226"/>
      <c r="L8" s="1226"/>
      <c r="M8" s="1227">
        <v>681454000</v>
      </c>
      <c r="N8" s="1238">
        <v>681454000</v>
      </c>
      <c r="O8" s="1869">
        <f t="shared" ref="O8:O14" si="0">+E8+M8+G8+K8</f>
        <v>681454000</v>
      </c>
      <c r="P8" s="1869"/>
      <c r="Q8" s="1869">
        <f t="shared" ref="Q8:Q14" si="1">+F8+N8+H8+L8</f>
        <v>681454000</v>
      </c>
      <c r="R8" s="1869"/>
    </row>
    <row r="9" spans="1:18" ht="27" customHeight="1" x14ac:dyDescent="0.2">
      <c r="A9" s="1228" t="s">
        <v>195</v>
      </c>
      <c r="B9" s="1229" t="s">
        <v>66</v>
      </c>
      <c r="C9" s="1230" t="s">
        <v>1495</v>
      </c>
      <c r="D9" s="725" t="s">
        <v>1482</v>
      </c>
      <c r="E9" s="725"/>
      <c r="F9" s="725"/>
      <c r="G9" s="725"/>
      <c r="H9" s="725"/>
      <c r="I9" s="725"/>
      <c r="J9" s="725"/>
      <c r="K9" s="725"/>
      <c r="L9" s="725"/>
      <c r="M9" s="1231">
        <v>8625203</v>
      </c>
      <c r="N9" s="1239">
        <v>8625203</v>
      </c>
      <c r="O9" s="1869">
        <f t="shared" si="0"/>
        <v>8625203</v>
      </c>
      <c r="P9" s="1869"/>
      <c r="Q9" s="1869">
        <f t="shared" si="1"/>
        <v>8625203</v>
      </c>
      <c r="R9" s="1869"/>
    </row>
    <row r="10" spans="1:18" ht="22.5" customHeight="1" x14ac:dyDescent="0.2">
      <c r="A10" s="1228" t="s">
        <v>196</v>
      </c>
      <c r="B10" s="1229" t="s">
        <v>66</v>
      </c>
      <c r="C10" s="1230" t="s">
        <v>1495</v>
      </c>
      <c r="D10" s="725" t="s">
        <v>3498</v>
      </c>
      <c r="E10" s="725"/>
      <c r="F10" s="725"/>
      <c r="G10" s="725"/>
      <c r="H10" s="725"/>
      <c r="I10" s="725"/>
      <c r="J10" s="725"/>
      <c r="K10" s="725"/>
      <c r="L10" s="725"/>
      <c r="M10" s="1231">
        <v>30000000</v>
      </c>
      <c r="N10" s="1506">
        <f>30000000-30000000</f>
        <v>0</v>
      </c>
      <c r="O10" s="1869">
        <f t="shared" si="0"/>
        <v>30000000</v>
      </c>
      <c r="P10" s="1869"/>
      <c r="Q10" s="1869">
        <f t="shared" si="1"/>
        <v>0</v>
      </c>
      <c r="R10" s="1869"/>
    </row>
    <row r="11" spans="1:18" ht="40.5" customHeight="1" x14ac:dyDescent="0.2">
      <c r="A11" s="1228" t="s">
        <v>197</v>
      </c>
      <c r="B11" s="663" t="s">
        <v>66</v>
      </c>
      <c r="C11" s="1230" t="s">
        <v>1495</v>
      </c>
      <c r="D11" s="725" t="s">
        <v>3371</v>
      </c>
      <c r="E11" s="725"/>
      <c r="F11" s="725"/>
      <c r="G11" s="725"/>
      <c r="H11" s="725"/>
      <c r="I11" s="725"/>
      <c r="J11" s="725"/>
      <c r="K11" s="725"/>
      <c r="L11" s="725"/>
      <c r="M11" s="1231"/>
      <c r="N11" s="1506">
        <v>4064000</v>
      </c>
      <c r="O11" s="1869">
        <f t="shared" si="0"/>
        <v>0</v>
      </c>
      <c r="P11" s="1869"/>
      <c r="Q11" s="1869">
        <f t="shared" si="1"/>
        <v>4064000</v>
      </c>
      <c r="R11" s="1869"/>
    </row>
    <row r="12" spans="1:18" ht="26.25" customHeight="1" x14ac:dyDescent="0.2">
      <c r="A12" s="1228" t="s">
        <v>198</v>
      </c>
      <c r="B12" s="663" t="s">
        <v>66</v>
      </c>
      <c r="C12" s="1230" t="s">
        <v>1495</v>
      </c>
      <c r="D12" s="725" t="s">
        <v>3272</v>
      </c>
      <c r="E12" s="725"/>
      <c r="F12" s="725"/>
      <c r="G12" s="725"/>
      <c r="H12" s="725"/>
      <c r="I12" s="725"/>
      <c r="J12" s="725"/>
      <c r="K12" s="725"/>
      <c r="L12" s="725"/>
      <c r="M12" s="1231"/>
      <c r="N12" s="1506">
        <v>42973594</v>
      </c>
      <c r="O12" s="1869">
        <f t="shared" si="0"/>
        <v>0</v>
      </c>
      <c r="P12" s="1869"/>
      <c r="Q12" s="1869">
        <f t="shared" si="1"/>
        <v>42973594</v>
      </c>
      <c r="R12" s="1869"/>
    </row>
    <row r="13" spans="1:18" ht="30.75" customHeight="1" x14ac:dyDescent="0.2">
      <c r="A13" s="1228" t="s">
        <v>199</v>
      </c>
      <c r="B13" s="663" t="s">
        <v>66</v>
      </c>
      <c r="C13" s="1230" t="s">
        <v>1495</v>
      </c>
      <c r="D13" s="725" t="s">
        <v>3304</v>
      </c>
      <c r="E13" s="725"/>
      <c r="F13" s="725"/>
      <c r="G13" s="725"/>
      <c r="H13" s="725"/>
      <c r="I13" s="725"/>
      <c r="J13" s="725"/>
      <c r="K13" s="725"/>
      <c r="L13" s="725"/>
      <c r="M13" s="1231"/>
      <c r="N13" s="1506">
        <v>4747000</v>
      </c>
      <c r="O13" s="1869">
        <f t="shared" si="0"/>
        <v>0</v>
      </c>
      <c r="P13" s="1869"/>
      <c r="Q13" s="1869">
        <f t="shared" si="1"/>
        <v>4747000</v>
      </c>
      <c r="R13" s="1869"/>
    </row>
    <row r="14" spans="1:18" ht="30.75" customHeight="1" x14ac:dyDescent="0.2">
      <c r="A14" s="1234" t="s">
        <v>200</v>
      </c>
      <c r="B14" s="1525" t="s">
        <v>66</v>
      </c>
      <c r="C14" s="1235" t="s">
        <v>1495</v>
      </c>
      <c r="D14" s="1507" t="s">
        <v>3307</v>
      </c>
      <c r="E14" s="1507"/>
      <c r="F14" s="1507"/>
      <c r="G14" s="1507"/>
      <c r="H14" s="1507"/>
      <c r="I14" s="1507"/>
      <c r="J14" s="1507"/>
      <c r="K14" s="1507"/>
      <c r="L14" s="1507"/>
      <c r="M14" s="1508"/>
      <c r="N14" s="1509">
        <f>522522-522522</f>
        <v>0</v>
      </c>
      <c r="O14" s="1869">
        <f t="shared" si="0"/>
        <v>0</v>
      </c>
      <c r="P14" s="1869"/>
      <c r="Q14" s="1869">
        <f t="shared" si="1"/>
        <v>0</v>
      </c>
      <c r="R14" s="1869"/>
    </row>
    <row r="15" spans="1:18" ht="22.5" customHeight="1" x14ac:dyDescent="0.2">
      <c r="A15" s="1885" t="s">
        <v>60</v>
      </c>
      <c r="B15" s="1720"/>
      <c r="C15" s="1720"/>
      <c r="D15" s="1720"/>
      <c r="E15" s="63">
        <f>+E16+E21+E19</f>
        <v>0</v>
      </c>
      <c r="F15" s="63">
        <f t="shared" ref="F15:N15" si="2">+F16+F21+F19</f>
        <v>5000</v>
      </c>
      <c r="G15" s="63">
        <f t="shared" si="2"/>
        <v>0</v>
      </c>
      <c r="H15" s="63">
        <f t="shared" si="2"/>
        <v>30000</v>
      </c>
      <c r="I15" s="63">
        <f t="shared" si="2"/>
        <v>0</v>
      </c>
      <c r="J15" s="63">
        <f t="shared" si="2"/>
        <v>5000</v>
      </c>
      <c r="K15" s="63">
        <f t="shared" si="2"/>
        <v>0</v>
      </c>
      <c r="L15" s="63">
        <f t="shared" si="2"/>
        <v>75000</v>
      </c>
      <c r="M15" s="63">
        <f t="shared" si="2"/>
        <v>0</v>
      </c>
      <c r="N15" s="63">
        <f t="shared" si="2"/>
        <v>0</v>
      </c>
      <c r="O15" s="1869">
        <f>+E15+M15+G15+K15+I15</f>
        <v>0</v>
      </c>
      <c r="P15" s="1869"/>
      <c r="Q15" s="1869">
        <f>+F15+N15+H15+L15+J15</f>
        <v>115000</v>
      </c>
      <c r="R15" s="1869"/>
    </row>
    <row r="16" spans="1:18" ht="22.5" customHeight="1" x14ac:dyDescent="0.2">
      <c r="A16" s="1719" t="s">
        <v>506</v>
      </c>
      <c r="B16" s="1757"/>
      <c r="C16" s="1757"/>
      <c r="D16" s="1757"/>
      <c r="E16" s="63">
        <f>SUM(E17)</f>
        <v>0</v>
      </c>
      <c r="F16" s="63">
        <f t="shared" ref="F16:N16" si="3">SUM(F17)</f>
        <v>0</v>
      </c>
      <c r="G16" s="63"/>
      <c r="H16" s="63">
        <f>SUM(H17:H18)</f>
        <v>30000</v>
      </c>
      <c r="I16" s="63"/>
      <c r="J16" s="63"/>
      <c r="K16" s="63">
        <f t="shared" si="3"/>
        <v>0</v>
      </c>
      <c r="L16" s="63">
        <f t="shared" si="3"/>
        <v>75000</v>
      </c>
      <c r="M16" s="63">
        <f t="shared" si="3"/>
        <v>0</v>
      </c>
      <c r="N16" s="706">
        <f t="shared" si="3"/>
        <v>0</v>
      </c>
      <c r="O16" s="1869">
        <f t="shared" ref="O16:O22" si="4">+E16+M16+G16+K16+I16</f>
        <v>0</v>
      </c>
      <c r="P16" s="1869"/>
      <c r="Q16" s="1869">
        <f t="shared" ref="Q16:Q22" si="5">+F16+N16+H16+L16+J16</f>
        <v>105000</v>
      </c>
      <c r="R16" s="1869"/>
    </row>
    <row r="17" spans="1:18" ht="22.5" customHeight="1" x14ac:dyDescent="0.2">
      <c r="A17" s="1223" t="s">
        <v>194</v>
      </c>
      <c r="B17" s="1529" t="s">
        <v>133</v>
      </c>
      <c r="C17" s="1225" t="s">
        <v>2142</v>
      </c>
      <c r="D17" s="1530" t="s">
        <v>3483</v>
      </c>
      <c r="E17" s="1530"/>
      <c r="F17" s="1227"/>
      <c r="G17" s="1227"/>
      <c r="H17" s="1227"/>
      <c r="I17" s="1227"/>
      <c r="J17" s="1227"/>
      <c r="K17" s="1227"/>
      <c r="L17" s="1227">
        <v>75000</v>
      </c>
      <c r="M17" s="1531"/>
      <c r="N17" s="1532"/>
      <c r="O17" s="1869">
        <f t="shared" si="4"/>
        <v>0</v>
      </c>
      <c r="P17" s="1869"/>
      <c r="Q17" s="1869">
        <f t="shared" si="5"/>
        <v>75000</v>
      </c>
      <c r="R17" s="1869"/>
    </row>
    <row r="18" spans="1:18" ht="22.5" customHeight="1" x14ac:dyDescent="0.2">
      <c r="A18" s="1234" t="s">
        <v>195</v>
      </c>
      <c r="B18" s="1243" t="s">
        <v>90</v>
      </c>
      <c r="C18" s="1235" t="s">
        <v>2142</v>
      </c>
      <c r="D18" s="1236" t="s">
        <v>3359</v>
      </c>
      <c r="E18" s="1236"/>
      <c r="F18" s="1508"/>
      <c r="G18" s="1508"/>
      <c r="H18" s="1508">
        <f>25000+5000</f>
        <v>30000</v>
      </c>
      <c r="I18" s="1508"/>
      <c r="J18" s="1508"/>
      <c r="K18" s="1508"/>
      <c r="L18" s="1508"/>
      <c r="M18" s="1533"/>
      <c r="N18" s="1534"/>
      <c r="O18" s="1869">
        <f t="shared" si="4"/>
        <v>0</v>
      </c>
      <c r="P18" s="1869"/>
      <c r="Q18" s="1869">
        <f t="shared" si="5"/>
        <v>30000</v>
      </c>
      <c r="R18" s="1869"/>
    </row>
    <row r="19" spans="1:18" ht="22.5" customHeight="1" x14ac:dyDescent="0.2">
      <c r="A19" s="1719" t="s">
        <v>3482</v>
      </c>
      <c r="B19" s="1757"/>
      <c r="C19" s="1757"/>
      <c r="D19" s="1757"/>
      <c r="E19" s="63">
        <f>SUM(E20)</f>
        <v>0</v>
      </c>
      <c r="F19" s="63">
        <f t="shared" ref="F19:N19" si="6">SUM(F20)</f>
        <v>0</v>
      </c>
      <c r="G19" s="63">
        <f t="shared" si="6"/>
        <v>0</v>
      </c>
      <c r="H19" s="63">
        <f t="shared" si="6"/>
        <v>0</v>
      </c>
      <c r="I19" s="63">
        <f>SUM(I20)</f>
        <v>0</v>
      </c>
      <c r="J19" s="63">
        <f>SUM(J20)</f>
        <v>5000</v>
      </c>
      <c r="K19" s="63">
        <f t="shared" si="6"/>
        <v>0</v>
      </c>
      <c r="L19" s="63">
        <f t="shared" si="6"/>
        <v>0</v>
      </c>
      <c r="M19" s="63">
        <f t="shared" si="6"/>
        <v>0</v>
      </c>
      <c r="N19" s="63">
        <f t="shared" si="6"/>
        <v>0</v>
      </c>
      <c r="O19" s="1869">
        <f t="shared" si="4"/>
        <v>0</v>
      </c>
      <c r="P19" s="1869"/>
      <c r="Q19" s="1869">
        <f>+F19+N19+H19+L19+J19</f>
        <v>5000</v>
      </c>
      <c r="R19" s="1869"/>
    </row>
    <row r="20" spans="1:18" ht="22.5" customHeight="1" x14ac:dyDescent="0.2">
      <c r="A20" s="1540" t="s">
        <v>194</v>
      </c>
      <c r="B20" s="1541" t="s">
        <v>90</v>
      </c>
      <c r="C20" s="1542" t="s">
        <v>2142</v>
      </c>
      <c r="D20" s="1242" t="s">
        <v>3483</v>
      </c>
      <c r="E20" s="1242"/>
      <c r="F20" s="1543"/>
      <c r="G20" s="1543"/>
      <c r="H20" s="1543"/>
      <c r="I20" s="1543"/>
      <c r="J20" s="1543">
        <v>5000</v>
      </c>
      <c r="K20" s="1543"/>
      <c r="L20" s="1543"/>
      <c r="M20" s="1233"/>
      <c r="N20" s="1544"/>
      <c r="O20" s="1869">
        <f t="shared" si="4"/>
        <v>0</v>
      </c>
      <c r="P20" s="1869"/>
      <c r="Q20" s="1869">
        <f t="shared" si="5"/>
        <v>5000</v>
      </c>
      <c r="R20" s="1869"/>
    </row>
    <row r="21" spans="1:18" ht="22.5" customHeight="1" x14ac:dyDescent="0.2">
      <c r="A21" s="1885" t="s">
        <v>632</v>
      </c>
      <c r="B21" s="1720"/>
      <c r="C21" s="1720"/>
      <c r="D21" s="1720"/>
      <c r="E21" s="63">
        <f>SUM(E22)</f>
        <v>0</v>
      </c>
      <c r="F21" s="63">
        <f t="shared" ref="F21:N21" si="7">SUM(F22)</f>
        <v>5000</v>
      </c>
      <c r="G21" s="63"/>
      <c r="H21" s="63"/>
      <c r="I21" s="63"/>
      <c r="J21" s="63"/>
      <c r="K21" s="63">
        <f t="shared" si="7"/>
        <v>0</v>
      </c>
      <c r="L21" s="63">
        <f t="shared" si="7"/>
        <v>0</v>
      </c>
      <c r="M21" s="63">
        <f t="shared" si="7"/>
        <v>0</v>
      </c>
      <c r="N21" s="706">
        <f t="shared" si="7"/>
        <v>0</v>
      </c>
      <c r="O21" s="1869">
        <f t="shared" si="4"/>
        <v>0</v>
      </c>
      <c r="P21" s="1869"/>
      <c r="Q21" s="1869">
        <f t="shared" si="5"/>
        <v>5000</v>
      </c>
      <c r="R21" s="1869"/>
    </row>
    <row r="22" spans="1:18" ht="19.5" customHeight="1" x14ac:dyDescent="0.2">
      <c r="A22" s="1234" t="s">
        <v>194</v>
      </c>
      <c r="B22" s="1243" t="s">
        <v>150</v>
      </c>
      <c r="C22" s="1235" t="s">
        <v>2142</v>
      </c>
      <c r="D22" s="1242" t="s">
        <v>3483</v>
      </c>
      <c r="E22" s="1242"/>
      <c r="F22" s="1232">
        <v>5000</v>
      </c>
      <c r="G22" s="1265"/>
      <c r="H22" s="1265"/>
      <c r="I22" s="1265"/>
      <c r="J22" s="1265"/>
      <c r="K22" s="1265"/>
      <c r="L22" s="1265"/>
      <c r="M22" s="1233"/>
      <c r="N22" s="1240"/>
      <c r="O22" s="1869">
        <f t="shared" si="4"/>
        <v>0</v>
      </c>
      <c r="P22" s="1869"/>
      <c r="Q22" s="1869">
        <f t="shared" si="5"/>
        <v>5000</v>
      </c>
      <c r="R22" s="1869"/>
    </row>
    <row r="23" spans="1:18" ht="23.25" customHeight="1" x14ac:dyDescent="0.2">
      <c r="A23" s="1883" t="s">
        <v>29</v>
      </c>
      <c r="B23" s="1884"/>
      <c r="C23" s="1884"/>
      <c r="D23" s="1884"/>
      <c r="E23" s="1306">
        <f>+E15+E7</f>
        <v>0</v>
      </c>
      <c r="F23" s="1306">
        <f>+F15+F7</f>
        <v>5000</v>
      </c>
      <c r="G23" s="1306">
        <f t="shared" ref="G23:N23" si="8">+G15+G7</f>
        <v>0</v>
      </c>
      <c r="H23" s="1306">
        <f t="shared" si="8"/>
        <v>30000</v>
      </c>
      <c r="I23" s="1306">
        <f t="shared" si="8"/>
        <v>0</v>
      </c>
      <c r="J23" s="1306">
        <f t="shared" si="8"/>
        <v>5000</v>
      </c>
      <c r="K23" s="1306">
        <f t="shared" si="8"/>
        <v>0</v>
      </c>
      <c r="L23" s="1306">
        <f t="shared" si="8"/>
        <v>75000</v>
      </c>
      <c r="M23" s="1306">
        <f t="shared" si="8"/>
        <v>720079203</v>
      </c>
      <c r="N23" s="1306">
        <f t="shared" si="8"/>
        <v>741863797</v>
      </c>
      <c r="O23" s="1869">
        <f>+E23+M23+G23+K23+I23</f>
        <v>720079203</v>
      </c>
      <c r="P23" s="1869"/>
      <c r="Q23" s="1869">
        <f>+F23+N23+H23+L23+J23</f>
        <v>741978797</v>
      </c>
      <c r="R23" s="1869"/>
    </row>
  </sheetData>
  <mergeCells count="60">
    <mergeCell ref="Q17:R17"/>
    <mergeCell ref="O11:P11"/>
    <mergeCell ref="O22:P22"/>
    <mergeCell ref="O23:P23"/>
    <mergeCell ref="Q12:R12"/>
    <mergeCell ref="Q13:R13"/>
    <mergeCell ref="O13:P13"/>
    <mergeCell ref="A1:R1"/>
    <mergeCell ref="O21:P21"/>
    <mergeCell ref="Q8:R8"/>
    <mergeCell ref="Q9:R9"/>
    <mergeCell ref="Q10:R10"/>
    <mergeCell ref="Q15:R15"/>
    <mergeCell ref="Q21:R21"/>
    <mergeCell ref="Q11:R11"/>
    <mergeCell ref="A2:M2"/>
    <mergeCell ref="E4:E6"/>
    <mergeCell ref="F4:F6"/>
    <mergeCell ref="K4:K6"/>
    <mergeCell ref="L4:L6"/>
    <mergeCell ref="Q3:R3"/>
    <mergeCell ref="O4:P6"/>
    <mergeCell ref="Q14:R14"/>
    <mergeCell ref="Q4:R6"/>
    <mergeCell ref="A23:D23"/>
    <mergeCell ref="A7:D7"/>
    <mergeCell ref="A15:D15"/>
    <mergeCell ref="A21:D21"/>
    <mergeCell ref="O18:P18"/>
    <mergeCell ref="Q18:R18"/>
    <mergeCell ref="O14:P14"/>
    <mergeCell ref="Q22:R22"/>
    <mergeCell ref="Q23:R23"/>
    <mergeCell ref="Q7:R7"/>
    <mergeCell ref="O8:P8"/>
    <mergeCell ref="O9:P9"/>
    <mergeCell ref="O10:P10"/>
    <mergeCell ref="O15:P15"/>
    <mergeCell ref="Q16:R16"/>
    <mergeCell ref="O3:P3"/>
    <mergeCell ref="O7:P7"/>
    <mergeCell ref="A16:D16"/>
    <mergeCell ref="O16:P16"/>
    <mergeCell ref="O17:P17"/>
    <mergeCell ref="N4:N6"/>
    <mergeCell ref="M4:M6"/>
    <mergeCell ref="B3:B6"/>
    <mergeCell ref="A3:A6"/>
    <mergeCell ref="C3:C6"/>
    <mergeCell ref="D3:D6"/>
    <mergeCell ref="O12:P12"/>
    <mergeCell ref="G4:G6"/>
    <mergeCell ref="H4:H6"/>
    <mergeCell ref="I4:I6"/>
    <mergeCell ref="J4:J6"/>
    <mergeCell ref="A19:D19"/>
    <mergeCell ref="O19:P19"/>
    <mergeCell ref="Q19:R19"/>
    <mergeCell ref="O20:P20"/>
    <mergeCell ref="Q20:R20"/>
  </mergeCells>
  <printOptions horizontalCentered="1"/>
  <pageMargins left="0.70866141732283472" right="0.70866141732283472" top="0.74803149606299213" bottom="0.74803149606299213" header="0.31496062992125984" footer="0.31496062992125984"/>
  <pageSetup paperSize="9" scale="50" orientation="landscape" r:id="rId1"/>
  <headerFooter>
    <oddHeader>&amp;C2022. évi költségvetés&amp;R&amp;A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view="pageBreakPreview" zoomScale="76" zoomScaleNormal="76" zoomScaleSheetLayoutView="76" workbookViewId="0">
      <pane xSplit="2" ySplit="3" topLeftCell="C13" activePane="bottomRight" state="frozen"/>
      <selection pane="topRight" activeCell="C1" sqref="C1"/>
      <selection pane="bottomLeft" activeCell="A4" sqref="A4"/>
      <selection pane="bottomRight" activeCell="M22" sqref="M22"/>
    </sheetView>
  </sheetViews>
  <sheetFormatPr defaultRowHeight="12.75" x14ac:dyDescent="0.2"/>
  <cols>
    <col min="1" max="1" width="39.28515625" customWidth="1"/>
    <col min="3" max="4" width="16" customWidth="1"/>
    <col min="5" max="5" width="16" style="610" customWidth="1"/>
    <col min="6" max="6" width="15.5703125" customWidth="1"/>
    <col min="7" max="7" width="22.140625" bestFit="1" customWidth="1"/>
    <col min="8" max="8" width="17.85546875" customWidth="1"/>
  </cols>
  <sheetData>
    <row r="1" spans="1:8" ht="42.75" customHeight="1" x14ac:dyDescent="0.2">
      <c r="A1" s="1890" t="s">
        <v>512</v>
      </c>
      <c r="B1" s="1890"/>
      <c r="C1" s="1890"/>
      <c r="D1" s="1890"/>
      <c r="E1" s="1890"/>
      <c r="F1" s="1890"/>
      <c r="G1" s="1890"/>
      <c r="H1" s="1890"/>
    </row>
    <row r="2" spans="1:8" s="127" customFormat="1" ht="93.75" customHeight="1" x14ac:dyDescent="0.25">
      <c r="A2" s="125" t="s">
        <v>449</v>
      </c>
      <c r="B2" s="340" t="s">
        <v>742</v>
      </c>
      <c r="C2" s="126" t="s">
        <v>507</v>
      </c>
      <c r="D2" s="126" t="s">
        <v>1632</v>
      </c>
      <c r="E2" s="126" t="s">
        <v>1360</v>
      </c>
      <c r="F2" s="126" t="s">
        <v>508</v>
      </c>
      <c r="G2" s="126" t="s">
        <v>509</v>
      </c>
      <c r="H2" s="126" t="s">
        <v>510</v>
      </c>
    </row>
    <row r="3" spans="1:8" s="128" customFormat="1" ht="31.5" customHeight="1" x14ac:dyDescent="0.25">
      <c r="A3" s="163" t="s">
        <v>451</v>
      </c>
      <c r="B3" s="164"/>
      <c r="C3" s="165">
        <f>SUM(C4:C13)</f>
        <v>25</v>
      </c>
      <c r="D3" s="165">
        <f>SUM(D4:D13)</f>
        <v>25</v>
      </c>
      <c r="E3" s="165">
        <f>SUM(E4:E13)</f>
        <v>5</v>
      </c>
      <c r="F3" s="165">
        <f>SUM(F4:F13)</f>
        <v>23.9</v>
      </c>
      <c r="G3" s="165">
        <f>SUM(G4:G13)</f>
        <v>20.700000000000003</v>
      </c>
      <c r="H3" s="165">
        <f>SUM(H4:H11)</f>
        <v>20</v>
      </c>
    </row>
    <row r="4" spans="1:8" s="127" customFormat="1" ht="25.5" customHeight="1" x14ac:dyDescent="0.25">
      <c r="A4" s="166" t="s">
        <v>452</v>
      </c>
      <c r="B4" s="162" t="s">
        <v>453</v>
      </c>
      <c r="C4" s="167">
        <v>1</v>
      </c>
      <c r="D4" s="167">
        <v>1</v>
      </c>
      <c r="E4" s="167">
        <v>0</v>
      </c>
      <c r="F4" s="167">
        <v>1</v>
      </c>
      <c r="G4" s="167">
        <v>1</v>
      </c>
      <c r="H4" s="167">
        <v>1</v>
      </c>
    </row>
    <row r="5" spans="1:8" s="127" customFormat="1" ht="25.5" customHeight="1" x14ac:dyDescent="0.25">
      <c r="A5" s="166" t="s">
        <v>552</v>
      </c>
      <c r="B5" s="168" t="s">
        <v>553</v>
      </c>
      <c r="C5" s="167">
        <v>2</v>
      </c>
      <c r="D5" s="167">
        <v>2</v>
      </c>
      <c r="E5" s="167">
        <v>1</v>
      </c>
      <c r="F5" s="167">
        <v>2</v>
      </c>
      <c r="G5" s="167">
        <v>1</v>
      </c>
      <c r="H5" s="167">
        <v>1</v>
      </c>
    </row>
    <row r="6" spans="1:8" s="127" customFormat="1" ht="25.5" customHeight="1" x14ac:dyDescent="0.25">
      <c r="A6" s="166" t="s">
        <v>454</v>
      </c>
      <c r="B6" s="162" t="s">
        <v>455</v>
      </c>
      <c r="C6" s="167">
        <v>2</v>
      </c>
      <c r="D6" s="167">
        <v>2</v>
      </c>
      <c r="E6" s="167">
        <v>0</v>
      </c>
      <c r="F6" s="167">
        <v>1.1499999999999999</v>
      </c>
      <c r="G6" s="167">
        <v>2</v>
      </c>
      <c r="H6" s="167">
        <v>2</v>
      </c>
    </row>
    <row r="7" spans="1:8" s="127" customFormat="1" ht="25.5" customHeight="1" x14ac:dyDescent="0.25">
      <c r="A7" s="166" t="s">
        <v>456</v>
      </c>
      <c r="B7" s="162" t="s">
        <v>457</v>
      </c>
      <c r="C7" s="167">
        <v>2</v>
      </c>
      <c r="D7" s="167">
        <v>2</v>
      </c>
      <c r="E7" s="167">
        <v>1</v>
      </c>
      <c r="F7" s="167">
        <v>2</v>
      </c>
      <c r="G7" s="167">
        <v>1</v>
      </c>
      <c r="H7" s="167">
        <v>1</v>
      </c>
    </row>
    <row r="8" spans="1:8" s="127" customFormat="1" ht="30.75" customHeight="1" x14ac:dyDescent="0.25">
      <c r="A8" s="166" t="s">
        <v>458</v>
      </c>
      <c r="B8" s="162" t="s">
        <v>135</v>
      </c>
      <c r="C8" s="167">
        <v>3</v>
      </c>
      <c r="D8" s="167">
        <v>3</v>
      </c>
      <c r="E8" s="167">
        <v>1</v>
      </c>
      <c r="F8" s="167">
        <v>2.75</v>
      </c>
      <c r="G8" s="167">
        <v>2</v>
      </c>
      <c r="H8" s="167">
        <v>2</v>
      </c>
    </row>
    <row r="9" spans="1:8" s="127" customFormat="1" ht="25.5" customHeight="1" x14ac:dyDescent="0.25">
      <c r="A9" s="166" t="s">
        <v>459</v>
      </c>
      <c r="B9" s="162" t="s">
        <v>460</v>
      </c>
      <c r="C9" s="167">
        <v>2</v>
      </c>
      <c r="D9" s="167">
        <v>2</v>
      </c>
      <c r="E9" s="167">
        <v>1</v>
      </c>
      <c r="F9" s="167">
        <v>2</v>
      </c>
      <c r="G9" s="167">
        <v>1.3</v>
      </c>
      <c r="H9" s="167">
        <v>1</v>
      </c>
    </row>
    <row r="10" spans="1:8" s="127" customFormat="1" ht="25.5" customHeight="1" x14ac:dyDescent="0.25">
      <c r="A10" s="166" t="s">
        <v>461</v>
      </c>
      <c r="B10" s="162" t="s">
        <v>462</v>
      </c>
      <c r="C10" s="167">
        <v>5</v>
      </c>
      <c r="D10" s="167">
        <v>5</v>
      </c>
      <c r="E10" s="167">
        <v>0</v>
      </c>
      <c r="F10" s="167">
        <v>5</v>
      </c>
      <c r="G10" s="167">
        <v>5</v>
      </c>
      <c r="H10" s="167">
        <v>5</v>
      </c>
    </row>
    <row r="11" spans="1:8" s="127" customFormat="1" ht="25.5" customHeight="1" x14ac:dyDescent="0.25">
      <c r="A11" s="166" t="s">
        <v>631</v>
      </c>
      <c r="B11" s="168" t="s">
        <v>541</v>
      </c>
      <c r="C11" s="167">
        <v>7</v>
      </c>
      <c r="D11" s="167">
        <v>7</v>
      </c>
      <c r="E11" s="167">
        <v>0</v>
      </c>
      <c r="F11" s="167">
        <v>7</v>
      </c>
      <c r="G11" s="167">
        <v>6.4</v>
      </c>
      <c r="H11" s="167">
        <v>7</v>
      </c>
    </row>
    <row r="12" spans="1:8" s="127" customFormat="1" ht="25.5" customHeight="1" x14ac:dyDescent="0.25">
      <c r="A12" s="166" t="s">
        <v>1450</v>
      </c>
      <c r="B12" s="168" t="s">
        <v>1449</v>
      </c>
      <c r="C12" s="167">
        <v>1</v>
      </c>
      <c r="D12" s="167">
        <v>1</v>
      </c>
      <c r="E12" s="167">
        <v>1</v>
      </c>
      <c r="F12" s="167">
        <v>1</v>
      </c>
      <c r="G12" s="167">
        <v>1</v>
      </c>
      <c r="H12" s="167">
        <v>0</v>
      </c>
    </row>
    <row r="13" spans="1:8" s="127" customFormat="1" ht="25.5" customHeight="1" x14ac:dyDescent="0.25">
      <c r="A13" s="166" t="s">
        <v>1278</v>
      </c>
      <c r="B13" s="168" t="s">
        <v>660</v>
      </c>
      <c r="C13" s="167">
        <v>0</v>
      </c>
      <c r="D13" s="167">
        <v>0</v>
      </c>
      <c r="E13" s="167">
        <v>0</v>
      </c>
      <c r="F13" s="167">
        <v>0</v>
      </c>
      <c r="G13" s="167">
        <v>0</v>
      </c>
      <c r="H13" s="167">
        <v>0</v>
      </c>
    </row>
    <row r="14" spans="1:8" s="128" customFormat="1" ht="29.25" customHeight="1" x14ac:dyDescent="0.25">
      <c r="A14" s="163" t="s">
        <v>86</v>
      </c>
      <c r="B14" s="164"/>
      <c r="C14" s="165">
        <f t="shared" ref="C14:H14" si="0">SUM(C15:C18)</f>
        <v>71</v>
      </c>
      <c r="D14" s="165">
        <f t="shared" si="0"/>
        <v>71</v>
      </c>
      <c r="E14" s="165">
        <f t="shared" si="0"/>
        <v>3</v>
      </c>
      <c r="F14" s="165">
        <f t="shared" si="0"/>
        <v>71</v>
      </c>
      <c r="G14" s="165">
        <f t="shared" si="0"/>
        <v>61.2</v>
      </c>
      <c r="H14" s="165">
        <f t="shared" si="0"/>
        <v>68</v>
      </c>
    </row>
    <row r="15" spans="1:8" s="127" customFormat="1" ht="25.5" customHeight="1" x14ac:dyDescent="0.25">
      <c r="A15" s="166" t="s">
        <v>463</v>
      </c>
      <c r="B15" s="162" t="s">
        <v>90</v>
      </c>
      <c r="C15" s="167">
        <v>49</v>
      </c>
      <c r="D15" s="167">
        <v>49</v>
      </c>
      <c r="E15" s="167">
        <v>0</v>
      </c>
      <c r="F15" s="167">
        <v>49</v>
      </c>
      <c r="G15" s="167">
        <v>42.8</v>
      </c>
      <c r="H15" s="167">
        <v>48</v>
      </c>
    </row>
    <row r="16" spans="1:8" s="127" customFormat="1" ht="25.5" customHeight="1" x14ac:dyDescent="0.25">
      <c r="A16" s="166" t="s">
        <v>464</v>
      </c>
      <c r="B16" s="162" t="s">
        <v>131</v>
      </c>
      <c r="C16" s="167">
        <v>7</v>
      </c>
      <c r="D16" s="167">
        <v>7</v>
      </c>
      <c r="E16" s="167">
        <v>0</v>
      </c>
      <c r="F16" s="167">
        <v>7</v>
      </c>
      <c r="G16" s="167">
        <v>6.7</v>
      </c>
      <c r="H16" s="167">
        <v>7</v>
      </c>
    </row>
    <row r="17" spans="1:8" s="127" customFormat="1" ht="25.5" customHeight="1" x14ac:dyDescent="0.25">
      <c r="A17" s="166" t="s">
        <v>465</v>
      </c>
      <c r="B17" s="162" t="s">
        <v>150</v>
      </c>
      <c r="C17" s="167">
        <v>2</v>
      </c>
      <c r="D17" s="167">
        <v>2</v>
      </c>
      <c r="E17" s="167">
        <v>0</v>
      </c>
      <c r="F17" s="167">
        <v>2</v>
      </c>
      <c r="G17" s="167">
        <v>2</v>
      </c>
      <c r="H17" s="167">
        <v>2</v>
      </c>
    </row>
    <row r="18" spans="1:8" s="127" customFormat="1" ht="25.5" customHeight="1" x14ac:dyDescent="0.25">
      <c r="A18" s="166" t="s">
        <v>891</v>
      </c>
      <c r="B18" s="162" t="s">
        <v>133</v>
      </c>
      <c r="C18" s="167">
        <v>13</v>
      </c>
      <c r="D18" s="167">
        <v>13</v>
      </c>
      <c r="E18" s="167">
        <v>3</v>
      </c>
      <c r="F18" s="167">
        <v>13</v>
      </c>
      <c r="G18" s="167">
        <v>9.6999999999999993</v>
      </c>
      <c r="H18" s="167">
        <v>11</v>
      </c>
    </row>
    <row r="19" spans="1:8" s="128" customFormat="1" ht="25.5" customHeight="1" x14ac:dyDescent="0.25">
      <c r="A19" s="163" t="s">
        <v>23</v>
      </c>
      <c r="B19" s="164"/>
      <c r="C19" s="165">
        <f t="shared" ref="C19:H19" si="1">SUM(C20:C22)</f>
        <v>49</v>
      </c>
      <c r="D19" s="165">
        <f t="shared" si="1"/>
        <v>49</v>
      </c>
      <c r="E19" s="165">
        <f t="shared" si="1"/>
        <v>0</v>
      </c>
      <c r="F19" s="165">
        <f t="shared" si="1"/>
        <v>49</v>
      </c>
      <c r="G19" s="165">
        <f t="shared" si="1"/>
        <v>47.6</v>
      </c>
      <c r="H19" s="165">
        <f t="shared" si="1"/>
        <v>50</v>
      </c>
    </row>
    <row r="20" spans="1:8" s="127" customFormat="1" ht="25.5" customHeight="1" x14ac:dyDescent="0.25">
      <c r="A20" s="166" t="s">
        <v>466</v>
      </c>
      <c r="B20" s="162" t="s">
        <v>90</v>
      </c>
      <c r="C20" s="167">
        <v>5</v>
      </c>
      <c r="D20" s="167">
        <v>5</v>
      </c>
      <c r="E20" s="167">
        <v>0</v>
      </c>
      <c r="F20" s="167">
        <v>5</v>
      </c>
      <c r="G20" s="167">
        <v>8.5</v>
      </c>
      <c r="H20" s="167">
        <v>5</v>
      </c>
    </row>
    <row r="21" spans="1:8" s="127" customFormat="1" ht="25.5" customHeight="1" x14ac:dyDescent="0.25">
      <c r="A21" s="166" t="s">
        <v>467</v>
      </c>
      <c r="B21" s="162" t="s">
        <v>131</v>
      </c>
      <c r="C21" s="167">
        <v>24</v>
      </c>
      <c r="D21" s="167">
        <v>24</v>
      </c>
      <c r="E21" s="167">
        <v>0</v>
      </c>
      <c r="F21" s="167">
        <v>24</v>
      </c>
      <c r="G21" s="167">
        <v>19.100000000000001</v>
      </c>
      <c r="H21" s="167">
        <v>25</v>
      </c>
    </row>
    <row r="22" spans="1:8" s="127" customFormat="1" ht="25.5" customHeight="1" x14ac:dyDescent="0.25">
      <c r="A22" s="166" t="s">
        <v>467</v>
      </c>
      <c r="B22" s="168" t="s">
        <v>150</v>
      </c>
      <c r="C22" s="167">
        <v>20</v>
      </c>
      <c r="D22" s="167">
        <v>20</v>
      </c>
      <c r="E22" s="167">
        <v>0</v>
      </c>
      <c r="F22" s="167">
        <v>20</v>
      </c>
      <c r="G22" s="167">
        <v>20</v>
      </c>
      <c r="H22" s="167">
        <v>20</v>
      </c>
    </row>
    <row r="23" spans="1:8" s="128" customFormat="1" ht="25.5" customHeight="1" x14ac:dyDescent="0.25">
      <c r="A23" s="163" t="s">
        <v>24</v>
      </c>
      <c r="B23" s="164"/>
      <c r="C23" s="165">
        <f t="shared" ref="C23:H23" si="2">C24+C25</f>
        <v>52</v>
      </c>
      <c r="D23" s="165">
        <f t="shared" si="2"/>
        <v>52</v>
      </c>
      <c r="E23" s="165">
        <f t="shared" si="2"/>
        <v>1</v>
      </c>
      <c r="F23" s="165">
        <f t="shared" si="2"/>
        <v>52</v>
      </c>
      <c r="G23" s="165">
        <f t="shared" si="2"/>
        <v>50.7</v>
      </c>
      <c r="H23" s="165">
        <f t="shared" si="2"/>
        <v>57</v>
      </c>
    </row>
    <row r="24" spans="1:8" s="127" customFormat="1" ht="25.5" customHeight="1" x14ac:dyDescent="0.25">
      <c r="A24" s="166" t="s">
        <v>468</v>
      </c>
      <c r="B24" s="162" t="s">
        <v>90</v>
      </c>
      <c r="C24" s="167">
        <v>48</v>
      </c>
      <c r="D24" s="167">
        <v>48</v>
      </c>
      <c r="E24" s="167">
        <v>1</v>
      </c>
      <c r="F24" s="167">
        <v>48</v>
      </c>
      <c r="G24" s="167">
        <v>48</v>
      </c>
      <c r="H24" s="167">
        <v>53</v>
      </c>
    </row>
    <row r="25" spans="1:8" s="127" customFormat="1" ht="37.5" customHeight="1" x14ac:dyDescent="0.25">
      <c r="A25" s="166" t="s">
        <v>662</v>
      </c>
      <c r="B25" s="168" t="s">
        <v>131</v>
      </c>
      <c r="C25" s="167">
        <v>4</v>
      </c>
      <c r="D25" s="167">
        <v>4</v>
      </c>
      <c r="E25" s="167">
        <v>0</v>
      </c>
      <c r="F25" s="167">
        <v>4</v>
      </c>
      <c r="G25" s="167">
        <v>2.7</v>
      </c>
      <c r="H25" s="167">
        <v>4</v>
      </c>
    </row>
    <row r="26" spans="1:8" s="127" customFormat="1" ht="25.5" customHeight="1" x14ac:dyDescent="0.25">
      <c r="A26" s="163" t="s">
        <v>618</v>
      </c>
      <c r="B26" s="164"/>
      <c r="C26" s="165">
        <f t="shared" ref="C26:H26" si="3">SUM(C27:C28)</f>
        <v>46</v>
      </c>
      <c r="D26" s="165">
        <f t="shared" si="3"/>
        <v>46</v>
      </c>
      <c r="E26" s="165">
        <f t="shared" si="3"/>
        <v>1</v>
      </c>
      <c r="F26" s="165">
        <f t="shared" si="3"/>
        <v>46</v>
      </c>
      <c r="G26" s="165">
        <f t="shared" si="3"/>
        <v>42.3</v>
      </c>
      <c r="H26" s="165">
        <f t="shared" si="3"/>
        <v>47</v>
      </c>
    </row>
    <row r="27" spans="1:8" s="127" customFormat="1" ht="25.5" customHeight="1" x14ac:dyDescent="0.25">
      <c r="A27" s="166" t="s">
        <v>469</v>
      </c>
      <c r="B27" s="162" t="s">
        <v>131</v>
      </c>
      <c r="C27" s="167">
        <v>16</v>
      </c>
      <c r="D27" s="167">
        <v>16</v>
      </c>
      <c r="E27" s="167"/>
      <c r="F27" s="167">
        <v>16</v>
      </c>
      <c r="G27" s="167">
        <v>13.4</v>
      </c>
      <c r="H27" s="167">
        <v>16</v>
      </c>
    </row>
    <row r="28" spans="1:8" s="127" customFormat="1" ht="25.5" customHeight="1" x14ac:dyDescent="0.25">
      <c r="A28" s="166" t="s">
        <v>470</v>
      </c>
      <c r="B28" s="162" t="s">
        <v>90</v>
      </c>
      <c r="C28" s="167">
        <v>30</v>
      </c>
      <c r="D28" s="167">
        <v>30</v>
      </c>
      <c r="E28" s="167">
        <v>1</v>
      </c>
      <c r="F28" s="167">
        <v>30</v>
      </c>
      <c r="G28" s="167">
        <v>28.9</v>
      </c>
      <c r="H28" s="167">
        <v>31</v>
      </c>
    </row>
    <row r="29" spans="1:8" s="128" customFormat="1" ht="25.5" customHeight="1" x14ac:dyDescent="0.25">
      <c r="A29" s="163" t="s">
        <v>87</v>
      </c>
      <c r="B29" s="169"/>
      <c r="C29" s="165">
        <f t="shared" ref="C29:H29" si="4">SUM(C30:C31)</f>
        <v>75</v>
      </c>
      <c r="D29" s="165">
        <f t="shared" si="4"/>
        <v>75</v>
      </c>
      <c r="E29" s="165">
        <f t="shared" si="4"/>
        <v>0</v>
      </c>
      <c r="F29" s="165">
        <f t="shared" si="4"/>
        <v>75</v>
      </c>
      <c r="G29" s="165">
        <f t="shared" si="4"/>
        <v>73.099999999999994</v>
      </c>
      <c r="H29" s="165">
        <f t="shared" si="4"/>
        <v>76</v>
      </c>
    </row>
    <row r="30" spans="1:8" s="127" customFormat="1" ht="25.5" customHeight="1" x14ac:dyDescent="0.25">
      <c r="A30" s="166" t="s">
        <v>471</v>
      </c>
      <c r="B30" s="162" t="s">
        <v>90</v>
      </c>
      <c r="C30" s="167">
        <v>51</v>
      </c>
      <c r="D30" s="167">
        <v>51</v>
      </c>
      <c r="E30" s="167">
        <v>0</v>
      </c>
      <c r="F30" s="167">
        <v>51</v>
      </c>
      <c r="G30" s="167">
        <v>49.1</v>
      </c>
      <c r="H30" s="167">
        <v>51</v>
      </c>
    </row>
    <row r="31" spans="1:8" s="127" customFormat="1" ht="25.5" customHeight="1" x14ac:dyDescent="0.25">
      <c r="A31" s="166" t="s">
        <v>472</v>
      </c>
      <c r="B31" s="162" t="s">
        <v>131</v>
      </c>
      <c r="C31" s="167">
        <v>24</v>
      </c>
      <c r="D31" s="167">
        <v>24</v>
      </c>
      <c r="E31" s="167">
        <v>0</v>
      </c>
      <c r="F31" s="167">
        <v>24</v>
      </c>
      <c r="G31" s="167">
        <v>24</v>
      </c>
      <c r="H31" s="167">
        <v>25</v>
      </c>
    </row>
    <row r="32" spans="1:8" s="128" customFormat="1" ht="30" x14ac:dyDescent="0.25">
      <c r="A32" s="163" t="s">
        <v>25</v>
      </c>
      <c r="B32" s="170"/>
      <c r="C32" s="165">
        <f t="shared" ref="C32:H32" si="5">SUM(C33:C42)</f>
        <v>37</v>
      </c>
      <c r="D32" s="165">
        <f t="shared" si="5"/>
        <v>37</v>
      </c>
      <c r="E32" s="165">
        <f t="shared" si="5"/>
        <v>2</v>
      </c>
      <c r="F32" s="165">
        <f t="shared" si="5"/>
        <v>35.524999999999999</v>
      </c>
      <c r="G32" s="165">
        <f t="shared" si="5"/>
        <v>32.6</v>
      </c>
      <c r="H32" s="165">
        <f t="shared" si="5"/>
        <v>35</v>
      </c>
    </row>
    <row r="33" spans="1:8" s="127" customFormat="1" ht="25.5" customHeight="1" x14ac:dyDescent="0.25">
      <c r="A33" s="166" t="s">
        <v>473</v>
      </c>
      <c r="B33" s="162" t="s">
        <v>90</v>
      </c>
      <c r="C33" s="167">
        <v>11</v>
      </c>
      <c r="D33" s="167">
        <v>11</v>
      </c>
      <c r="E33" s="167">
        <v>2</v>
      </c>
      <c r="F33" s="167">
        <v>11</v>
      </c>
      <c r="G33" s="167">
        <v>8.3000000000000007</v>
      </c>
      <c r="H33" s="167">
        <v>10</v>
      </c>
    </row>
    <row r="34" spans="1:8" s="127" customFormat="1" ht="25.5" customHeight="1" x14ac:dyDescent="0.25">
      <c r="A34" s="166" t="s">
        <v>474</v>
      </c>
      <c r="B34" s="162" t="s">
        <v>131</v>
      </c>
      <c r="C34" s="167">
        <v>1</v>
      </c>
      <c r="D34" s="167">
        <v>1</v>
      </c>
      <c r="E34" s="167">
        <v>0</v>
      </c>
      <c r="F34" s="167">
        <v>1</v>
      </c>
      <c r="G34" s="167">
        <v>1</v>
      </c>
      <c r="H34" s="167">
        <v>1</v>
      </c>
    </row>
    <row r="35" spans="1:8" s="127" customFormat="1" ht="25.5" customHeight="1" x14ac:dyDescent="0.25">
      <c r="A35" s="166" t="s">
        <v>475</v>
      </c>
      <c r="B35" s="162" t="s">
        <v>150</v>
      </c>
      <c r="C35" s="167">
        <v>4</v>
      </c>
      <c r="D35" s="167">
        <v>4</v>
      </c>
      <c r="E35" s="167">
        <v>0</v>
      </c>
      <c r="F35" s="167">
        <v>3.5</v>
      </c>
      <c r="G35" s="167">
        <v>4</v>
      </c>
      <c r="H35" s="167">
        <v>3</v>
      </c>
    </row>
    <row r="36" spans="1:8" s="127" customFormat="1" ht="32.25" customHeight="1" x14ac:dyDescent="0.25">
      <c r="A36" s="166" t="s">
        <v>476</v>
      </c>
      <c r="B36" s="162" t="s">
        <v>151</v>
      </c>
      <c r="C36" s="167">
        <v>2</v>
      </c>
      <c r="D36" s="167">
        <v>2</v>
      </c>
      <c r="E36" s="167">
        <v>0</v>
      </c>
      <c r="F36" s="167">
        <v>2</v>
      </c>
      <c r="G36" s="167">
        <v>1.6</v>
      </c>
      <c r="H36" s="167">
        <v>2</v>
      </c>
    </row>
    <row r="37" spans="1:8" s="127" customFormat="1" ht="25.5" customHeight="1" x14ac:dyDescent="0.25">
      <c r="A37" s="166" t="s">
        <v>477</v>
      </c>
      <c r="B37" s="162" t="s">
        <v>134</v>
      </c>
      <c r="C37" s="167">
        <v>1</v>
      </c>
      <c r="D37" s="167">
        <v>1</v>
      </c>
      <c r="E37" s="167">
        <v>0</v>
      </c>
      <c r="F37" s="167">
        <v>0.52500000000000002</v>
      </c>
      <c r="G37" s="167">
        <v>0.8</v>
      </c>
      <c r="H37" s="167">
        <v>1</v>
      </c>
    </row>
    <row r="38" spans="1:8" s="127" customFormat="1" ht="35.25" customHeight="1" x14ac:dyDescent="0.25">
      <c r="A38" s="166" t="s">
        <v>478</v>
      </c>
      <c r="B38" s="162" t="s">
        <v>479</v>
      </c>
      <c r="C38" s="167">
        <v>2</v>
      </c>
      <c r="D38" s="167">
        <v>2</v>
      </c>
      <c r="E38" s="167">
        <v>0</v>
      </c>
      <c r="F38" s="167">
        <v>1.5</v>
      </c>
      <c r="G38" s="167">
        <v>2</v>
      </c>
      <c r="H38" s="167">
        <v>2</v>
      </c>
    </row>
    <row r="39" spans="1:8" s="127" customFormat="1" ht="25.5" customHeight="1" x14ac:dyDescent="0.25">
      <c r="A39" s="166" t="s">
        <v>480</v>
      </c>
      <c r="B39" s="162" t="s">
        <v>481</v>
      </c>
      <c r="C39" s="167">
        <v>2</v>
      </c>
      <c r="D39" s="167">
        <v>2</v>
      </c>
      <c r="E39" s="167">
        <v>0</v>
      </c>
      <c r="F39" s="167">
        <v>2</v>
      </c>
      <c r="G39" s="167">
        <v>2</v>
      </c>
      <c r="H39" s="167">
        <v>2</v>
      </c>
    </row>
    <row r="40" spans="1:8" s="127" customFormat="1" ht="33.75" customHeight="1" x14ac:dyDescent="0.25">
      <c r="A40" s="166" t="s">
        <v>482</v>
      </c>
      <c r="B40" s="162" t="s">
        <v>152</v>
      </c>
      <c r="C40" s="167">
        <v>10</v>
      </c>
      <c r="D40" s="167">
        <v>10</v>
      </c>
      <c r="E40" s="167">
        <v>0</v>
      </c>
      <c r="F40" s="167">
        <v>10</v>
      </c>
      <c r="G40" s="167">
        <v>9.1999999999999993</v>
      </c>
      <c r="H40" s="167">
        <v>10</v>
      </c>
    </row>
    <row r="41" spans="1:8" s="127" customFormat="1" ht="25.5" customHeight="1" x14ac:dyDescent="0.25">
      <c r="A41" s="166" t="s">
        <v>483</v>
      </c>
      <c r="B41" s="162" t="s">
        <v>65</v>
      </c>
      <c r="C41" s="167">
        <v>3</v>
      </c>
      <c r="D41" s="167">
        <v>3</v>
      </c>
      <c r="E41" s="167"/>
      <c r="F41" s="167">
        <v>3</v>
      </c>
      <c r="G41" s="167">
        <v>2.7</v>
      </c>
      <c r="H41" s="167">
        <v>3</v>
      </c>
    </row>
    <row r="42" spans="1:8" s="127" customFormat="1" ht="25.5" customHeight="1" x14ac:dyDescent="0.25">
      <c r="A42" s="166" t="s">
        <v>558</v>
      </c>
      <c r="B42" s="162" t="s">
        <v>153</v>
      </c>
      <c r="C42" s="167">
        <v>1</v>
      </c>
      <c r="D42" s="167">
        <v>1</v>
      </c>
      <c r="E42" s="167">
        <v>0</v>
      </c>
      <c r="F42" s="167">
        <v>1</v>
      </c>
      <c r="G42" s="167">
        <v>1</v>
      </c>
      <c r="H42" s="167">
        <v>1</v>
      </c>
    </row>
    <row r="43" spans="1:8" s="128" customFormat="1" ht="32.25" customHeight="1" x14ac:dyDescent="0.25">
      <c r="A43" s="163" t="s">
        <v>632</v>
      </c>
      <c r="B43" s="170"/>
      <c r="C43" s="165">
        <f t="shared" ref="C43:H43" si="6">C44</f>
        <v>7</v>
      </c>
      <c r="D43" s="165">
        <f t="shared" si="6"/>
        <v>7</v>
      </c>
      <c r="E43" s="165">
        <f t="shared" si="6"/>
        <v>0</v>
      </c>
      <c r="F43" s="165">
        <f t="shared" si="6"/>
        <v>7</v>
      </c>
      <c r="G43" s="165">
        <f t="shared" si="6"/>
        <v>6.2</v>
      </c>
      <c r="H43" s="165">
        <f t="shared" si="6"/>
        <v>7</v>
      </c>
    </row>
    <row r="44" spans="1:8" s="127" customFormat="1" ht="25.5" customHeight="1" x14ac:dyDescent="0.25">
      <c r="A44" s="166" t="s">
        <v>484</v>
      </c>
      <c r="B44" s="162" t="s">
        <v>150</v>
      </c>
      <c r="C44" s="167">
        <v>7</v>
      </c>
      <c r="D44" s="167">
        <v>7</v>
      </c>
      <c r="E44" s="167">
        <v>0</v>
      </c>
      <c r="F44" s="167">
        <v>7</v>
      </c>
      <c r="G44" s="167">
        <v>6.2</v>
      </c>
      <c r="H44" s="167">
        <v>7</v>
      </c>
    </row>
    <row r="45" spans="1:8" s="127" customFormat="1" ht="25.5" customHeight="1" x14ac:dyDescent="0.25">
      <c r="A45" s="163" t="s">
        <v>619</v>
      </c>
      <c r="B45" s="170"/>
      <c r="C45" s="165">
        <f t="shared" ref="C45:H45" si="7">SUM(C46:C47)</f>
        <v>11</v>
      </c>
      <c r="D45" s="165">
        <f t="shared" si="7"/>
        <v>11</v>
      </c>
      <c r="E45" s="165">
        <f t="shared" si="7"/>
        <v>1</v>
      </c>
      <c r="F45" s="165">
        <f t="shared" si="7"/>
        <v>11</v>
      </c>
      <c r="G45" s="165">
        <f t="shared" si="7"/>
        <v>9.6</v>
      </c>
      <c r="H45" s="165">
        <f t="shared" si="7"/>
        <v>10</v>
      </c>
    </row>
    <row r="46" spans="1:8" s="127" customFormat="1" ht="25.5" customHeight="1" x14ac:dyDescent="0.25">
      <c r="A46" s="166" t="s">
        <v>634</v>
      </c>
      <c r="B46" s="162" t="s">
        <v>90</v>
      </c>
      <c r="C46" s="167">
        <v>1</v>
      </c>
      <c r="D46" s="167">
        <v>4</v>
      </c>
      <c r="E46" s="167">
        <v>0</v>
      </c>
      <c r="F46" s="167">
        <v>1</v>
      </c>
      <c r="G46" s="167">
        <v>1</v>
      </c>
      <c r="H46" s="167">
        <v>1</v>
      </c>
    </row>
    <row r="47" spans="1:8" s="127" customFormat="1" ht="25.5" customHeight="1" x14ac:dyDescent="0.25">
      <c r="A47" s="166" t="s">
        <v>485</v>
      </c>
      <c r="B47" s="162" t="s">
        <v>131</v>
      </c>
      <c r="C47" s="167">
        <v>10</v>
      </c>
      <c r="D47" s="167">
        <v>7</v>
      </c>
      <c r="E47" s="167">
        <v>1</v>
      </c>
      <c r="F47" s="167">
        <v>10</v>
      </c>
      <c r="G47" s="167">
        <v>8.6</v>
      </c>
      <c r="H47" s="167">
        <v>9</v>
      </c>
    </row>
    <row r="48" spans="1:8" s="127" customFormat="1" ht="25.5" customHeight="1" x14ac:dyDescent="0.25">
      <c r="A48" s="166" t="s">
        <v>635</v>
      </c>
      <c r="B48" s="162" t="s">
        <v>150</v>
      </c>
      <c r="C48" s="167">
        <v>0</v>
      </c>
      <c r="D48" s="167">
        <v>0</v>
      </c>
      <c r="E48" s="167">
        <v>0</v>
      </c>
      <c r="F48" s="167">
        <v>0</v>
      </c>
      <c r="G48" s="167">
        <v>0</v>
      </c>
      <c r="H48" s="167">
        <v>0</v>
      </c>
    </row>
    <row r="49" spans="1:8" s="128" customFormat="1" ht="31.5" customHeight="1" x14ac:dyDescent="0.25">
      <c r="A49" s="163" t="s">
        <v>486</v>
      </c>
      <c r="B49" s="170"/>
      <c r="C49" s="165">
        <f t="shared" ref="C49:H49" si="8">SUM(C50:C50)</f>
        <v>10</v>
      </c>
      <c r="D49" s="165">
        <f t="shared" si="8"/>
        <v>10</v>
      </c>
      <c r="E49" s="165">
        <f t="shared" si="8"/>
        <v>2</v>
      </c>
      <c r="F49" s="165">
        <f t="shared" si="8"/>
        <v>10</v>
      </c>
      <c r="G49" s="165">
        <f t="shared" si="8"/>
        <v>7.3</v>
      </c>
      <c r="H49" s="165">
        <f t="shared" si="8"/>
        <v>8</v>
      </c>
    </row>
    <row r="50" spans="1:8" s="127" customFormat="1" ht="32.25" customHeight="1" x14ac:dyDescent="0.25">
      <c r="A50" s="166" t="s">
        <v>633</v>
      </c>
      <c r="B50" s="162" t="s">
        <v>90</v>
      </c>
      <c r="C50" s="167">
        <v>10</v>
      </c>
      <c r="D50" s="167">
        <v>10</v>
      </c>
      <c r="E50" s="167">
        <v>2</v>
      </c>
      <c r="F50" s="167">
        <v>10</v>
      </c>
      <c r="G50" s="167">
        <v>7.3</v>
      </c>
      <c r="H50" s="167">
        <v>8</v>
      </c>
    </row>
    <row r="51" spans="1:8" s="120" customFormat="1" ht="29.25" customHeight="1" x14ac:dyDescent="0.25">
      <c r="A51" s="1891" t="s">
        <v>487</v>
      </c>
      <c r="B51" s="1891"/>
      <c r="C51" s="171">
        <f t="shared" ref="C51:H51" si="9">+C3+C14+C23+C19+C29+C32+C43+C49+C45+C26</f>
        <v>383</v>
      </c>
      <c r="D51" s="171">
        <f t="shared" si="9"/>
        <v>383</v>
      </c>
      <c r="E51" s="171">
        <f t="shared" si="9"/>
        <v>15</v>
      </c>
      <c r="F51" s="171">
        <f>+F3+F14+F23+F19+F29+F32+F43+F49+F45+F26</f>
        <v>380.42499999999995</v>
      </c>
      <c r="G51" s="171">
        <f>+G3+G14+G23+G19+G29+G32+G43+G49+G45+G26</f>
        <v>351.30000000000007</v>
      </c>
      <c r="H51" s="171">
        <f t="shared" si="9"/>
        <v>378</v>
      </c>
    </row>
  </sheetData>
  <mergeCells count="2">
    <mergeCell ref="A1:H1"/>
    <mergeCell ref="A51:B51"/>
  </mergeCells>
  <printOptions horizontalCentered="1" verticalCentered="1"/>
  <pageMargins left="0.31496062992125984" right="0.31496062992125984" top="0.35433070866141736" bottom="0.35433070866141736" header="0.31496062992125984" footer="0.31496062992125984"/>
  <pageSetup paperSize="9" scale="49" orientation="portrait" r:id="rId1"/>
  <headerFooter>
    <oddHeader>&amp;C2022. évi költségvetés&amp;R&amp;A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view="pageBreakPreview" topLeftCell="A10" zoomScaleNormal="100" zoomScaleSheetLayoutView="100" workbookViewId="0">
      <selection activeCell="H31" sqref="H31"/>
    </sheetView>
  </sheetViews>
  <sheetFormatPr defaultRowHeight="12.75" x14ac:dyDescent="0.2"/>
  <cols>
    <col min="1" max="1" width="4.28515625" customWidth="1"/>
    <col min="4" max="4" width="14.42578125" customWidth="1"/>
    <col min="5" max="6" width="14.7109375" customWidth="1"/>
    <col min="7" max="8" width="15.7109375" customWidth="1"/>
    <col min="9" max="9" width="13.140625" customWidth="1"/>
    <col min="10" max="10" width="13.7109375" customWidth="1"/>
  </cols>
  <sheetData>
    <row r="1" spans="1:10" ht="32.25" customHeight="1" x14ac:dyDescent="0.2">
      <c r="A1" s="1895" t="s">
        <v>1361</v>
      </c>
      <c r="B1" s="1895"/>
      <c r="C1" s="1895"/>
      <c r="D1" s="1895"/>
      <c r="E1" s="1895"/>
      <c r="F1" s="1895"/>
      <c r="G1" s="1895"/>
      <c r="H1" s="1895"/>
      <c r="I1" s="1895"/>
      <c r="J1" s="1895"/>
    </row>
    <row r="2" spans="1:10" x14ac:dyDescent="0.2">
      <c r="A2" s="20"/>
      <c r="B2" s="20"/>
      <c r="C2" s="20"/>
      <c r="D2" s="20"/>
      <c r="E2" s="20"/>
      <c r="F2" s="20"/>
      <c r="G2" s="20"/>
      <c r="H2" s="20"/>
      <c r="I2" s="20"/>
      <c r="J2" s="20"/>
    </row>
    <row r="3" spans="1:10" x14ac:dyDescent="0.2">
      <c r="A3" s="290" t="s">
        <v>715</v>
      </c>
      <c r="B3" s="290"/>
      <c r="C3" s="290"/>
      <c r="D3" s="290"/>
      <c r="E3" s="290"/>
      <c r="F3" s="290"/>
      <c r="G3" s="291"/>
      <c r="H3" s="291"/>
      <c r="I3" s="291"/>
      <c r="J3" s="41" t="s">
        <v>444</v>
      </c>
    </row>
    <row r="4" spans="1:10" ht="71.25" customHeight="1" x14ac:dyDescent="0.2">
      <c r="A4" s="292" t="s">
        <v>716</v>
      </c>
      <c r="B4" s="1896" t="s">
        <v>717</v>
      </c>
      <c r="C4" s="1896"/>
      <c r="D4" s="1897"/>
      <c r="E4" s="293" t="s">
        <v>718</v>
      </c>
      <c r="F4" s="293" t="s">
        <v>1633</v>
      </c>
      <c r="G4" s="294" t="s">
        <v>719</v>
      </c>
      <c r="H4" s="294" t="s">
        <v>1634</v>
      </c>
      <c r="I4" s="910" t="s">
        <v>720</v>
      </c>
      <c r="J4" s="911" t="s">
        <v>721</v>
      </c>
    </row>
    <row r="5" spans="1:10" ht="18.75" customHeight="1" x14ac:dyDescent="0.2">
      <c r="A5" s="356" t="s">
        <v>194</v>
      </c>
      <c r="B5" s="1898" t="s">
        <v>722</v>
      </c>
      <c r="C5" s="1899"/>
      <c r="D5" s="1900"/>
      <c r="E5" s="341"/>
      <c r="F5" s="341"/>
      <c r="G5" s="622">
        <v>6500000</v>
      </c>
      <c r="H5" s="622">
        <v>7300000</v>
      </c>
      <c r="I5" s="341"/>
      <c r="J5" s="342"/>
    </row>
    <row r="6" spans="1:10" ht="18.75" customHeight="1" x14ac:dyDescent="0.2">
      <c r="A6" s="357" t="s">
        <v>195</v>
      </c>
      <c r="B6" s="1901" t="s">
        <v>723</v>
      </c>
      <c r="C6" s="1902"/>
      <c r="D6" s="1903"/>
      <c r="E6" s="343"/>
      <c r="F6" s="343"/>
      <c r="G6" s="344"/>
      <c r="H6" s="344"/>
      <c r="I6" s="343"/>
      <c r="J6" s="345"/>
    </row>
    <row r="7" spans="1:10" ht="18.75" customHeight="1" x14ac:dyDescent="0.2">
      <c r="A7" s="358" t="s">
        <v>196</v>
      </c>
      <c r="B7" s="1904" t="s">
        <v>724</v>
      </c>
      <c r="C7" s="1905"/>
      <c r="D7" s="1906"/>
      <c r="E7" s="346"/>
      <c r="F7" s="346"/>
      <c r="G7" s="347"/>
      <c r="H7" s="347"/>
      <c r="I7" s="346"/>
      <c r="J7" s="348"/>
    </row>
    <row r="8" spans="1:10" ht="20.25" customHeight="1" x14ac:dyDescent="0.2">
      <c r="A8" s="1892" t="s">
        <v>725</v>
      </c>
      <c r="B8" s="1893"/>
      <c r="C8" s="1893"/>
      <c r="D8" s="1894"/>
      <c r="E8" s="912">
        <f t="shared" ref="E8:J8" si="0">SUM(E5:E7)</f>
        <v>0</v>
      </c>
      <c r="F8" s="912">
        <f t="shared" si="0"/>
        <v>0</v>
      </c>
      <c r="G8" s="912">
        <f t="shared" si="0"/>
        <v>6500000</v>
      </c>
      <c r="H8" s="912">
        <f t="shared" si="0"/>
        <v>7300000</v>
      </c>
      <c r="I8" s="913">
        <f t="shared" si="0"/>
        <v>0</v>
      </c>
      <c r="J8" s="352">
        <f t="shared" si="0"/>
        <v>0</v>
      </c>
    </row>
    <row r="9" spans="1:10" x14ac:dyDescent="0.2">
      <c r="A9" s="909"/>
      <c r="B9" s="909"/>
      <c r="C9" s="909"/>
      <c r="D9" s="300"/>
      <c r="E9" s="297"/>
      <c r="F9" s="297"/>
      <c r="G9" s="298"/>
      <c r="H9" s="298"/>
      <c r="I9" s="298"/>
      <c r="J9" s="20"/>
    </row>
    <row r="10" spans="1:10" x14ac:dyDescent="0.2">
      <c r="A10" s="290" t="s">
        <v>726</v>
      </c>
      <c r="B10" s="299"/>
      <c r="C10" s="299"/>
      <c r="D10" s="299"/>
      <c r="E10" s="299"/>
      <c r="F10" s="290"/>
      <c r="G10" s="298"/>
      <c r="H10" s="298"/>
      <c r="I10" s="298"/>
      <c r="J10" s="20"/>
    </row>
    <row r="11" spans="1:10" x14ac:dyDescent="0.2">
      <c r="A11" s="300"/>
      <c r="B11" s="300"/>
      <c r="C11" s="300"/>
      <c r="D11" s="300"/>
      <c r="E11" s="300"/>
      <c r="F11" s="300"/>
      <c r="G11" s="298"/>
      <c r="H11" s="298"/>
      <c r="I11" s="298"/>
      <c r="J11" s="20"/>
    </row>
    <row r="12" spans="1:10" x14ac:dyDescent="0.2">
      <c r="A12" s="290" t="s">
        <v>727</v>
      </c>
      <c r="B12" s="290"/>
      <c r="C12" s="290"/>
      <c r="D12" s="290"/>
      <c r="E12" s="290"/>
      <c r="F12" s="290"/>
      <c r="G12" s="291"/>
      <c r="H12" s="291"/>
      <c r="I12" s="291"/>
      <c r="J12" s="20"/>
    </row>
    <row r="13" spans="1:10" ht="70.5" customHeight="1" x14ac:dyDescent="0.2">
      <c r="A13" s="301" t="s">
        <v>716</v>
      </c>
      <c r="B13" s="1907" t="s">
        <v>717</v>
      </c>
      <c r="C13" s="1907"/>
      <c r="D13" s="1907"/>
      <c r="E13" s="914" t="s">
        <v>718</v>
      </c>
      <c r="F13" s="914" t="s">
        <v>1635</v>
      </c>
      <c r="G13" s="915" t="s">
        <v>719</v>
      </c>
      <c r="H13" s="915" t="s">
        <v>1636</v>
      </c>
      <c r="I13" s="295" t="s">
        <v>720</v>
      </c>
      <c r="J13" s="296" t="s">
        <v>721</v>
      </c>
    </row>
    <row r="14" spans="1:10" ht="18.75" customHeight="1" x14ac:dyDescent="0.2">
      <c r="A14" s="359" t="s">
        <v>194</v>
      </c>
      <c r="B14" s="1908" t="s">
        <v>728</v>
      </c>
      <c r="C14" s="1909"/>
      <c r="D14" s="1910"/>
      <c r="E14" s="349"/>
      <c r="F14" s="349"/>
      <c r="G14" s="667">
        <v>3000000</v>
      </c>
      <c r="H14" s="667">
        <v>3000000</v>
      </c>
      <c r="I14" s="349"/>
      <c r="J14" s="349"/>
    </row>
    <row r="15" spans="1:10" ht="18.75" customHeight="1" x14ac:dyDescent="0.2">
      <c r="A15" s="360" t="s">
        <v>195</v>
      </c>
      <c r="B15" s="1911" t="s">
        <v>729</v>
      </c>
      <c r="C15" s="1912"/>
      <c r="D15" s="1913"/>
      <c r="E15" s="350"/>
      <c r="F15" s="350"/>
      <c r="G15" s="668">
        <v>13000000</v>
      </c>
      <c r="H15" s="668">
        <v>13000000</v>
      </c>
      <c r="I15" s="350"/>
      <c r="J15" s="350"/>
    </row>
    <row r="16" spans="1:10" ht="18.75" customHeight="1" x14ac:dyDescent="0.2">
      <c r="A16" s="360" t="s">
        <v>196</v>
      </c>
      <c r="B16" s="1911" t="s">
        <v>730</v>
      </c>
      <c r="C16" s="1912"/>
      <c r="D16" s="1913"/>
      <c r="E16" s="350"/>
      <c r="F16" s="350"/>
      <c r="G16" s="668">
        <v>7600000</v>
      </c>
      <c r="H16" s="668">
        <v>7600000</v>
      </c>
      <c r="I16" s="350"/>
      <c r="J16" s="350"/>
    </row>
    <row r="17" spans="1:12" ht="18.75" customHeight="1" x14ac:dyDescent="0.2">
      <c r="A17" s="360" t="s">
        <v>197</v>
      </c>
      <c r="B17" s="1911" t="s">
        <v>731</v>
      </c>
      <c r="C17" s="1912"/>
      <c r="D17" s="1913"/>
      <c r="E17" s="350"/>
      <c r="F17" s="350"/>
      <c r="G17" s="668">
        <v>1000000</v>
      </c>
      <c r="H17" s="668">
        <v>1000000</v>
      </c>
      <c r="I17" s="350"/>
      <c r="J17" s="350"/>
    </row>
    <row r="18" spans="1:12" ht="18.75" customHeight="1" x14ac:dyDescent="0.2">
      <c r="A18" s="360" t="s">
        <v>198</v>
      </c>
      <c r="B18" s="1911" t="s">
        <v>732</v>
      </c>
      <c r="C18" s="1912"/>
      <c r="D18" s="1913"/>
      <c r="E18" s="350"/>
      <c r="F18" s="350"/>
      <c r="G18" s="668"/>
      <c r="H18" s="668"/>
      <c r="I18" s="350"/>
      <c r="J18" s="350"/>
    </row>
    <row r="19" spans="1:12" ht="18.75" customHeight="1" x14ac:dyDescent="0.2">
      <c r="A19" s="360" t="s">
        <v>199</v>
      </c>
      <c r="B19" s="1911" t="s">
        <v>733</v>
      </c>
      <c r="C19" s="1912"/>
      <c r="D19" s="1913"/>
      <c r="E19" s="350"/>
      <c r="F19" s="350"/>
      <c r="G19" s="668">
        <v>2500000</v>
      </c>
      <c r="H19" s="668">
        <v>2500000</v>
      </c>
      <c r="I19" s="350"/>
      <c r="J19" s="350"/>
    </row>
    <row r="20" spans="1:12" ht="18.75" customHeight="1" x14ac:dyDescent="0.2">
      <c r="A20" s="361" t="s">
        <v>200</v>
      </c>
      <c r="B20" s="1916" t="s">
        <v>734</v>
      </c>
      <c r="C20" s="1917"/>
      <c r="D20" s="1918"/>
      <c r="E20" s="351"/>
      <c r="F20" s="351"/>
      <c r="G20" s="669">
        <v>100000</v>
      </c>
      <c r="H20" s="669">
        <v>100000</v>
      </c>
      <c r="I20" s="351"/>
      <c r="J20" s="351"/>
    </row>
    <row r="21" spans="1:12" ht="24" customHeight="1" x14ac:dyDescent="0.2">
      <c r="A21" s="1919" t="s">
        <v>725</v>
      </c>
      <c r="B21" s="1920"/>
      <c r="C21" s="1920"/>
      <c r="D21" s="1921"/>
      <c r="E21" s="353">
        <f t="shared" ref="E21:J21" si="1">SUM(E14:E20)</f>
        <v>0</v>
      </c>
      <c r="F21" s="353">
        <f t="shared" si="1"/>
        <v>0</v>
      </c>
      <c r="G21" s="354">
        <f t="shared" si="1"/>
        <v>27200000</v>
      </c>
      <c r="H21" s="354">
        <f t="shared" si="1"/>
        <v>27200000</v>
      </c>
      <c r="I21" s="355">
        <f t="shared" si="1"/>
        <v>0</v>
      </c>
      <c r="J21" s="355">
        <f t="shared" si="1"/>
        <v>0</v>
      </c>
    </row>
    <row r="22" spans="1:12" x14ac:dyDescent="0.2">
      <c r="A22" s="300"/>
      <c r="B22" s="300"/>
      <c r="C22" s="300"/>
      <c r="D22" s="300"/>
      <c r="E22" s="300"/>
      <c r="F22" s="300"/>
      <c r="G22" s="298"/>
      <c r="H22" s="298"/>
      <c r="I22" s="298"/>
      <c r="J22" s="20"/>
    </row>
    <row r="23" spans="1:12" x14ac:dyDescent="0.2">
      <c r="A23" s="1922" t="s">
        <v>735</v>
      </c>
      <c r="B23" s="1922"/>
      <c r="C23" s="1922"/>
      <c r="D23" s="1922"/>
      <c r="E23" s="1922"/>
      <c r="F23" s="1922"/>
      <c r="G23" s="1922"/>
      <c r="H23" s="1922"/>
      <c r="I23" s="1922"/>
      <c r="J23" s="1922"/>
      <c r="K23" s="1922"/>
      <c r="L23" s="1922"/>
    </row>
    <row r="24" spans="1:12" ht="74.25" customHeight="1" x14ac:dyDescent="0.2">
      <c r="A24" s="916" t="s">
        <v>716</v>
      </c>
      <c r="B24" s="1923" t="s">
        <v>717</v>
      </c>
      <c r="C24" s="1923"/>
      <c r="D24" s="1924"/>
      <c r="E24" s="914" t="s">
        <v>718</v>
      </c>
      <c r="F24" s="914" t="s">
        <v>1633</v>
      </c>
      <c r="G24" s="915" t="s">
        <v>719</v>
      </c>
      <c r="H24" s="915" t="s">
        <v>1634</v>
      </c>
      <c r="I24" s="295" t="s">
        <v>720</v>
      </c>
      <c r="J24" s="296" t="s">
        <v>721</v>
      </c>
    </row>
    <row r="25" spans="1:12" ht="20.25" customHeight="1" x14ac:dyDescent="0.2">
      <c r="A25" s="302" t="s">
        <v>194</v>
      </c>
      <c r="B25" s="1925" t="s">
        <v>736</v>
      </c>
      <c r="C25" s="1925"/>
      <c r="D25" s="1925"/>
      <c r="E25" s="303"/>
      <c r="F25" s="908"/>
      <c r="G25" s="304"/>
      <c r="H25" s="304"/>
      <c r="I25" s="303"/>
      <c r="J25" s="303"/>
    </row>
    <row r="26" spans="1:12" ht="20.25" customHeight="1" x14ac:dyDescent="0.2">
      <c r="A26" s="305" t="s">
        <v>195</v>
      </c>
      <c r="B26" s="1914" t="s">
        <v>737</v>
      </c>
      <c r="C26" s="1914"/>
      <c r="D26" s="1914"/>
      <c r="E26" s="306"/>
      <c r="F26" s="306"/>
      <c r="G26" s="623">
        <v>6500000</v>
      </c>
      <c r="H26" s="623">
        <v>6500000</v>
      </c>
      <c r="I26" s="306"/>
      <c r="J26" s="306"/>
    </row>
    <row r="27" spans="1:12" ht="23.25" customHeight="1" x14ac:dyDescent="0.2">
      <c r="A27" s="1915" t="s">
        <v>725</v>
      </c>
      <c r="B27" s="1915"/>
      <c r="C27" s="1915"/>
      <c r="D27" s="1915"/>
      <c r="E27" s="307">
        <f t="shared" ref="E27:J27" si="2">SUM(E25:E26)</f>
        <v>0</v>
      </c>
      <c r="F27" s="307">
        <f t="shared" si="2"/>
        <v>0</v>
      </c>
      <c r="G27" s="308">
        <f t="shared" si="2"/>
        <v>6500000</v>
      </c>
      <c r="H27" s="308">
        <f t="shared" si="2"/>
        <v>6500000</v>
      </c>
      <c r="I27" s="307">
        <f t="shared" si="2"/>
        <v>0</v>
      </c>
      <c r="J27" s="307">
        <f t="shared" si="2"/>
        <v>0</v>
      </c>
    </row>
    <row r="28" spans="1:12" x14ac:dyDescent="0.2">
      <c r="A28" s="309"/>
      <c r="B28" s="309"/>
      <c r="C28" s="310"/>
      <c r="D28" s="311"/>
      <c r="E28" s="311"/>
      <c r="F28" s="311"/>
      <c r="G28" s="298"/>
      <c r="H28" s="298"/>
      <c r="I28" s="298"/>
      <c r="J28" s="20"/>
    </row>
    <row r="29" spans="1:12" x14ac:dyDescent="0.2">
      <c r="A29" s="290" t="s">
        <v>738</v>
      </c>
      <c r="B29" s="290"/>
      <c r="C29" s="290"/>
      <c r="D29" s="290"/>
      <c r="E29" s="290"/>
      <c r="F29" s="290"/>
      <c r="G29" s="312"/>
      <c r="H29" s="312"/>
      <c r="I29" s="312"/>
      <c r="J29" s="20"/>
    </row>
  </sheetData>
  <mergeCells count="20">
    <mergeCell ref="B26:D26"/>
    <mergeCell ref="A27:D27"/>
    <mergeCell ref="B18:D18"/>
    <mergeCell ref="B19:D19"/>
    <mergeCell ref="B20:D20"/>
    <mergeCell ref="A21:D21"/>
    <mergeCell ref="A23:L23"/>
    <mergeCell ref="B24:D24"/>
    <mergeCell ref="B25:D25"/>
    <mergeCell ref="B13:D13"/>
    <mergeCell ref="B14:D14"/>
    <mergeCell ref="B15:D15"/>
    <mergeCell ref="B16:D16"/>
    <mergeCell ref="B17:D17"/>
    <mergeCell ref="A8:D8"/>
    <mergeCell ref="A1:J1"/>
    <mergeCell ref="B4:D4"/>
    <mergeCell ref="B5:D5"/>
    <mergeCell ref="B6:D6"/>
    <mergeCell ref="B7:D7"/>
  </mergeCells>
  <printOptions horizontalCentered="1"/>
  <pageMargins left="0.70866141732283472" right="0.70866141732283472" top="0.74803149606299213" bottom="0.74803149606299213" header="0.31496062992125984" footer="0.31496062992125984"/>
  <pageSetup paperSize="9" scale="70" orientation="portrait" r:id="rId1"/>
  <headerFooter>
    <oddHeader>&amp;C2022. évi költségvetés&amp;R&amp;A</oddHeader>
    <oddFooter xml:space="preserve">&amp;C&amp;P/&amp;N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topLeftCell="A10" zoomScale="80" zoomScaleNormal="100" zoomScaleSheetLayoutView="80" workbookViewId="0">
      <selection activeCell="G46" sqref="G46"/>
    </sheetView>
  </sheetViews>
  <sheetFormatPr defaultColWidth="8.85546875" defaultRowHeight="15" x14ac:dyDescent="0.25"/>
  <cols>
    <col min="1" max="1" width="5.140625" style="18" customWidth="1"/>
    <col min="2" max="2" width="61.42578125" style="18" customWidth="1"/>
    <col min="3" max="3" width="7.140625" style="18" bestFit="1" customWidth="1"/>
    <col min="4" max="5" width="17" style="18" customWidth="1"/>
    <col min="6" max="6" width="3.85546875" style="18" customWidth="1"/>
    <col min="7" max="7" width="68.140625" style="18" customWidth="1"/>
    <col min="8" max="8" width="7.140625" style="18" bestFit="1" customWidth="1"/>
    <col min="9" max="9" width="17.140625" style="18" customWidth="1"/>
    <col min="10" max="10" width="17.7109375" style="612" bestFit="1" customWidth="1"/>
    <col min="11" max="11" width="17.42578125" style="612" bestFit="1" customWidth="1"/>
    <col min="12" max="16384" width="8.85546875" style="18"/>
  </cols>
  <sheetData>
    <row r="1" spans="1:11" ht="35.450000000000003" customHeight="1" x14ac:dyDescent="0.25">
      <c r="A1" s="1926" t="s">
        <v>1362</v>
      </c>
      <c r="B1" s="1926"/>
      <c r="C1" s="1926"/>
      <c r="D1" s="1926"/>
      <c r="E1" s="1926"/>
      <c r="F1" s="1926"/>
      <c r="G1" s="1926"/>
      <c r="H1" s="1926"/>
      <c r="I1" s="1926"/>
      <c r="J1" s="1926"/>
    </row>
    <row r="2" spans="1:11" s="393" customFormat="1" ht="3.75" customHeight="1" x14ac:dyDescent="0.2">
      <c r="A2" s="917"/>
      <c r="B2" s="917"/>
      <c r="C2" s="917"/>
      <c r="D2" s="917"/>
      <c r="E2" s="917"/>
      <c r="F2" s="917"/>
      <c r="G2" s="917"/>
      <c r="H2" s="917"/>
      <c r="I2" s="917"/>
      <c r="J2" s="924"/>
      <c r="K2" s="613"/>
    </row>
    <row r="3" spans="1:11" s="393" customFormat="1" ht="23.25" customHeight="1" x14ac:dyDescent="0.2">
      <c r="A3" s="918"/>
      <c r="B3" s="918"/>
      <c r="C3" s="918"/>
      <c r="D3" s="918"/>
      <c r="E3" s="918"/>
      <c r="F3" s="918"/>
      <c r="G3" s="919"/>
      <c r="H3" s="919"/>
      <c r="J3" s="920" t="s">
        <v>444</v>
      </c>
      <c r="K3" s="613"/>
    </row>
    <row r="4" spans="1:11" ht="18.75" x14ac:dyDescent="0.25">
      <c r="A4" s="1927" t="s">
        <v>37</v>
      </c>
      <c r="B4" s="1928" t="s">
        <v>1009</v>
      </c>
      <c r="C4" s="1929"/>
      <c r="D4" s="1929"/>
      <c r="E4" s="921"/>
      <c r="F4" s="925"/>
      <c r="G4" s="1928" t="s">
        <v>258</v>
      </c>
      <c r="H4" s="1929"/>
      <c r="I4" s="1929"/>
      <c r="J4" s="923"/>
    </row>
    <row r="5" spans="1:11" ht="43.5" customHeight="1" x14ac:dyDescent="0.25">
      <c r="A5" s="1927"/>
      <c r="B5" s="394" t="s">
        <v>2</v>
      </c>
      <c r="C5" s="394" t="s">
        <v>55</v>
      </c>
      <c r="D5" s="394" t="s">
        <v>1363</v>
      </c>
      <c r="E5" s="394" t="s">
        <v>1637</v>
      </c>
      <c r="F5" s="926"/>
      <c r="G5" s="394" t="s">
        <v>2</v>
      </c>
      <c r="H5" s="394" t="s">
        <v>55</v>
      </c>
      <c r="I5" s="394" t="s">
        <v>1363</v>
      </c>
      <c r="J5" s="394" t="s">
        <v>1637</v>
      </c>
    </row>
    <row r="6" spans="1:11" ht="22.5" customHeight="1" x14ac:dyDescent="0.25">
      <c r="A6" s="1274" t="s">
        <v>194</v>
      </c>
      <c r="B6" s="395" t="s">
        <v>52</v>
      </c>
      <c r="C6" s="90" t="s">
        <v>215</v>
      </c>
      <c r="D6" s="396">
        <f>+'3. sz.Városi szintű összesen'!J30</f>
        <v>1822145963</v>
      </c>
      <c r="E6" s="396">
        <f>+'3. sz.Városi szintű összesen'!K30</f>
        <v>2690598608</v>
      </c>
      <c r="F6" s="927"/>
      <c r="G6" s="398" t="s">
        <v>335</v>
      </c>
      <c r="H6" s="88" t="s">
        <v>205</v>
      </c>
      <c r="I6" s="396">
        <f>+'3. sz.Városi szintű összesen'!J8</f>
        <v>2544712063</v>
      </c>
      <c r="J6" s="396">
        <f>+'3. sz.Városi szintű összesen'!K8</f>
        <v>2706495246</v>
      </c>
    </row>
    <row r="7" spans="1:11" ht="22.5" customHeight="1" x14ac:dyDescent="0.25">
      <c r="A7" s="1274" t="s">
        <v>195</v>
      </c>
      <c r="B7" s="395" t="s">
        <v>226</v>
      </c>
      <c r="C7" s="90" t="s">
        <v>216</v>
      </c>
      <c r="D7" s="396">
        <f>+'3. sz.Városi szintű összesen'!J31</f>
        <v>0</v>
      </c>
      <c r="E7" s="396">
        <f>+'3. sz.Városi szintű összesen'!K31</f>
        <v>54255209</v>
      </c>
      <c r="F7" s="927"/>
      <c r="G7" s="395" t="s">
        <v>206</v>
      </c>
      <c r="H7" s="88" t="s">
        <v>207</v>
      </c>
      <c r="I7" s="396">
        <f>+'3. sz.Városi szintű összesen'!J9</f>
        <v>380347031</v>
      </c>
      <c r="J7" s="396">
        <f>+'3. sz.Városi szintű összesen'!K9</f>
        <v>400975191</v>
      </c>
    </row>
    <row r="8" spans="1:11" ht="22.5" customHeight="1" x14ac:dyDescent="0.25">
      <c r="A8" s="1274" t="s">
        <v>196</v>
      </c>
      <c r="B8" s="395" t="s">
        <v>225</v>
      </c>
      <c r="C8" s="90" t="s">
        <v>217</v>
      </c>
      <c r="D8" s="396">
        <f>+'3. sz.Városi szintű összesen'!J32</f>
        <v>3873339111</v>
      </c>
      <c r="E8" s="396">
        <f>+'3. sz.Városi szintű összesen'!K32</f>
        <v>4723504433</v>
      </c>
      <c r="F8" s="927"/>
      <c r="G8" s="395" t="s">
        <v>336</v>
      </c>
      <c r="H8" s="88" t="s">
        <v>208</v>
      </c>
      <c r="I8" s="396">
        <f>+'3. sz.Városi szintű összesen'!J10</f>
        <v>3452661593</v>
      </c>
      <c r="J8" s="396">
        <f>+'3. sz.Városi szintű összesen'!K10</f>
        <v>4184667018</v>
      </c>
    </row>
    <row r="9" spans="1:11" ht="22.5" customHeight="1" x14ac:dyDescent="0.25">
      <c r="A9" s="1274" t="s">
        <v>197</v>
      </c>
      <c r="B9" s="399" t="s">
        <v>1010</v>
      </c>
      <c r="C9" s="90" t="s">
        <v>218</v>
      </c>
      <c r="D9" s="396">
        <f>+'3. sz.Városi szintű összesen'!J33</f>
        <v>737715821</v>
      </c>
      <c r="E9" s="396">
        <f>+'3. sz.Városi szintű összesen'!K33</f>
        <v>884721530</v>
      </c>
      <c r="F9" s="927"/>
      <c r="G9" s="399" t="s">
        <v>337</v>
      </c>
      <c r="H9" s="88" t="s">
        <v>209</v>
      </c>
      <c r="I9" s="396">
        <f>+'3. sz.Városi szintű összesen'!J11</f>
        <v>44000000</v>
      </c>
      <c r="J9" s="396">
        <f>+'3. sz.Városi szintű összesen'!K11</f>
        <v>47819430</v>
      </c>
    </row>
    <row r="10" spans="1:11" ht="22.5" customHeight="1" x14ac:dyDescent="0.25">
      <c r="A10" s="1274" t="s">
        <v>198</v>
      </c>
      <c r="B10" s="395" t="s">
        <v>248</v>
      </c>
      <c r="C10" s="90" t="s">
        <v>219</v>
      </c>
      <c r="D10" s="396">
        <f>+'3. sz.Városi szintű összesen'!J34</f>
        <v>720079203</v>
      </c>
      <c r="E10" s="396">
        <f>+'3. sz.Városi szintű összesen'!K34</f>
        <v>741978797</v>
      </c>
      <c r="F10" s="927"/>
      <c r="G10" s="399" t="s">
        <v>240</v>
      </c>
      <c r="H10" s="88" t="s">
        <v>210</v>
      </c>
      <c r="I10" s="396">
        <f>+'3. sz.Városi szintű összesen'!J12</f>
        <v>2081276868</v>
      </c>
      <c r="J10" s="396">
        <f>+'3. sz.Városi szintű összesen'!K12</f>
        <v>3268729967</v>
      </c>
    </row>
    <row r="11" spans="1:11" ht="22.5" customHeight="1" x14ac:dyDescent="0.25">
      <c r="A11" s="1274" t="s">
        <v>199</v>
      </c>
      <c r="B11" s="395" t="s">
        <v>243</v>
      </c>
      <c r="C11" s="90" t="s">
        <v>220</v>
      </c>
      <c r="D11" s="396">
        <f>+'3. sz.Városi szintű összesen'!J35</f>
        <v>0</v>
      </c>
      <c r="E11" s="396">
        <f>+'3. sz.Városi szintű összesen'!K35</f>
        <v>295000</v>
      </c>
      <c r="F11" s="927"/>
      <c r="G11" s="395" t="s">
        <v>247</v>
      </c>
      <c r="H11" s="88" t="s">
        <v>211</v>
      </c>
      <c r="I11" s="396">
        <f>+'3. sz.Városi szintű összesen'!J16</f>
        <v>1834448550</v>
      </c>
      <c r="J11" s="396">
        <f>+'3. sz.Városi szintű összesen'!K16</f>
        <v>2057444045</v>
      </c>
    </row>
    <row r="12" spans="1:11" ht="22.5" customHeight="1" x14ac:dyDescent="0.25">
      <c r="A12" s="1274" t="s">
        <v>200</v>
      </c>
      <c r="B12" s="395" t="s">
        <v>244</v>
      </c>
      <c r="C12" s="90" t="s">
        <v>221</v>
      </c>
      <c r="D12" s="396">
        <f>+'3. sz.Városi szintű összesen'!J36</f>
        <v>6587200</v>
      </c>
      <c r="E12" s="396">
        <f>+'3. sz.Városi szintű összesen'!K36</f>
        <v>9541550</v>
      </c>
      <c r="F12" s="927"/>
      <c r="G12" s="399" t="s">
        <v>338</v>
      </c>
      <c r="H12" s="88" t="s">
        <v>212</v>
      </c>
      <c r="I12" s="396">
        <f>+'3. sz.Városi szintű összesen'!J17</f>
        <v>227236267</v>
      </c>
      <c r="J12" s="396">
        <f>+'3. sz.Városi szintű összesen'!K17</f>
        <v>174757458</v>
      </c>
    </row>
    <row r="13" spans="1:11" ht="22.5" customHeight="1" x14ac:dyDescent="0.25">
      <c r="A13" s="1274" t="s">
        <v>201</v>
      </c>
      <c r="B13" s="90"/>
      <c r="C13" s="90"/>
      <c r="D13" s="396"/>
      <c r="E13" s="397"/>
      <c r="F13" s="927"/>
      <c r="G13" s="399" t="s">
        <v>241</v>
      </c>
      <c r="H13" s="88" t="s">
        <v>213</v>
      </c>
      <c r="I13" s="396">
        <f>+'3. sz.Városi szintű összesen'!J18</f>
        <v>23820000</v>
      </c>
      <c r="J13" s="396">
        <f>+'3. sz.Városi szintű összesen'!K18</f>
        <v>34271261</v>
      </c>
    </row>
    <row r="14" spans="1:11" ht="22.5" customHeight="1" x14ac:dyDescent="0.25">
      <c r="A14" s="1274" t="s">
        <v>202</v>
      </c>
      <c r="B14" s="91" t="s">
        <v>245</v>
      </c>
      <c r="C14" s="90" t="s">
        <v>222</v>
      </c>
      <c r="D14" s="400">
        <f>SUM(D6:D13)</f>
        <v>7159867298</v>
      </c>
      <c r="E14" s="400">
        <f>SUM(E6:E13)</f>
        <v>9104895127</v>
      </c>
      <c r="F14" s="927"/>
      <c r="G14" s="90" t="s">
        <v>242</v>
      </c>
      <c r="H14" s="91" t="s">
        <v>214</v>
      </c>
      <c r="I14" s="400">
        <f>SUM(I6:I13)</f>
        <v>10588502372</v>
      </c>
      <c r="J14" s="400">
        <f>SUM(J6:J13)</f>
        <v>12875159616</v>
      </c>
      <c r="K14" s="612">
        <f>+'3. sz.Városi szintű összesen'!J20</f>
        <v>10588502372</v>
      </c>
    </row>
    <row r="15" spans="1:11" ht="22.5" customHeight="1" x14ac:dyDescent="0.25">
      <c r="A15" s="1274" t="s">
        <v>203</v>
      </c>
      <c r="B15" s="399" t="s">
        <v>1011</v>
      </c>
      <c r="C15" s="90"/>
      <c r="D15" s="396">
        <f>D6+D9+D8+D11</f>
        <v>6433200895</v>
      </c>
      <c r="E15" s="396">
        <f>E6+E9+E8+E11</f>
        <v>8299119571</v>
      </c>
      <c r="F15" s="927"/>
      <c r="G15" s="395" t="s">
        <v>1012</v>
      </c>
      <c r="H15" s="399"/>
      <c r="I15" s="396">
        <f>I6+I8+I9+I10+I7</f>
        <v>8502997555</v>
      </c>
      <c r="J15" s="396">
        <f>J6+J8+J9+J10+J7</f>
        <v>10608686852</v>
      </c>
    </row>
    <row r="16" spans="1:11" ht="22.5" customHeight="1" x14ac:dyDescent="0.25">
      <c r="A16" s="1274" t="s">
        <v>204</v>
      </c>
      <c r="B16" s="399" t="s">
        <v>1013</v>
      </c>
      <c r="C16" s="90"/>
      <c r="D16" s="396">
        <f>D7+D10+D12</f>
        <v>726666403</v>
      </c>
      <c r="E16" s="396">
        <f>E7+E10+E12</f>
        <v>805775556</v>
      </c>
      <c r="F16" s="927"/>
      <c r="G16" s="395" t="s">
        <v>1014</v>
      </c>
      <c r="H16" s="90"/>
      <c r="I16" s="396">
        <f>I11+I12+I13</f>
        <v>2085504817</v>
      </c>
      <c r="J16" s="396">
        <f>J11+J12+J13</f>
        <v>2266472764</v>
      </c>
    </row>
    <row r="17" spans="1:11" ht="22.5" customHeight="1" x14ac:dyDescent="0.25">
      <c r="A17" s="1274" t="s">
        <v>231</v>
      </c>
      <c r="B17" s="90" t="s">
        <v>246</v>
      </c>
      <c r="C17" s="91" t="s">
        <v>224</v>
      </c>
      <c r="D17" s="400">
        <f>SUM(D18:D23)</f>
        <v>7096123177</v>
      </c>
      <c r="E17" s="400">
        <f>SUM(E18:E24)</f>
        <v>7941777357</v>
      </c>
      <c r="F17" s="927"/>
      <c r="G17" s="90" t="s">
        <v>227</v>
      </c>
      <c r="H17" s="90" t="s">
        <v>223</v>
      </c>
      <c r="I17" s="400">
        <f>SUM(I18:I22)</f>
        <v>3667488103</v>
      </c>
      <c r="J17" s="400">
        <f>SUM(J18:J22)</f>
        <v>4171512868</v>
      </c>
      <c r="K17" s="612">
        <f>+'3. sz.Városi szintű összesen'!J21</f>
        <v>3667488103</v>
      </c>
    </row>
    <row r="18" spans="1:11" ht="22.5" customHeight="1" x14ac:dyDescent="0.25">
      <c r="A18" s="1274" t="s">
        <v>232</v>
      </c>
      <c r="B18" s="401" t="s">
        <v>1015</v>
      </c>
      <c r="C18" s="399"/>
      <c r="D18" s="396">
        <f>+'3. sz.Városi szintű összesen'!J40</f>
        <v>2257836308</v>
      </c>
      <c r="E18" s="396">
        <f>+'3. sz.Városi szintű összesen'!K40</f>
        <v>2417169015</v>
      </c>
      <c r="F18" s="927"/>
      <c r="G18" s="401" t="s">
        <v>1016</v>
      </c>
      <c r="H18" s="395"/>
      <c r="I18" s="396">
        <f>+'3. sz.Városi szintű összesen'!J22</f>
        <v>63513436</v>
      </c>
      <c r="J18" s="396">
        <f>+'3. sz.Városi szintű összesen'!K22</f>
        <v>358581965</v>
      </c>
    </row>
    <row r="19" spans="1:11" ht="22.5" customHeight="1" x14ac:dyDescent="0.25">
      <c r="A19" s="1274" t="s">
        <v>233</v>
      </c>
      <c r="B19" s="395" t="s">
        <v>1017</v>
      </c>
      <c r="C19" s="399"/>
      <c r="D19" s="396">
        <f>+'3. sz.Városi szintű összesen'!J41</f>
        <v>1262494826</v>
      </c>
      <c r="E19" s="396">
        <f>+'3. sz.Városi szintű összesen'!K41</f>
        <v>1372755016</v>
      </c>
      <c r="F19" s="927"/>
      <c r="G19" s="395" t="s">
        <v>1018</v>
      </c>
      <c r="H19" s="90"/>
      <c r="I19" s="396">
        <f>+'3. sz.Városi szintű összesen'!J23</f>
        <v>3513510223</v>
      </c>
      <c r="J19" s="396">
        <f>+'3. sz.Városi szintű összesen'!K23</f>
        <v>3686246941</v>
      </c>
    </row>
    <row r="20" spans="1:11" ht="22.5" customHeight="1" x14ac:dyDescent="0.25">
      <c r="A20" s="1274" t="s">
        <v>234</v>
      </c>
      <c r="B20" s="395" t="s">
        <v>554</v>
      </c>
      <c r="C20" s="395"/>
      <c r="D20" s="396">
        <f>+'3. sz.Városi szintű összesen'!J42</f>
        <v>3513510223</v>
      </c>
      <c r="E20" s="396">
        <f>+'3. sz.Városi szintű összesen'!K42</f>
        <v>3686246941</v>
      </c>
      <c r="F20" s="927"/>
      <c r="G20" s="395" t="s">
        <v>1019</v>
      </c>
      <c r="H20" s="402"/>
      <c r="I20" s="396">
        <f>+'3. sz.Városi szintű összesen'!J24</f>
        <v>62281820</v>
      </c>
      <c r="J20" s="396">
        <f>+'3. sz.Városi szintű összesen'!K24</f>
        <v>98501338</v>
      </c>
    </row>
    <row r="21" spans="1:11" ht="22.5" customHeight="1" x14ac:dyDescent="0.25">
      <c r="A21" s="1274" t="s">
        <v>235</v>
      </c>
      <c r="B21" s="395" t="s">
        <v>555</v>
      </c>
      <c r="C21" s="395"/>
      <c r="D21" s="396">
        <f>+'3. sz.Városi szintű összesen'!J43</f>
        <v>62281820</v>
      </c>
      <c r="E21" s="396">
        <f>+'3. sz.Városi szintű összesen'!K43</f>
        <v>98501338</v>
      </c>
      <c r="F21" s="927"/>
      <c r="G21" s="395" t="s">
        <v>126</v>
      </c>
      <c r="H21" s="403"/>
      <c r="I21" s="396">
        <f>+'3. sz.Városi szintű összesen'!J25</f>
        <v>28182624</v>
      </c>
      <c r="J21" s="396">
        <f>+'3. sz.Városi szintű összesen'!K25</f>
        <v>28182624</v>
      </c>
    </row>
    <row r="22" spans="1:11" ht="22.5" customHeight="1" x14ac:dyDescent="0.25">
      <c r="A22" s="1274" t="s">
        <v>236</v>
      </c>
      <c r="B22" s="401" t="s">
        <v>1020</v>
      </c>
      <c r="C22" s="395"/>
      <c r="D22" s="396">
        <f>+'[3]3. sz.Városi szintű összesen'!G44</f>
        <v>0</v>
      </c>
      <c r="E22" s="396">
        <f>+'3. sz.Városi szintű összesen'!K44</f>
        <v>0</v>
      </c>
      <c r="F22" s="927"/>
      <c r="G22" s="401" t="s">
        <v>1021</v>
      </c>
      <c r="H22" s="403"/>
      <c r="I22" s="396">
        <f>+'3. sz.Városi szintű összesen'!J26</f>
        <v>0</v>
      </c>
      <c r="J22" s="396">
        <f>+'3. sz.Városi szintű összesen'!K26</f>
        <v>0</v>
      </c>
    </row>
    <row r="23" spans="1:11" ht="22.5" customHeight="1" x14ac:dyDescent="0.25">
      <c r="A23" s="1274" t="s">
        <v>237</v>
      </c>
      <c r="B23" s="401" t="s">
        <v>1022</v>
      </c>
      <c r="C23" s="395"/>
      <c r="D23" s="396">
        <f>+'[3]3. sz.Városi szintű összesen'!G45</f>
        <v>0</v>
      </c>
      <c r="E23" s="396">
        <f>+'3. sz.Városi szintű összesen'!K45</f>
        <v>0</v>
      </c>
      <c r="F23" s="927"/>
      <c r="G23" s="90"/>
      <c r="H23" s="403"/>
      <c r="I23" s="396"/>
      <c r="J23" s="922"/>
    </row>
    <row r="24" spans="1:11" ht="22.5" customHeight="1" x14ac:dyDescent="0.25">
      <c r="A24" s="1274"/>
      <c r="B24" s="401" t="s">
        <v>1023</v>
      </c>
      <c r="C24" s="395"/>
      <c r="D24" s="396">
        <f>+'[3]3. sz.Városi szintű összesen'!G39</f>
        <v>0</v>
      </c>
      <c r="E24" s="396">
        <f>+'3. sz.Városi szintű összesen'!K39</f>
        <v>367105047</v>
      </c>
      <c r="F24" s="927"/>
      <c r="G24" s="90"/>
      <c r="H24" s="403"/>
      <c r="I24" s="396"/>
      <c r="J24" s="922"/>
    </row>
    <row r="25" spans="1:11" ht="31.5" x14ac:dyDescent="0.25">
      <c r="A25" s="1274" t="s">
        <v>238</v>
      </c>
      <c r="B25" s="90" t="s">
        <v>112</v>
      </c>
      <c r="C25" s="395"/>
      <c r="D25" s="396">
        <f>+D6+D8+D9+D11+D18+D20+D23+D24</f>
        <v>12204547426</v>
      </c>
      <c r="E25" s="396">
        <f>+E6+E8+E9+E11+E18+E20+E23+E24</f>
        <v>14769640574</v>
      </c>
      <c r="F25" s="927"/>
      <c r="G25" s="90" t="s">
        <v>32</v>
      </c>
      <c r="H25" s="403"/>
      <c r="I25" s="396">
        <f>+I6+I7+I8+I9+I10+I18+I19+I22</f>
        <v>12080021214</v>
      </c>
      <c r="J25" s="396">
        <f>+J6+J7+J8+J9+J10+J18+J19+J22</f>
        <v>14653515758</v>
      </c>
    </row>
    <row r="26" spans="1:11" ht="31.5" x14ac:dyDescent="0.25">
      <c r="A26" s="1274" t="s">
        <v>239</v>
      </c>
      <c r="B26" s="90" t="s">
        <v>113</v>
      </c>
      <c r="C26" s="395"/>
      <c r="D26" s="396">
        <f>+D7+D10+D12+D19+D21+D22</f>
        <v>2051443049</v>
      </c>
      <c r="E26" s="396">
        <f>+E7+E10+E12+E19+E21+E22</f>
        <v>2277031910</v>
      </c>
      <c r="F26" s="927"/>
      <c r="G26" s="90" t="s">
        <v>33</v>
      </c>
      <c r="H26" s="403"/>
      <c r="I26" s="396">
        <f>+I11+I12+I13+I20+I21</f>
        <v>2175969261</v>
      </c>
      <c r="J26" s="396">
        <f>+J11+J12+J13+J20+J21</f>
        <v>2393156726</v>
      </c>
    </row>
    <row r="27" spans="1:11" ht="23.25" customHeight="1" x14ac:dyDescent="0.25">
      <c r="A27" s="1274" t="s">
        <v>266</v>
      </c>
      <c r="B27" s="404" t="s">
        <v>334</v>
      </c>
      <c r="C27" s="405" t="s">
        <v>894</v>
      </c>
      <c r="D27" s="406">
        <f>+D25+D26</f>
        <v>14255990475</v>
      </c>
      <c r="E27" s="406">
        <f>+E25+E26</f>
        <v>17046672484</v>
      </c>
      <c r="F27" s="928"/>
      <c r="G27" s="405" t="s">
        <v>333</v>
      </c>
      <c r="H27" s="405" t="s">
        <v>31</v>
      </c>
      <c r="I27" s="406">
        <f>SUM(I25:I26)</f>
        <v>14255990475</v>
      </c>
      <c r="J27" s="406">
        <f>SUM(J25:J26)</f>
        <v>17046672484</v>
      </c>
      <c r="K27" s="612">
        <f>+'3. sz.Városi szintű összesen'!J29</f>
        <v>14255990475</v>
      </c>
    </row>
    <row r="29" spans="1:11" ht="20.25" customHeight="1" x14ac:dyDescent="0.25">
      <c r="B29" s="407" t="s">
        <v>1024</v>
      </c>
      <c r="G29" s="408"/>
    </row>
    <row r="30" spans="1:11" ht="19.5" customHeight="1" x14ac:dyDescent="0.25">
      <c r="B30" s="1930" t="s">
        <v>1025</v>
      </c>
      <c r="C30" s="1930"/>
      <c r="D30" s="410">
        <f>+D15</f>
        <v>6433200895</v>
      </c>
      <c r="E30" s="410">
        <f>+E15</f>
        <v>8299119571</v>
      </c>
      <c r="F30" s="409"/>
      <c r="G30" s="1930"/>
      <c r="H30" s="1930"/>
      <c r="I30" s="410"/>
    </row>
    <row r="31" spans="1:11" ht="19.5" customHeight="1" x14ac:dyDescent="0.25">
      <c r="B31" s="1930" t="s">
        <v>1026</v>
      </c>
      <c r="C31" s="1930"/>
      <c r="D31" s="410">
        <f>+I15</f>
        <v>8502997555</v>
      </c>
      <c r="E31" s="410">
        <f>+J15</f>
        <v>10608686852</v>
      </c>
      <c r="F31" s="409"/>
      <c r="G31" s="1930"/>
      <c r="H31" s="1930"/>
      <c r="I31" s="410"/>
    </row>
    <row r="32" spans="1:11" ht="19.5" customHeight="1" x14ac:dyDescent="0.25">
      <c r="B32" s="1930" t="s">
        <v>1027</v>
      </c>
      <c r="C32" s="1930"/>
      <c r="D32" s="411">
        <f>+D30-D31</f>
        <v>-2069796660</v>
      </c>
      <c r="E32" s="411">
        <f>+E30-E31</f>
        <v>-2309567281</v>
      </c>
      <c r="F32" s="409"/>
      <c r="G32" s="1930"/>
      <c r="H32" s="1930"/>
      <c r="I32" s="411"/>
    </row>
    <row r="33" spans="2:9" ht="15.75" x14ac:dyDescent="0.25">
      <c r="B33" s="409"/>
      <c r="C33" s="409"/>
      <c r="D33" s="412"/>
      <c r="E33" s="412"/>
      <c r="F33" s="409"/>
      <c r="G33" s="409"/>
      <c r="H33" s="409"/>
      <c r="I33" s="412"/>
    </row>
    <row r="34" spans="2:9" ht="20.25" customHeight="1" x14ac:dyDescent="0.25">
      <c r="B34" s="1930" t="s">
        <v>1028</v>
      </c>
      <c r="C34" s="1930"/>
      <c r="D34" s="410">
        <f>+D16</f>
        <v>726666403</v>
      </c>
      <c r="E34" s="410">
        <f>+E16</f>
        <v>805775556</v>
      </c>
      <c r="F34" s="409"/>
      <c r="G34" s="1930"/>
      <c r="H34" s="1930"/>
      <c r="I34" s="410"/>
    </row>
    <row r="35" spans="2:9" ht="20.25" customHeight="1" x14ac:dyDescent="0.25">
      <c r="B35" s="1930" t="s">
        <v>1029</v>
      </c>
      <c r="C35" s="1930"/>
      <c r="D35" s="410">
        <f>+I16</f>
        <v>2085504817</v>
      </c>
      <c r="E35" s="410">
        <f>+J16</f>
        <v>2266472764</v>
      </c>
      <c r="F35" s="409"/>
      <c r="G35" s="1930"/>
      <c r="H35" s="1930"/>
      <c r="I35" s="410"/>
    </row>
    <row r="36" spans="2:9" ht="20.25" customHeight="1" x14ac:dyDescent="0.25">
      <c r="B36" s="1930" t="s">
        <v>1030</v>
      </c>
      <c r="C36" s="1930"/>
      <c r="D36" s="411">
        <f>+D34-D35</f>
        <v>-1358838414</v>
      </c>
      <c r="E36" s="411">
        <f>+E34-E35</f>
        <v>-1460697208</v>
      </c>
      <c r="F36" s="409"/>
      <c r="G36" s="1930"/>
      <c r="H36" s="1930"/>
      <c r="I36" s="411"/>
    </row>
    <row r="37" spans="2:9" ht="15.75" x14ac:dyDescent="0.25">
      <c r="B37" s="409"/>
      <c r="C37" s="409"/>
      <c r="D37" s="412"/>
      <c r="E37" s="412"/>
      <c r="F37" s="409"/>
      <c r="G37" s="409"/>
      <c r="H37" s="409"/>
      <c r="I37" s="412"/>
    </row>
    <row r="38" spans="2:9" ht="32.25" customHeight="1" x14ac:dyDescent="0.25">
      <c r="B38" s="1931" t="s">
        <v>1031</v>
      </c>
      <c r="C38" s="1931"/>
      <c r="D38" s="415">
        <f>+D32+D36</f>
        <v>-3428635074</v>
      </c>
      <c r="E38" s="415">
        <f>+E32+E36</f>
        <v>-3770264489</v>
      </c>
      <c r="F38" s="414"/>
      <c r="G38" s="1931"/>
      <c r="H38" s="1931"/>
      <c r="I38" s="415"/>
    </row>
    <row r="39" spans="2:9" ht="39" customHeight="1" x14ac:dyDescent="0.25">
      <c r="B39" s="1931" t="s">
        <v>1032</v>
      </c>
      <c r="C39" s="1931"/>
      <c r="D39" s="415">
        <f>+D17-I17</f>
        <v>3428635074</v>
      </c>
      <c r="E39" s="415">
        <f>+E17-J17</f>
        <v>3770264489</v>
      </c>
      <c r="F39" s="414"/>
      <c r="G39" s="1931"/>
      <c r="H39" s="1931"/>
      <c r="I39" s="415"/>
    </row>
    <row r="40" spans="2:9" ht="36" customHeight="1" x14ac:dyDescent="0.25">
      <c r="B40" s="1931" t="s">
        <v>1467</v>
      </c>
      <c r="C40" s="1931"/>
      <c r="D40" s="416">
        <f>+D38+D39</f>
        <v>0</v>
      </c>
      <c r="E40" s="416">
        <f>+E38+E39</f>
        <v>0</v>
      </c>
      <c r="F40" s="417"/>
      <c r="G40" s="1931"/>
      <c r="H40" s="1931"/>
      <c r="I40" s="416"/>
    </row>
    <row r="42" spans="2:9" x14ac:dyDescent="0.25">
      <c r="D42" s="413">
        <f>+D18+D19-I18-I21</f>
        <v>3428635074</v>
      </c>
      <c r="E42" s="413"/>
    </row>
  </sheetData>
  <mergeCells count="22">
    <mergeCell ref="B39:C39"/>
    <mergeCell ref="G39:H39"/>
    <mergeCell ref="B40:C40"/>
    <mergeCell ref="G40:H40"/>
    <mergeCell ref="B35:C35"/>
    <mergeCell ref="G35:H35"/>
    <mergeCell ref="B36:C36"/>
    <mergeCell ref="G36:H36"/>
    <mergeCell ref="B38:C38"/>
    <mergeCell ref="G38:H38"/>
    <mergeCell ref="B31:C31"/>
    <mergeCell ref="G31:H31"/>
    <mergeCell ref="B32:C32"/>
    <mergeCell ref="G32:H32"/>
    <mergeCell ref="B34:C34"/>
    <mergeCell ref="G34:H34"/>
    <mergeCell ref="A1:J1"/>
    <mergeCell ref="A4:A5"/>
    <mergeCell ref="B4:D4"/>
    <mergeCell ref="G4:I4"/>
    <mergeCell ref="B30:C30"/>
    <mergeCell ref="G30:H30"/>
  </mergeCells>
  <printOptions horizontalCentered="1" verticalCentered="1"/>
  <pageMargins left="0.70866141732283472" right="0.70866141732283472" top="0.55118110236220474" bottom="0.74803149606299213" header="0.31496062992125984" footer="0.31496062992125984"/>
  <pageSetup paperSize="9" scale="53" orientation="landscape" r:id="rId1"/>
  <headerFooter>
    <oddHeader>&amp;C2022. évi költségvetés&amp;R&amp;A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9"/>
  <sheetViews>
    <sheetView view="pageBreakPreview" topLeftCell="A13" zoomScale="80" zoomScaleNormal="100" zoomScaleSheetLayoutView="80" workbookViewId="0">
      <selection activeCell="J56" sqref="J56"/>
    </sheetView>
  </sheetViews>
  <sheetFormatPr defaultRowHeight="12.75" x14ac:dyDescent="0.2"/>
  <cols>
    <col min="1" max="1" width="10" customWidth="1"/>
    <col min="2" max="2" width="71.7109375" customWidth="1"/>
    <col min="3" max="3" width="10.42578125" customWidth="1"/>
    <col min="4" max="4" width="20.7109375" customWidth="1"/>
    <col min="5" max="6" width="20.28515625" style="314" customWidth="1"/>
    <col min="7" max="7" width="18" style="314" bestFit="1" customWidth="1"/>
    <col min="8" max="8" width="28" style="314" bestFit="1" customWidth="1"/>
    <col min="9" max="10" width="19.42578125" style="314" bestFit="1" customWidth="1"/>
    <col min="11" max="11" width="10.28515625" bestFit="1" customWidth="1"/>
    <col min="12" max="12" width="15.5703125" bestFit="1" customWidth="1"/>
    <col min="13" max="13" width="14.28515625" bestFit="1" customWidth="1"/>
    <col min="16" max="16" width="13.140625" bestFit="1" customWidth="1"/>
  </cols>
  <sheetData>
    <row r="1" spans="1:51" ht="12" customHeight="1" x14ac:dyDescent="0.2">
      <c r="A1" s="1932" t="s">
        <v>1466</v>
      </c>
      <c r="B1" s="1932"/>
      <c r="C1" s="1932"/>
      <c r="D1" s="1932"/>
      <c r="E1" s="1932"/>
      <c r="F1" s="1932"/>
      <c r="G1" s="1932"/>
      <c r="H1" s="1932"/>
      <c r="I1" s="1932"/>
      <c r="J1" s="1932"/>
    </row>
    <row r="2" spans="1:51" ht="23.25" customHeight="1" x14ac:dyDescent="0.2">
      <c r="A2" s="1933"/>
      <c r="B2" s="1933"/>
      <c r="C2" s="1933"/>
      <c r="D2" s="1933"/>
      <c r="E2" s="1933"/>
      <c r="F2" s="1933"/>
      <c r="G2" s="1933"/>
      <c r="H2" s="1933"/>
      <c r="I2" s="1933"/>
      <c r="J2" s="1933"/>
    </row>
    <row r="3" spans="1:51" s="120" customFormat="1" ht="45.75" customHeight="1" x14ac:dyDescent="0.25">
      <c r="A3" s="418" t="s">
        <v>53</v>
      </c>
      <c r="B3" s="418" t="s">
        <v>1033</v>
      </c>
      <c r="C3" s="418" t="s">
        <v>1034</v>
      </c>
      <c r="D3" s="418" t="s">
        <v>1750</v>
      </c>
      <c r="E3" s="419" t="s">
        <v>1363</v>
      </c>
      <c r="F3" s="419" t="s">
        <v>1638</v>
      </c>
      <c r="G3" s="419" t="s">
        <v>1639</v>
      </c>
      <c r="H3" s="419" t="s">
        <v>1036</v>
      </c>
      <c r="I3" s="419" t="s">
        <v>1056</v>
      </c>
      <c r="J3" s="419" t="s">
        <v>1132</v>
      </c>
      <c r="K3" s="11"/>
    </row>
    <row r="4" spans="1:51" ht="15" customHeight="1" x14ac:dyDescent="0.25">
      <c r="A4" s="420" t="s">
        <v>194</v>
      </c>
      <c r="B4" s="398" t="s">
        <v>335</v>
      </c>
      <c r="C4" s="421" t="s">
        <v>205</v>
      </c>
      <c r="D4" s="707">
        <v>2156697969</v>
      </c>
      <c r="E4" s="422">
        <f>+'3. sz.Városi szintű összesen'!J8</f>
        <v>2544712063</v>
      </c>
      <c r="F4" s="422">
        <f>+'3. sz.Városi szintű összesen'!K8</f>
        <v>2706495246</v>
      </c>
      <c r="G4" s="423">
        <f>E4/D4</f>
        <v>1.1799111881112918</v>
      </c>
      <c r="H4" s="424">
        <f>E4*1.001</f>
        <v>2547256775.0629997</v>
      </c>
      <c r="I4" s="424">
        <f>+H4*1.005</f>
        <v>2559993058.9383144</v>
      </c>
      <c r="J4" s="424">
        <f t="shared" ref="I4:J6" si="0">+I4*1.005</f>
        <v>2572793024.2330055</v>
      </c>
    </row>
    <row r="5" spans="1:51" ht="15.75" x14ac:dyDescent="0.25">
      <c r="A5" s="420" t="s">
        <v>195</v>
      </c>
      <c r="B5" s="395" t="s">
        <v>206</v>
      </c>
      <c r="C5" s="421" t="s">
        <v>207</v>
      </c>
      <c r="D5" s="707">
        <v>374420063</v>
      </c>
      <c r="E5" s="422">
        <f>+'3. sz.Városi szintű összesen'!J9</f>
        <v>380347031</v>
      </c>
      <c r="F5" s="422">
        <f>+'3. sz.Városi szintű összesen'!K9</f>
        <v>400975191</v>
      </c>
      <c r="G5" s="423">
        <f>E5/D5</f>
        <v>1.0158297286542575</v>
      </c>
      <c r="H5" s="424">
        <f>E5*1.001</f>
        <v>380727378.03099996</v>
      </c>
      <c r="I5" s="424">
        <f t="shared" si="0"/>
        <v>382631014.92115492</v>
      </c>
      <c r="J5" s="424">
        <f t="shared" si="0"/>
        <v>384544169.99576068</v>
      </c>
    </row>
    <row r="6" spans="1:51" ht="15.75" x14ac:dyDescent="0.25">
      <c r="A6" s="420" t="s">
        <v>196</v>
      </c>
      <c r="B6" s="395" t="s">
        <v>336</v>
      </c>
      <c r="C6" s="421" t="s">
        <v>208</v>
      </c>
      <c r="D6" s="707">
        <v>2288857050</v>
      </c>
      <c r="E6" s="422">
        <f>+'3. sz.Városi szintű összesen'!J10</f>
        <v>3452661593</v>
      </c>
      <c r="F6" s="422">
        <f>+'3. sz.Városi szintű összesen'!K10</f>
        <v>4184667018</v>
      </c>
      <c r="G6" s="423">
        <f t="shared" ref="G6:G19" si="1">E6/D6</f>
        <v>1.5084653683374416</v>
      </c>
      <c r="H6" s="424">
        <f>E6*1.005</f>
        <v>3469924900.9649997</v>
      </c>
      <c r="I6" s="424">
        <f t="shared" si="0"/>
        <v>3487274525.4698243</v>
      </c>
      <c r="J6" s="424">
        <f t="shared" si="0"/>
        <v>3504710898.0971732</v>
      </c>
    </row>
    <row r="7" spans="1:51" ht="15.75" x14ac:dyDescent="0.25">
      <c r="A7" s="420" t="s">
        <v>197</v>
      </c>
      <c r="B7" s="399" t="s">
        <v>337</v>
      </c>
      <c r="C7" s="421" t="s">
        <v>209</v>
      </c>
      <c r="D7" s="707">
        <v>41000000</v>
      </c>
      <c r="E7" s="422">
        <f>+'3. sz.Városi szintű összesen'!J11</f>
        <v>44000000</v>
      </c>
      <c r="F7" s="422">
        <f>+'3. sz.Városi szintű összesen'!K11</f>
        <v>47819430</v>
      </c>
      <c r="G7" s="423">
        <f t="shared" si="1"/>
        <v>1.0731707317073171</v>
      </c>
      <c r="H7" s="424">
        <v>41000000</v>
      </c>
      <c r="I7" s="424">
        <f>+H7</f>
        <v>41000000</v>
      </c>
      <c r="J7" s="424">
        <f>+I7</f>
        <v>41000000</v>
      </c>
    </row>
    <row r="8" spans="1:51" ht="15.75" x14ac:dyDescent="0.25">
      <c r="A8" s="420" t="s">
        <v>198</v>
      </c>
      <c r="B8" s="399" t="s">
        <v>240</v>
      </c>
      <c r="C8" s="421" t="s">
        <v>210</v>
      </c>
      <c r="D8" s="707">
        <v>2157098779</v>
      </c>
      <c r="E8" s="422">
        <f>SUM(E9:E11)</f>
        <v>2081276868</v>
      </c>
      <c r="F8" s="422">
        <f>SUM(F9:F11)</f>
        <v>3268729967</v>
      </c>
      <c r="G8" s="423">
        <f t="shared" si="1"/>
        <v>0.9648500514959496</v>
      </c>
      <c r="H8" s="424">
        <f>SUM(H9:H11)</f>
        <v>2084476906</v>
      </c>
      <c r="I8" s="424">
        <f>SUM(I9:I11)</f>
        <v>2192388529.2399998</v>
      </c>
      <c r="J8" s="424">
        <f>SUM(J9:J11)</f>
        <v>2198350471.8862</v>
      </c>
    </row>
    <row r="9" spans="1:51" s="431" customFormat="1" ht="15.75" x14ac:dyDescent="0.25">
      <c r="A9" s="425"/>
      <c r="B9" s="426" t="s">
        <v>125</v>
      </c>
      <c r="C9" s="427"/>
      <c r="D9" s="708">
        <v>268497664</v>
      </c>
      <c r="E9" s="428">
        <f>+'3. sz.Városi szintű összesen'!J13</f>
        <v>286106248</v>
      </c>
      <c r="F9" s="428">
        <f>+'3. sz.Városi szintű összesen'!K13</f>
        <v>338521864</v>
      </c>
      <c r="G9" s="429">
        <f t="shared" si="1"/>
        <v>1.0655818890104012</v>
      </c>
      <c r="H9" s="430">
        <f>+E9</f>
        <v>286106248</v>
      </c>
      <c r="I9" s="430">
        <f>H9*1.005</f>
        <v>287536779.23999995</v>
      </c>
      <c r="J9" s="430">
        <f>I9*1.005</f>
        <v>288974463.13619989</v>
      </c>
    </row>
    <row r="10" spans="1:51" s="431" customFormat="1" ht="15.75" x14ac:dyDescent="0.25">
      <c r="A10" s="425"/>
      <c r="B10" s="426" t="s">
        <v>115</v>
      </c>
      <c r="C10" s="427"/>
      <c r="D10" s="708">
        <v>938291429</v>
      </c>
      <c r="E10" s="428">
        <f>+'3. sz.Városi szintű összesen'!J14</f>
        <v>897149962</v>
      </c>
      <c r="F10" s="428">
        <f>+'3. sz.Városi szintű összesen'!K14</f>
        <v>1872854738</v>
      </c>
      <c r="G10" s="429">
        <f t="shared" si="1"/>
        <v>0.95615278395556991</v>
      </c>
      <c r="H10" s="430">
        <v>900350000</v>
      </c>
      <c r="I10" s="430">
        <f>H10*1.005</f>
        <v>904851749.99999988</v>
      </c>
      <c r="J10" s="430">
        <f>I10*1.005</f>
        <v>909376008.74999976</v>
      </c>
    </row>
    <row r="11" spans="1:51" s="431" customFormat="1" ht="15.75" x14ac:dyDescent="0.25">
      <c r="A11" s="425"/>
      <c r="B11" s="426" t="s">
        <v>566</v>
      </c>
      <c r="C11" s="427"/>
      <c r="D11" s="708">
        <v>950309686</v>
      </c>
      <c r="E11" s="428">
        <f>+'3. sz.Városi szintű összesen'!J15</f>
        <v>898020658</v>
      </c>
      <c r="F11" s="428">
        <f>+'3. sz.Városi szintű összesen'!K15</f>
        <v>1057353365</v>
      </c>
      <c r="G11" s="429">
        <f t="shared" si="1"/>
        <v>0.94497685462926029</v>
      </c>
      <c r="H11" s="430">
        <f>+E11</f>
        <v>898020658</v>
      </c>
      <c r="I11" s="430">
        <v>1000000000</v>
      </c>
      <c r="J11" s="430">
        <v>1000000000</v>
      </c>
    </row>
    <row r="12" spans="1:51" ht="15.75" x14ac:dyDescent="0.25">
      <c r="A12" s="420" t="s">
        <v>199</v>
      </c>
      <c r="B12" s="432" t="s">
        <v>247</v>
      </c>
      <c r="C12" s="421" t="s">
        <v>211</v>
      </c>
      <c r="D12" s="707">
        <v>913099698</v>
      </c>
      <c r="E12" s="422">
        <f>+'3. sz.Városi szintű összesen'!J16</f>
        <v>1834448550</v>
      </c>
      <c r="F12" s="422">
        <f>+'3. sz.Városi szintű összesen'!K16</f>
        <v>2057444045</v>
      </c>
      <c r="G12" s="423">
        <f t="shared" si="1"/>
        <v>2.009034231440519</v>
      </c>
      <c r="H12" s="424">
        <f>1470000000-529689645-4500000+30150000+439418254</f>
        <v>1405378609</v>
      </c>
      <c r="I12" s="424">
        <f>1470000000-577276859-8500000+30300750+385114872</f>
        <v>1299638763</v>
      </c>
      <c r="J12" s="424">
        <f>1470000000-575163244-8500000+30452254+385100446</f>
        <v>1301889456</v>
      </c>
    </row>
    <row r="13" spans="1:51" ht="15.75" x14ac:dyDescent="0.25">
      <c r="A13" s="420" t="s">
        <v>200</v>
      </c>
      <c r="B13" s="399" t="s">
        <v>338</v>
      </c>
      <c r="C13" s="421" t="s">
        <v>212</v>
      </c>
      <c r="D13" s="707">
        <v>192425195</v>
      </c>
      <c r="E13" s="422">
        <f>+'3. sz.Városi szintű összesen'!J17</f>
        <v>227236267</v>
      </c>
      <c r="F13" s="422">
        <f>+'3. sz.Városi szintű összesen'!K17</f>
        <v>174757458</v>
      </c>
      <c r="G13" s="423">
        <f t="shared" si="1"/>
        <v>1.1809070376672868</v>
      </c>
      <c r="H13" s="424">
        <f>100000000+88192700+57</f>
        <v>188192757</v>
      </c>
      <c r="I13" s="424">
        <f>115000000+50000000-20000000-65348117+99621865</f>
        <v>179273748</v>
      </c>
      <c r="J13" s="424">
        <f>115000000+40000000-15000000-53321400+14970793+58818224</f>
        <v>160467617</v>
      </c>
      <c r="N13" s="1934"/>
      <c r="O13" s="1934"/>
      <c r="P13" s="1934"/>
      <c r="Q13" s="1934"/>
      <c r="R13" s="1934"/>
      <c r="S13" s="1934"/>
      <c r="T13" s="1934"/>
      <c r="U13" s="1934"/>
      <c r="V13" s="1934"/>
      <c r="W13" s="1934"/>
      <c r="X13" s="1934"/>
      <c r="Y13" s="1934"/>
      <c r="Z13" s="1934"/>
      <c r="AA13" s="1934"/>
      <c r="AB13" s="1934"/>
      <c r="AC13" s="1934"/>
      <c r="AD13" s="1934"/>
      <c r="AE13" s="1934"/>
      <c r="AF13" s="1934"/>
      <c r="AG13" s="1934"/>
      <c r="AH13" s="1934"/>
      <c r="AI13" s="1934"/>
      <c r="AJ13" s="1934"/>
      <c r="AK13" s="1934"/>
      <c r="AL13" s="1934"/>
      <c r="AM13" s="1934"/>
      <c r="AN13" s="1934"/>
      <c r="AO13" s="1934"/>
      <c r="AP13" s="1934"/>
      <c r="AQ13" s="1934"/>
      <c r="AR13" s="1934"/>
      <c r="AS13" s="1934"/>
      <c r="AT13" s="1934"/>
      <c r="AU13" s="1934"/>
      <c r="AV13" s="1934"/>
      <c r="AW13" s="1934"/>
      <c r="AX13" s="1934"/>
      <c r="AY13" s="1934"/>
    </row>
    <row r="14" spans="1:51" ht="15.75" x14ac:dyDescent="0.25">
      <c r="A14" s="420" t="s">
        <v>201</v>
      </c>
      <c r="B14" s="399" t="s">
        <v>1037</v>
      </c>
      <c r="C14" s="421" t="s">
        <v>213</v>
      </c>
      <c r="D14" s="707">
        <v>22320000</v>
      </c>
      <c r="E14" s="422">
        <f>+E15</f>
        <v>23820000</v>
      </c>
      <c r="F14" s="422">
        <f>+F15</f>
        <v>34271261</v>
      </c>
      <c r="G14" s="423">
        <f t="shared" si="1"/>
        <v>1.0672043010752688</v>
      </c>
      <c r="H14" s="424">
        <f>+H15</f>
        <v>20000000</v>
      </c>
      <c r="I14" s="424">
        <f>+I15</f>
        <v>20000000</v>
      </c>
      <c r="J14" s="424">
        <f>+J15</f>
        <v>20000000</v>
      </c>
      <c r="N14" s="1934"/>
      <c r="O14" s="1934"/>
      <c r="P14" s="1934"/>
      <c r="Q14" s="1934"/>
      <c r="R14" s="1934"/>
      <c r="S14" s="1934"/>
      <c r="T14" s="1934"/>
      <c r="U14" s="1934"/>
      <c r="V14" s="1934"/>
      <c r="W14" s="1934"/>
      <c r="X14" s="1934"/>
      <c r="Y14" s="1934"/>
      <c r="Z14" s="1934"/>
      <c r="AA14" s="1934"/>
      <c r="AB14" s="1934"/>
      <c r="AC14" s="1934"/>
      <c r="AD14" s="1934"/>
      <c r="AE14" s="1934"/>
      <c r="AF14" s="1934"/>
      <c r="AG14" s="1934"/>
      <c r="AH14" s="1934"/>
      <c r="AI14" s="1934"/>
      <c r="AJ14" s="1934"/>
      <c r="AK14" s="1934"/>
      <c r="AL14" s="1934"/>
      <c r="AM14" s="1934"/>
      <c r="AN14" s="1934"/>
      <c r="AO14" s="1934"/>
      <c r="AP14" s="1934"/>
      <c r="AQ14" s="1934"/>
      <c r="AR14" s="1934"/>
      <c r="AS14" s="1934"/>
      <c r="AT14" s="1934"/>
      <c r="AU14" s="1934"/>
      <c r="AV14" s="1934"/>
      <c r="AW14" s="1934"/>
      <c r="AX14" s="1934"/>
      <c r="AY14" s="1934"/>
    </row>
    <row r="15" spans="1:51" ht="15.75" x14ac:dyDescent="0.25">
      <c r="A15" s="420"/>
      <c r="B15" s="426" t="s">
        <v>124</v>
      </c>
      <c r="C15" s="421"/>
      <c r="D15" s="707">
        <v>22320000</v>
      </c>
      <c r="E15" s="428">
        <f>+'3. sz.Városi szintű összesen'!J19</f>
        <v>23820000</v>
      </c>
      <c r="F15" s="428">
        <f>+'3. sz.Városi szintű összesen'!K19</f>
        <v>34271261</v>
      </c>
      <c r="G15" s="423">
        <f t="shared" si="1"/>
        <v>1.0672043010752688</v>
      </c>
      <c r="H15" s="424">
        <v>20000000</v>
      </c>
      <c r="I15" s="424">
        <v>20000000</v>
      </c>
      <c r="J15" s="424">
        <v>20000000</v>
      </c>
      <c r="N15" s="1935"/>
      <c r="O15" s="1935"/>
      <c r="P15" s="1935"/>
      <c r="Q15" s="1935"/>
      <c r="R15" s="1935"/>
      <c r="S15" s="1935"/>
      <c r="T15" s="1935"/>
      <c r="U15" s="1935"/>
      <c r="V15" s="1935"/>
      <c r="W15" s="1935"/>
      <c r="X15" s="1935"/>
      <c r="Y15" s="1935"/>
      <c r="Z15" s="1935"/>
      <c r="AA15" s="1935"/>
      <c r="AB15" s="1935"/>
      <c r="AC15" s="1935"/>
      <c r="AD15" s="1935"/>
      <c r="AE15" s="1935"/>
      <c r="AF15" s="1935"/>
      <c r="AG15" s="1935"/>
      <c r="AH15" s="1935"/>
      <c r="AI15" s="1935"/>
      <c r="AJ15" s="1935"/>
      <c r="AK15" s="1935"/>
      <c r="AL15" s="1935"/>
      <c r="AM15" s="1935"/>
      <c r="AN15" s="1935"/>
      <c r="AO15" s="1935"/>
      <c r="AP15" s="1935"/>
      <c r="AQ15" s="1935"/>
      <c r="AR15" s="1935"/>
      <c r="AS15" s="1935"/>
      <c r="AT15" s="1935"/>
      <c r="AU15" s="433"/>
      <c r="AV15" s="433"/>
      <c r="AW15" s="433"/>
      <c r="AX15" s="433"/>
      <c r="AY15" s="434"/>
    </row>
    <row r="16" spans="1:51" s="120" customFormat="1" ht="15.75" x14ac:dyDescent="0.25">
      <c r="A16" s="420" t="s">
        <v>202</v>
      </c>
      <c r="B16" s="93" t="s">
        <v>242</v>
      </c>
      <c r="C16" s="1" t="s">
        <v>214</v>
      </c>
      <c r="D16" s="709">
        <f>+D4+D5+D6+D7+D12+D13+D14+D8</f>
        <v>8145918754</v>
      </c>
      <c r="E16" s="435">
        <f>+E4+E5+E6+E7+E12+E13+E14+E8</f>
        <v>10588502372</v>
      </c>
      <c r="F16" s="435">
        <f>+F4+F5+F6+F7+F12+F13+F14+F8</f>
        <v>12875159616</v>
      </c>
      <c r="G16" s="436">
        <f t="shared" si="1"/>
        <v>1.299853668047031</v>
      </c>
      <c r="H16" s="437">
        <f>+H4+H5+H6+H7+H8+H12+H13+H14</f>
        <v>10136957326.059</v>
      </c>
      <c r="I16" s="437">
        <f>+I4+I5+I6+I7+I8+I12+I13+I14</f>
        <v>10162199639.569294</v>
      </c>
      <c r="J16" s="437">
        <f>+J4+J5+J6+J7+J8+J12+J13+J14</f>
        <v>10183755637.212139</v>
      </c>
    </row>
    <row r="17" spans="1:11" s="431" customFormat="1" ht="15.75" x14ac:dyDescent="0.25">
      <c r="A17" s="425"/>
      <c r="B17" s="438" t="s">
        <v>1038</v>
      </c>
      <c r="C17" s="427"/>
      <c r="D17" s="708">
        <f>+D4+D5+D6+D7+D8</f>
        <v>7018073861</v>
      </c>
      <c r="E17" s="428">
        <f>+E4+E5+E6+E8+E7</f>
        <v>8502997555</v>
      </c>
      <c r="F17" s="428">
        <f>+F4+F5+F6+F8+F7</f>
        <v>10608686852</v>
      </c>
      <c r="G17" s="429">
        <f t="shared" si="1"/>
        <v>1.2115856463483292</v>
      </c>
      <c r="H17" s="430">
        <f>+H4+H5+H6+H7+H8</f>
        <v>8523385960.059</v>
      </c>
      <c r="I17" s="430">
        <f>+I4+I5+I6+I7+I8</f>
        <v>8663287128.569294</v>
      </c>
      <c r="J17" s="430">
        <f>+J4+J5+J6+J7+J8</f>
        <v>8701398564.2121391</v>
      </c>
    </row>
    <row r="18" spans="1:11" s="431" customFormat="1" ht="15.75" x14ac:dyDescent="0.25">
      <c r="A18" s="425"/>
      <c r="B18" s="438" t="s">
        <v>1039</v>
      </c>
      <c r="C18" s="427"/>
      <c r="D18" s="708">
        <f>+D12+D13+D14</f>
        <v>1127844893</v>
      </c>
      <c r="E18" s="428">
        <f>+E12+E13+E14</f>
        <v>2085504817</v>
      </c>
      <c r="F18" s="428">
        <f>+F12+F13+F14</f>
        <v>2266472764</v>
      </c>
      <c r="G18" s="429">
        <f t="shared" si="1"/>
        <v>1.8491060516776219</v>
      </c>
      <c r="H18" s="430">
        <f>+H12+H13+H14</f>
        <v>1613571366</v>
      </c>
      <c r="I18" s="430">
        <f>+I12+I13+I14</f>
        <v>1498912511</v>
      </c>
      <c r="J18" s="430">
        <f>+J12+J13+J14</f>
        <v>1482357073</v>
      </c>
      <c r="K18" s="439"/>
    </row>
    <row r="19" spans="1:11" s="120" customFormat="1" ht="15.75" x14ac:dyDescent="0.25">
      <c r="A19" s="8" t="s">
        <v>203</v>
      </c>
      <c r="B19" s="93" t="s">
        <v>227</v>
      </c>
      <c r="C19" s="1" t="s">
        <v>223</v>
      </c>
      <c r="D19" s="709">
        <f>SUM(D20:D24)</f>
        <v>3134746890</v>
      </c>
      <c r="E19" s="440">
        <f>SUM(E20:E24)</f>
        <v>3667488103</v>
      </c>
      <c r="F19" s="440">
        <f>SUM(F20:F24)</f>
        <v>4171512868</v>
      </c>
      <c r="G19" s="436">
        <f t="shared" si="1"/>
        <v>1.1699471222698941</v>
      </c>
      <c r="H19" s="437">
        <f>SUM(H20:H23)</f>
        <v>3686502006.3949995</v>
      </c>
      <c r="I19" s="437">
        <f>SUM(I20:I23)</f>
        <v>3704789516.4269743</v>
      </c>
      <c r="J19" s="437">
        <f>SUM(J20:J23)</f>
        <v>3723168464.0091085</v>
      </c>
    </row>
    <row r="20" spans="1:11" s="431" customFormat="1" ht="15.75" x14ac:dyDescent="0.25">
      <c r="A20" s="425"/>
      <c r="B20" s="441" t="s">
        <v>1016</v>
      </c>
      <c r="C20" s="427"/>
      <c r="D20" s="708">
        <v>62766147</v>
      </c>
      <c r="E20" s="428">
        <f>+'3. sz.Városi szintű összesen'!J22</f>
        <v>63513436</v>
      </c>
      <c r="F20" s="428">
        <f>+'3. sz.Városi szintű összesen'!K22</f>
        <v>358581965</v>
      </c>
      <c r="G20" s="429">
        <v>0</v>
      </c>
      <c r="H20" s="430">
        <f>E20*1.005</f>
        <v>63831003.179999992</v>
      </c>
      <c r="I20" s="430">
        <f t="shared" ref="I20:J22" si="2">H20*1.005</f>
        <v>64150158.195899986</v>
      </c>
      <c r="J20" s="430">
        <f t="shared" si="2"/>
        <v>64470908.986879475</v>
      </c>
    </row>
    <row r="21" spans="1:11" s="431" customFormat="1" ht="15.75" x14ac:dyDescent="0.25">
      <c r="A21" s="425"/>
      <c r="B21" s="438" t="s">
        <v>1040</v>
      </c>
      <c r="C21" s="427"/>
      <c r="D21" s="708">
        <v>2989846329</v>
      </c>
      <c r="E21" s="428">
        <f>+'3. sz.Városi szintű összesen'!J23</f>
        <v>3513510223</v>
      </c>
      <c r="F21" s="428">
        <f>+'3. sz.Városi szintű összesen'!K23</f>
        <v>3686246941</v>
      </c>
      <c r="G21" s="429">
        <f>E21/D21</f>
        <v>1.1751474277860787</v>
      </c>
      <c r="H21" s="430">
        <f>E21*1.005</f>
        <v>3531077774.1149998</v>
      </c>
      <c r="I21" s="430">
        <f t="shared" si="2"/>
        <v>3548733162.9855742</v>
      </c>
      <c r="J21" s="430">
        <f t="shared" si="2"/>
        <v>3566476828.8005018</v>
      </c>
    </row>
    <row r="22" spans="1:11" s="431" customFormat="1" ht="15.75" x14ac:dyDescent="0.25">
      <c r="A22" s="425"/>
      <c r="B22" s="438" t="s">
        <v>1041</v>
      </c>
      <c r="C22" s="427"/>
      <c r="D22" s="708">
        <v>53951790</v>
      </c>
      <c r="E22" s="428">
        <f>+'3. sz.Városi szintű összesen'!J24</f>
        <v>62281820</v>
      </c>
      <c r="F22" s="428">
        <f>+'3. sz.Városi szintű összesen'!K24</f>
        <v>98501338</v>
      </c>
      <c r="G22" s="429">
        <f>E22/D22</f>
        <v>1.1543976576124722</v>
      </c>
      <c r="H22" s="430">
        <f>E22*1.005</f>
        <v>62593229.099999994</v>
      </c>
      <c r="I22" s="430">
        <f t="shared" si="2"/>
        <v>62906195.245499991</v>
      </c>
      <c r="J22" s="430">
        <f t="shared" si="2"/>
        <v>63220726.221727483</v>
      </c>
    </row>
    <row r="23" spans="1:11" s="431" customFormat="1" ht="15.75" x14ac:dyDescent="0.25">
      <c r="A23" s="425"/>
      <c r="B23" s="438" t="s">
        <v>1042</v>
      </c>
      <c r="C23" s="427"/>
      <c r="D23" s="708">
        <v>28182624</v>
      </c>
      <c r="E23" s="428">
        <f>+'3. sz.Városi szintű összesen'!J25</f>
        <v>28182624</v>
      </c>
      <c r="F23" s="428">
        <f>+'3. sz.Városi szintű összesen'!K25</f>
        <v>28182624</v>
      </c>
      <c r="G23" s="429">
        <f>E23/D23</f>
        <v>1</v>
      </c>
      <c r="H23" s="430">
        <v>29000000</v>
      </c>
      <c r="I23" s="430">
        <v>29000000</v>
      </c>
      <c r="J23" s="430">
        <v>29000000</v>
      </c>
    </row>
    <row r="24" spans="1:11" s="431" customFormat="1" ht="15.75" x14ac:dyDescent="0.25">
      <c r="A24" s="425"/>
      <c r="B24" s="438" t="s">
        <v>1043</v>
      </c>
      <c r="C24" s="427"/>
      <c r="D24" s="708">
        <v>0</v>
      </c>
      <c r="E24" s="428">
        <f>+'3. sz.Városi szintű összesen'!J26</f>
        <v>0</v>
      </c>
      <c r="F24" s="428">
        <f>+'3. sz.Városi szintű összesen'!K26</f>
        <v>0</v>
      </c>
      <c r="G24" s="429">
        <v>0</v>
      </c>
      <c r="H24" s="428">
        <v>0</v>
      </c>
      <c r="I24" s="428">
        <v>0</v>
      </c>
      <c r="J24" s="428">
        <v>0</v>
      </c>
    </row>
    <row r="25" spans="1:11" s="120" customFormat="1" ht="15.75" x14ac:dyDescent="0.25">
      <c r="A25" s="8" t="s">
        <v>204</v>
      </c>
      <c r="B25" s="48" t="s">
        <v>32</v>
      </c>
      <c r="C25" s="1"/>
      <c r="D25" s="709">
        <f>+D17+D21+D20+D24</f>
        <v>10070686337</v>
      </c>
      <c r="E25" s="440">
        <f>+E4+E5+E6+E7+E8+E20+E21+E24</f>
        <v>12080021214</v>
      </c>
      <c r="F25" s="440">
        <f>+F4+F5+F6+F7+F8+F20+F21+F24</f>
        <v>14653515758</v>
      </c>
      <c r="G25" s="436">
        <f>E25/D25</f>
        <v>1.1995231317668633</v>
      </c>
      <c r="H25" s="437">
        <f>+H4+H5+H6+H7+H8+H21</f>
        <v>12054463734.174</v>
      </c>
      <c r="I25" s="437">
        <f>+I4+I5+I6+I7+I8+I21</f>
        <v>12212020291.554869</v>
      </c>
      <c r="J25" s="437">
        <f>+J4+J5+J6+J7+J8+J21</f>
        <v>12267875393.012642</v>
      </c>
    </row>
    <row r="26" spans="1:11" s="120" customFormat="1" ht="15.75" x14ac:dyDescent="0.25">
      <c r="A26" s="8" t="s">
        <v>231</v>
      </c>
      <c r="B26" s="48" t="s">
        <v>33</v>
      </c>
      <c r="C26" s="1"/>
      <c r="D26" s="709">
        <f>+D18+D22+D23</f>
        <v>1209979307</v>
      </c>
      <c r="E26" s="440">
        <f>+E18+E22+E23</f>
        <v>2175969261</v>
      </c>
      <c r="F26" s="440">
        <f>+F18+F22+F23</f>
        <v>2393156726</v>
      </c>
      <c r="G26" s="436">
        <f t="shared" ref="G26:G42" si="3">E26/D26</f>
        <v>1.7983524581053021</v>
      </c>
      <c r="H26" s="437">
        <f>+H12+H13+H14+H22+H23</f>
        <v>1705164595.0999999</v>
      </c>
      <c r="I26" s="437">
        <f>+I12+I13+I14+I22+I23</f>
        <v>1590818706.2455001</v>
      </c>
      <c r="J26" s="437">
        <f>+J12+J13+J14+J22+J23</f>
        <v>1574577799.2217274</v>
      </c>
    </row>
    <row r="27" spans="1:11" s="120" customFormat="1" ht="15.75" x14ac:dyDescent="0.25">
      <c r="A27" s="442" t="s">
        <v>232</v>
      </c>
      <c r="B27" s="443" t="s">
        <v>333</v>
      </c>
      <c r="C27" s="444" t="s">
        <v>31</v>
      </c>
      <c r="D27" s="445">
        <f>+D25+D26</f>
        <v>11280665644</v>
      </c>
      <c r="E27" s="445">
        <f>+E25+E26</f>
        <v>14255990475</v>
      </c>
      <c r="F27" s="445">
        <f>+F25+F26</f>
        <v>17046672484</v>
      </c>
      <c r="G27" s="646">
        <f>E27/D27</f>
        <v>1.263754367419136</v>
      </c>
      <c r="H27" s="445">
        <f>+H25+H26</f>
        <v>13759628329.274</v>
      </c>
      <c r="I27" s="445">
        <f>+I25+I26</f>
        <v>13802838997.800369</v>
      </c>
      <c r="J27" s="445">
        <f>+J25+J26</f>
        <v>13842453192.234369</v>
      </c>
    </row>
    <row r="28" spans="1:11" ht="15.75" x14ac:dyDescent="0.25">
      <c r="A28" s="420" t="s">
        <v>233</v>
      </c>
      <c r="B28" s="395" t="s">
        <v>52</v>
      </c>
      <c r="C28" s="432" t="s">
        <v>215</v>
      </c>
      <c r="D28" s="707">
        <v>1656698953</v>
      </c>
      <c r="E28" s="422">
        <f>+'3. sz.Városi szintű összesen'!J30</f>
        <v>1822145963</v>
      </c>
      <c r="F28" s="422">
        <f>+'3. sz.Városi szintű összesen'!K30</f>
        <v>2690598608</v>
      </c>
      <c r="G28" s="423">
        <f t="shared" si="3"/>
        <v>1.0998654642114691</v>
      </c>
      <c r="H28" s="424">
        <v>1850000000</v>
      </c>
      <c r="I28" s="424">
        <v>1850000000</v>
      </c>
      <c r="J28" s="424">
        <v>1850000000</v>
      </c>
    </row>
    <row r="29" spans="1:11" ht="15.75" x14ac:dyDescent="0.25">
      <c r="A29" s="420" t="s">
        <v>234</v>
      </c>
      <c r="B29" s="395" t="s">
        <v>226</v>
      </c>
      <c r="C29" s="432" t="s">
        <v>216</v>
      </c>
      <c r="D29" s="707">
        <v>0</v>
      </c>
      <c r="E29" s="422">
        <f>+'3. sz.Városi szintű összesen'!J31</f>
        <v>0</v>
      </c>
      <c r="F29" s="422">
        <f>+'3. sz.Városi szintű összesen'!K31</f>
        <v>54255209</v>
      </c>
      <c r="G29" s="423">
        <v>0</v>
      </c>
      <c r="H29" s="424"/>
      <c r="I29" s="424">
        <v>0</v>
      </c>
      <c r="J29" s="424">
        <v>0</v>
      </c>
    </row>
    <row r="30" spans="1:11" ht="15.75" x14ac:dyDescent="0.25">
      <c r="A30" s="420" t="s">
        <v>235</v>
      </c>
      <c r="B30" s="395" t="s">
        <v>1044</v>
      </c>
      <c r="C30" s="432" t="s">
        <v>217</v>
      </c>
      <c r="D30" s="707">
        <v>3823624585</v>
      </c>
      <c r="E30" s="422">
        <f>+'3. sz.Városi szintű összesen'!J32</f>
        <v>3873339111</v>
      </c>
      <c r="F30" s="422">
        <f>+'3. sz.Városi szintű összesen'!K32</f>
        <v>4723504433</v>
      </c>
      <c r="G30" s="423">
        <f t="shared" si="3"/>
        <v>1.0130019370089389</v>
      </c>
      <c r="H30" s="424">
        <v>4000000000</v>
      </c>
      <c r="I30" s="424">
        <v>4000000000</v>
      </c>
      <c r="J30" s="424">
        <v>4000000000</v>
      </c>
    </row>
    <row r="31" spans="1:11" ht="15.75" x14ac:dyDescent="0.25">
      <c r="A31" s="420" t="s">
        <v>236</v>
      </c>
      <c r="B31" s="399" t="s">
        <v>0</v>
      </c>
      <c r="C31" s="432" t="s">
        <v>218</v>
      </c>
      <c r="D31" s="707">
        <v>420797576</v>
      </c>
      <c r="E31" s="422">
        <f>+'3. sz.Városi szintű összesen'!J33</f>
        <v>737715821</v>
      </c>
      <c r="F31" s="422">
        <f>+'3. sz.Városi szintű összesen'!K33</f>
        <v>884721530</v>
      </c>
      <c r="G31" s="423">
        <f t="shared" si="3"/>
        <v>1.7531370499149452</v>
      </c>
      <c r="H31" s="424">
        <f>E31*1.005</f>
        <v>741404400.1049999</v>
      </c>
      <c r="I31" s="424">
        <f>H31*1.005</f>
        <v>745111422.10552478</v>
      </c>
      <c r="J31" s="424">
        <f>I31*1.005</f>
        <v>748836979.21605229</v>
      </c>
    </row>
    <row r="32" spans="1:11" ht="15.75" x14ac:dyDescent="0.25">
      <c r="A32" s="420" t="s">
        <v>237</v>
      </c>
      <c r="B32" s="395" t="s">
        <v>248</v>
      </c>
      <c r="C32" s="432" t="s">
        <v>219</v>
      </c>
      <c r="D32" s="707">
        <v>62752000</v>
      </c>
      <c r="E32" s="422">
        <f>+'3. sz.Városi szintű összesen'!J34</f>
        <v>720079203</v>
      </c>
      <c r="F32" s="422">
        <f>+'3. sz.Városi szintű összesen'!K34</f>
        <v>741978797</v>
      </c>
      <c r="G32" s="423">
        <f t="shared" si="3"/>
        <v>11.47500004780724</v>
      </c>
      <c r="H32" s="424">
        <v>30000000</v>
      </c>
      <c r="I32" s="424">
        <v>30000000</v>
      </c>
      <c r="J32" s="424">
        <v>30000000</v>
      </c>
    </row>
    <row r="33" spans="1:16" ht="15.75" x14ac:dyDescent="0.25">
      <c r="A33" s="420" t="s">
        <v>238</v>
      </c>
      <c r="B33" s="395" t="s">
        <v>243</v>
      </c>
      <c r="C33" s="432" t="s">
        <v>220</v>
      </c>
      <c r="D33" s="707">
        <v>0</v>
      </c>
      <c r="E33" s="422">
        <f>+'3. sz.Városi szintű összesen'!J35</f>
        <v>0</v>
      </c>
      <c r="F33" s="422">
        <f>+'3. sz.Városi szintű összesen'!K35</f>
        <v>295000</v>
      </c>
      <c r="G33" s="423">
        <v>0</v>
      </c>
      <c r="H33" s="424">
        <v>0</v>
      </c>
      <c r="I33" s="424">
        <v>0</v>
      </c>
      <c r="J33" s="424">
        <v>0</v>
      </c>
    </row>
    <row r="34" spans="1:16" ht="15.75" x14ac:dyDescent="0.25">
      <c r="A34" s="420" t="s">
        <v>239</v>
      </c>
      <c r="B34" s="395" t="s">
        <v>1045</v>
      </c>
      <c r="C34" s="432" t="s">
        <v>221</v>
      </c>
      <c r="D34" s="707">
        <v>4974400</v>
      </c>
      <c r="E34" s="422">
        <f>+'3. sz.Városi szintű összesen'!J36</f>
        <v>6587200</v>
      </c>
      <c r="F34" s="422">
        <f>+'3. sz.Városi szintű összesen'!K36</f>
        <v>9541550</v>
      </c>
      <c r="G34" s="423">
        <f t="shared" si="3"/>
        <v>1.3242200064329366</v>
      </c>
      <c r="H34" s="424">
        <f t="shared" ref="H34:H43" si="4">E34*1.005</f>
        <v>6620135.9999999991</v>
      </c>
      <c r="I34" s="424">
        <f>H34*1.005</f>
        <v>6653236.6799999988</v>
      </c>
      <c r="J34" s="424">
        <f>I34*1.005</f>
        <v>6686502.8633999983</v>
      </c>
    </row>
    <row r="35" spans="1:16" s="120" customFormat="1" ht="15.75" x14ac:dyDescent="0.25">
      <c r="A35" s="8" t="s">
        <v>266</v>
      </c>
      <c r="B35" s="91" t="s">
        <v>245</v>
      </c>
      <c r="C35" s="93" t="s">
        <v>222</v>
      </c>
      <c r="D35" s="709">
        <f>SUM(D28:D34)</f>
        <v>5968847514</v>
      </c>
      <c r="E35" s="440">
        <f>SUM(E36:E37)</f>
        <v>7159867298</v>
      </c>
      <c r="F35" s="440">
        <f>SUM(F36:F37)</f>
        <v>9104895127</v>
      </c>
      <c r="G35" s="436">
        <f t="shared" si="3"/>
        <v>1.1995393216540462</v>
      </c>
      <c r="H35" s="437">
        <f>SUM(H28:H34)</f>
        <v>6628024536.1049995</v>
      </c>
      <c r="I35" s="437">
        <f>SUM(I28:I34)</f>
        <v>6631764658.7855253</v>
      </c>
      <c r="J35" s="437">
        <f>SUM(J28:J34)</f>
        <v>6635523482.0794525</v>
      </c>
    </row>
    <row r="36" spans="1:16" s="431" customFormat="1" ht="15.75" x14ac:dyDescent="0.25">
      <c r="A36" s="446"/>
      <c r="B36" s="426" t="s">
        <v>1046</v>
      </c>
      <c r="C36" s="438"/>
      <c r="D36" s="708">
        <f>+D28+D30+D31+D33</f>
        <v>5901121114</v>
      </c>
      <c r="E36" s="428">
        <f>+E28+E30+E31+E33</f>
        <v>6433200895</v>
      </c>
      <c r="F36" s="428">
        <f>+F28+F30+F31+F33</f>
        <v>8299119571</v>
      </c>
      <c r="G36" s="429">
        <f t="shared" si="3"/>
        <v>1.0901658804693362</v>
      </c>
      <c r="H36" s="430">
        <f>+H28+H30+H31+H33</f>
        <v>6591404400.1049995</v>
      </c>
      <c r="I36" s="430">
        <f>+I28+I30+I31+I33</f>
        <v>6595111422.105525</v>
      </c>
      <c r="J36" s="430">
        <f>+J28+J30+J31+J33</f>
        <v>6598836979.2160521</v>
      </c>
    </row>
    <row r="37" spans="1:16" s="431" customFormat="1" ht="15.75" x14ac:dyDescent="0.25">
      <c r="A37" s="446"/>
      <c r="B37" s="426" t="s">
        <v>1047</v>
      </c>
      <c r="C37" s="438"/>
      <c r="D37" s="708">
        <f>+D29+D32+D34</f>
        <v>67726400</v>
      </c>
      <c r="E37" s="428">
        <f>+E29+E32+E34</f>
        <v>726666403</v>
      </c>
      <c r="F37" s="428">
        <f>+F29+F32+F34</f>
        <v>805775556</v>
      </c>
      <c r="G37" s="429">
        <f t="shared" si="3"/>
        <v>10.729440853197572</v>
      </c>
      <c r="H37" s="430">
        <f>+H29+H32+H34</f>
        <v>36620136</v>
      </c>
      <c r="I37" s="430">
        <f>+I29+I32+I34</f>
        <v>36653236.68</v>
      </c>
      <c r="J37" s="430">
        <f>+J29+J32+J34</f>
        <v>36686502.863399997</v>
      </c>
      <c r="K37" s="439"/>
      <c r="L37" s="439">
        <f>+H27-H48</f>
        <v>0.28400039672851563</v>
      </c>
    </row>
    <row r="38" spans="1:16" s="120" customFormat="1" ht="15.75" x14ac:dyDescent="0.25">
      <c r="A38" s="8" t="s">
        <v>267</v>
      </c>
      <c r="B38" s="93" t="s">
        <v>246</v>
      </c>
      <c r="C38" s="1" t="s">
        <v>224</v>
      </c>
      <c r="D38" s="709">
        <f>SUM(D39:D45)</f>
        <v>5311818130</v>
      </c>
      <c r="E38" s="440">
        <f>SUM(E39:E45)</f>
        <v>7096123177</v>
      </c>
      <c r="F38" s="440">
        <f>SUM(F39:F45)</f>
        <v>7941777357</v>
      </c>
      <c r="G38" s="436">
        <f t="shared" si="3"/>
        <v>1.3359123003332194</v>
      </c>
      <c r="H38" s="437">
        <f>+H39+H40+H41+H42+H43</f>
        <v>7131603792.8850002</v>
      </c>
      <c r="I38" s="437">
        <f>+I39+I40+I41+I42+I43</f>
        <v>7171074338.8494234</v>
      </c>
      <c r="J38" s="437">
        <f>+J39+J40+J41+J42+J43</f>
        <v>7206929710.5436687</v>
      </c>
      <c r="P38" s="447">
        <f>+H27-H48</f>
        <v>0.28400039672851563</v>
      </c>
    </row>
    <row r="39" spans="1:16" s="431" customFormat="1" ht="15" customHeight="1" x14ac:dyDescent="0.25">
      <c r="A39" s="425"/>
      <c r="B39" s="438" t="s">
        <v>1048</v>
      </c>
      <c r="C39" s="427"/>
      <c r="D39" s="708">
        <v>1410758710</v>
      </c>
      <c r="E39" s="428">
        <f>+'3. sz.Városi szintű összesen'!J40</f>
        <v>2257836308</v>
      </c>
      <c r="F39" s="428">
        <f>+'3. sz.Városi szintű összesen'!K40</f>
        <v>2417169015</v>
      </c>
      <c r="G39" s="429">
        <f>E39/D39</f>
        <v>1.6004411611961624</v>
      </c>
      <c r="H39" s="430">
        <f t="shared" si="4"/>
        <v>2269125489.54</v>
      </c>
      <c r="I39" s="430">
        <f>H39*1.005</f>
        <v>2280471116.9876995</v>
      </c>
      <c r="J39" s="430">
        <f>I39*1.005</f>
        <v>2291873472.5726376</v>
      </c>
    </row>
    <row r="40" spans="1:16" s="431" customFormat="1" ht="15.75" x14ac:dyDescent="0.25">
      <c r="A40" s="425"/>
      <c r="B40" s="438" t="s">
        <v>1049</v>
      </c>
      <c r="C40" s="427"/>
      <c r="D40" s="708">
        <v>857261301</v>
      </c>
      <c r="E40" s="428">
        <f>+'3. sz.Városi szintű összesen'!J41</f>
        <v>1262494826</v>
      </c>
      <c r="F40" s="428">
        <f>+'3. sz.Városi szintű összesen'!K41</f>
        <v>1372755016</v>
      </c>
      <c r="G40" s="429">
        <f t="shared" si="3"/>
        <v>1.4727071250356139</v>
      </c>
      <c r="H40" s="430">
        <f t="shared" si="4"/>
        <v>1268807300.1299999</v>
      </c>
      <c r="I40" s="430">
        <f>H40*1.005</f>
        <v>1275151336.6306498</v>
      </c>
      <c r="J40" s="430">
        <f>I40*1.005</f>
        <v>1281527093.313803</v>
      </c>
    </row>
    <row r="41" spans="1:16" s="431" customFormat="1" ht="15.75" x14ac:dyDescent="0.25">
      <c r="A41" s="425"/>
      <c r="B41" s="438" t="s">
        <v>1050</v>
      </c>
      <c r="C41" s="427"/>
      <c r="D41" s="708">
        <v>2989846329</v>
      </c>
      <c r="E41" s="428">
        <f>+'3. sz.Városi szintű összesen'!J42</f>
        <v>3513510223</v>
      </c>
      <c r="F41" s="428">
        <f>+'3. sz.Városi szintű összesen'!K42</f>
        <v>3686246941</v>
      </c>
      <c r="G41" s="429">
        <f t="shared" si="3"/>
        <v>1.1751474277860787</v>
      </c>
      <c r="H41" s="430">
        <f t="shared" si="4"/>
        <v>3531077774.1149998</v>
      </c>
      <c r="I41" s="430">
        <f>H41*1.005+3812527</f>
        <v>3552545689.9855742</v>
      </c>
      <c r="J41" s="430">
        <f>I41*1.005</f>
        <v>3570308418.4355016</v>
      </c>
    </row>
    <row r="42" spans="1:16" s="431" customFormat="1" ht="15.75" x14ac:dyDescent="0.25">
      <c r="A42" s="425"/>
      <c r="B42" s="438" t="s">
        <v>1051</v>
      </c>
      <c r="C42" s="427"/>
      <c r="D42" s="708">
        <v>53951790</v>
      </c>
      <c r="E42" s="428">
        <f>+'3. sz.Városi szintű összesen'!J43</f>
        <v>62281820</v>
      </c>
      <c r="F42" s="428">
        <f>+'3. sz.Városi szintű összesen'!K43</f>
        <v>98501338</v>
      </c>
      <c r="G42" s="429">
        <f t="shared" si="3"/>
        <v>1.1543976576124722</v>
      </c>
      <c r="H42" s="430">
        <f t="shared" si="4"/>
        <v>62593229.099999994</v>
      </c>
      <c r="I42" s="430">
        <f>H42*1.005</f>
        <v>62906195.245499991</v>
      </c>
      <c r="J42" s="430">
        <f>I42*1.005</f>
        <v>63220726.221727483</v>
      </c>
      <c r="M42" s="439">
        <f>+H27-H48</f>
        <v>0.28400039672851563</v>
      </c>
    </row>
    <row r="43" spans="1:16" s="431" customFormat="1" ht="15.75" x14ac:dyDescent="0.25">
      <c r="A43" s="425"/>
      <c r="B43" s="438" t="s">
        <v>1052</v>
      </c>
      <c r="C43" s="427"/>
      <c r="D43" s="708">
        <v>0</v>
      </c>
      <c r="E43" s="428">
        <f>+'3. sz.Városi szintű összesen'!J44</f>
        <v>0</v>
      </c>
      <c r="F43" s="428">
        <f>+'3. sz.Városi szintű összesen'!K44</f>
        <v>0</v>
      </c>
      <c r="G43" s="429">
        <v>0</v>
      </c>
      <c r="H43" s="430">
        <f t="shared" si="4"/>
        <v>0</v>
      </c>
      <c r="I43" s="430">
        <f>H43*1.005</f>
        <v>0</v>
      </c>
      <c r="J43" s="430">
        <f>I43*1.005</f>
        <v>0</v>
      </c>
      <c r="L43" s="439">
        <f>+I27-I48</f>
        <v>0.1654205322265625</v>
      </c>
    </row>
    <row r="44" spans="1:16" s="431" customFormat="1" ht="15.75" x14ac:dyDescent="0.25">
      <c r="A44" s="425"/>
      <c r="B44" s="438" t="s">
        <v>1053</v>
      </c>
      <c r="C44" s="427"/>
      <c r="D44" s="708">
        <v>0</v>
      </c>
      <c r="E44" s="428">
        <f>+'3. sz.Városi szintű összesen'!J45</f>
        <v>0</v>
      </c>
      <c r="F44" s="428">
        <f>+'3. sz.Városi szintű összesen'!K45</f>
        <v>0</v>
      </c>
      <c r="G44" s="429"/>
      <c r="H44" s="428">
        <v>0</v>
      </c>
      <c r="I44" s="428">
        <v>0</v>
      </c>
      <c r="J44" s="428">
        <v>0</v>
      </c>
      <c r="L44" s="439"/>
    </row>
    <row r="45" spans="1:16" s="431" customFormat="1" ht="15.75" x14ac:dyDescent="0.25">
      <c r="A45" s="425"/>
      <c r="B45" s="438" t="s">
        <v>1054</v>
      </c>
      <c r="C45" s="427"/>
      <c r="D45" s="708">
        <v>0</v>
      </c>
      <c r="E45" s="428">
        <f>+'3. sz.Városi szintű összesen'!J39</f>
        <v>0</v>
      </c>
      <c r="F45" s="428">
        <f>+'3. sz.Városi szintű összesen'!K39</f>
        <v>367105047</v>
      </c>
      <c r="G45" s="429"/>
      <c r="H45" s="428"/>
      <c r="I45" s="428"/>
      <c r="J45" s="428"/>
      <c r="L45" s="439"/>
    </row>
    <row r="46" spans="1:16" s="120" customFormat="1" ht="15.75" x14ac:dyDescent="0.25">
      <c r="A46" s="8" t="s">
        <v>268</v>
      </c>
      <c r="B46" s="48" t="s">
        <v>112</v>
      </c>
      <c r="C46" s="1"/>
      <c r="D46" s="709">
        <f>+D36+D39+D41+D44</f>
        <v>10301726153</v>
      </c>
      <c r="E46" s="440">
        <f>+E36+E39+E41+E44+E45</f>
        <v>12204547426</v>
      </c>
      <c r="F46" s="440">
        <f>+F36+F39+F41+F44+F45</f>
        <v>14769640574</v>
      </c>
      <c r="G46" s="436">
        <f>E46/D46</f>
        <v>1.1847089744708339</v>
      </c>
      <c r="H46" s="437">
        <f>+H28+H30+H31+H33+H39+H41</f>
        <v>12391607663.76</v>
      </c>
      <c r="I46" s="437">
        <f>+I28+I30+I31+I33+I39+I41</f>
        <v>12428128229.078798</v>
      </c>
      <c r="J46" s="437">
        <f>+J28+J30+J31+J33+J39+J41</f>
        <v>12461018870.22419</v>
      </c>
    </row>
    <row r="47" spans="1:16" s="120" customFormat="1" ht="15.75" x14ac:dyDescent="0.25">
      <c r="A47" s="8" t="s">
        <v>269</v>
      </c>
      <c r="B47" s="48" t="s">
        <v>113</v>
      </c>
      <c r="C47" s="1"/>
      <c r="D47" s="709">
        <f>+D37+D40+D42+D43</f>
        <v>978939491</v>
      </c>
      <c r="E47" s="440">
        <f>+E37+E40+E42</f>
        <v>2051443049</v>
      </c>
      <c r="F47" s="440">
        <f>+F37+F40+F42</f>
        <v>2277031910</v>
      </c>
      <c r="G47" s="436">
        <f>E47/D47</f>
        <v>2.0955769665645247</v>
      </c>
      <c r="H47" s="437">
        <f>+H29+H32+H34+H40+H42</f>
        <v>1368020665.2299998</v>
      </c>
      <c r="I47" s="437">
        <f>+I29+I32+I34+I40+I42</f>
        <v>1374710768.55615</v>
      </c>
      <c r="J47" s="437">
        <f>+J29+J32+J34+J40+J42</f>
        <v>1381434322.3989303</v>
      </c>
      <c r="M47" s="447">
        <f>+H27-H48</f>
        <v>0.28400039672851563</v>
      </c>
    </row>
    <row r="48" spans="1:16" s="120" customFormat="1" ht="15.75" x14ac:dyDescent="0.25">
      <c r="A48" s="442" t="s">
        <v>270</v>
      </c>
      <c r="B48" s="443" t="s">
        <v>334</v>
      </c>
      <c r="C48" s="444" t="s">
        <v>894</v>
      </c>
      <c r="D48" s="445">
        <f>+D46+D47</f>
        <v>11280665644</v>
      </c>
      <c r="E48" s="445">
        <f>+E46+E47</f>
        <v>14255990475</v>
      </c>
      <c r="F48" s="445">
        <f>+F46+F47</f>
        <v>17046672484</v>
      </c>
      <c r="G48" s="646">
        <f>E48/D48</f>
        <v>1.263754367419136</v>
      </c>
      <c r="H48" s="445">
        <f>+H46+H47</f>
        <v>13759628328.99</v>
      </c>
      <c r="I48" s="445">
        <f>+I46+I47</f>
        <v>13802838997.634949</v>
      </c>
      <c r="J48" s="445">
        <f>+J46+J47</f>
        <v>13842453192.623119</v>
      </c>
      <c r="L48" s="447">
        <f>+J27-J48</f>
        <v>-0.38875007629394531</v>
      </c>
    </row>
    <row r="49" spans="1:12" s="120" customFormat="1" ht="15.75" x14ac:dyDescent="0.25">
      <c r="A49" s="448"/>
      <c r="B49" s="409"/>
      <c r="C49" s="449"/>
      <c r="D49" s="710"/>
      <c r="E49" s="450"/>
      <c r="F49" s="450"/>
      <c r="G49" s="451"/>
      <c r="H49" s="450"/>
      <c r="I49" s="450"/>
      <c r="J49" s="450"/>
      <c r="L49" s="447"/>
    </row>
    <row r="50" spans="1:12" s="120" customFormat="1" ht="18.75" customHeight="1" x14ac:dyDescent="0.25">
      <c r="A50" s="448"/>
      <c r="B50" s="1930" t="s">
        <v>1025</v>
      </c>
      <c r="C50" s="1930"/>
      <c r="D50" s="1930"/>
      <c r="E50" s="450">
        <f>E36</f>
        <v>6433200895</v>
      </c>
      <c r="F50" s="450">
        <f>F36</f>
        <v>8299119571</v>
      </c>
      <c r="G50" s="452"/>
      <c r="H50" s="450">
        <f>+H48-H27</f>
        <v>-0.28400039672851563</v>
      </c>
      <c r="I50" s="450">
        <f>+I48-I27</f>
        <v>-0.1654205322265625</v>
      </c>
      <c r="J50" s="450">
        <f>+J48-J27</f>
        <v>0.38875007629394531</v>
      </c>
      <c r="K50" s="450"/>
    </row>
    <row r="51" spans="1:12" s="120" customFormat="1" ht="18.75" customHeight="1" x14ac:dyDescent="0.25">
      <c r="A51" s="448"/>
      <c r="B51" s="1930" t="s">
        <v>1026</v>
      </c>
      <c r="C51" s="1930"/>
      <c r="D51" s="1930"/>
      <c r="E51" s="450">
        <f>E17</f>
        <v>8502997555</v>
      </c>
      <c r="F51" s="450">
        <f>F17</f>
        <v>10608686852</v>
      </c>
      <c r="G51" s="452"/>
      <c r="H51" s="450"/>
      <c r="I51" s="450"/>
      <c r="J51" s="450"/>
      <c r="K51" s="447"/>
    </row>
    <row r="52" spans="1:12" s="120" customFormat="1" ht="18.75" customHeight="1" x14ac:dyDescent="0.25">
      <c r="A52" s="448"/>
      <c r="B52" s="1930" t="s">
        <v>1027</v>
      </c>
      <c r="C52" s="1930"/>
      <c r="D52" s="1930"/>
      <c r="E52" s="450">
        <f>E50-E51</f>
        <v>-2069796660</v>
      </c>
      <c r="F52" s="450">
        <f>F50-F51</f>
        <v>-2309567281</v>
      </c>
      <c r="G52" s="452"/>
      <c r="H52" s="450"/>
      <c r="I52" s="450"/>
      <c r="J52" s="450"/>
    </row>
    <row r="53" spans="1:12" s="120" customFormat="1" ht="18.75" customHeight="1" x14ac:dyDescent="0.25">
      <c r="A53" s="448"/>
      <c r="B53" s="409"/>
      <c r="C53" s="409"/>
      <c r="D53" s="409"/>
      <c r="E53" s="450"/>
      <c r="F53" s="450"/>
      <c r="G53" s="452"/>
      <c r="H53" s="450"/>
      <c r="I53" s="450"/>
      <c r="J53" s="450"/>
      <c r="L53" s="447">
        <f>+I27-I48</f>
        <v>0.1654205322265625</v>
      </c>
    </row>
    <row r="54" spans="1:12" s="120" customFormat="1" ht="18.75" customHeight="1" x14ac:dyDescent="0.25">
      <c r="A54" s="448"/>
      <c r="B54" s="1930" t="s">
        <v>1028</v>
      </c>
      <c r="C54" s="1930"/>
      <c r="D54" s="1930"/>
      <c r="E54" s="450">
        <f>E37</f>
        <v>726666403</v>
      </c>
      <c r="F54" s="450">
        <f>F37</f>
        <v>805775556</v>
      </c>
      <c r="G54" s="452"/>
      <c r="H54" s="450"/>
      <c r="I54" s="450"/>
      <c r="J54" s="450"/>
    </row>
    <row r="55" spans="1:12" s="120" customFormat="1" ht="18.75" customHeight="1" x14ac:dyDescent="0.25">
      <c r="A55" s="448"/>
      <c r="B55" s="1930" t="s">
        <v>1029</v>
      </c>
      <c r="C55" s="1930"/>
      <c r="D55" s="1930"/>
      <c r="E55" s="450">
        <f>E18</f>
        <v>2085504817</v>
      </c>
      <c r="F55" s="450">
        <f>F18</f>
        <v>2266472764</v>
      </c>
      <c r="G55" s="452"/>
      <c r="H55" s="450"/>
      <c r="I55" s="450"/>
      <c r="J55" s="450"/>
    </row>
    <row r="56" spans="1:12" s="120" customFormat="1" ht="18.75" customHeight="1" x14ac:dyDescent="0.25">
      <c r="A56" s="448"/>
      <c r="B56" s="1930" t="s">
        <v>1030</v>
      </c>
      <c r="C56" s="1930"/>
      <c r="D56" s="1930"/>
      <c r="E56" s="450">
        <f>E54-E55</f>
        <v>-1358838414</v>
      </c>
      <c r="F56" s="450">
        <f>F54-F55</f>
        <v>-1460697208</v>
      </c>
      <c r="G56" s="452"/>
      <c r="H56" s="450"/>
      <c r="I56" s="450"/>
      <c r="J56" s="450"/>
      <c r="L56" s="447">
        <f>+H48-H27</f>
        <v>-0.28400039672851563</v>
      </c>
    </row>
    <row r="57" spans="1:12" s="120" customFormat="1" ht="18.75" customHeight="1" x14ac:dyDescent="0.25">
      <c r="A57" s="448"/>
      <c r="B57" s="409"/>
      <c r="C57" s="409"/>
      <c r="D57" s="409"/>
      <c r="E57" s="450"/>
      <c r="F57" s="450"/>
      <c r="G57" s="452"/>
      <c r="H57" s="450"/>
      <c r="I57" s="450"/>
      <c r="J57" s="450"/>
    </row>
    <row r="58" spans="1:12" s="120" customFormat="1" ht="18.75" customHeight="1" x14ac:dyDescent="0.25">
      <c r="A58" s="448"/>
      <c r="B58" s="1930" t="s">
        <v>1031</v>
      </c>
      <c r="C58" s="1930"/>
      <c r="D58" s="1930"/>
      <c r="E58" s="450">
        <f>E52+E56</f>
        <v>-3428635074</v>
      </c>
      <c r="F58" s="450">
        <f>F52+F56</f>
        <v>-3770264489</v>
      </c>
      <c r="G58" s="452"/>
      <c r="H58" s="450"/>
      <c r="I58" s="450"/>
      <c r="J58" s="450"/>
    </row>
    <row r="59" spans="1:12" s="120" customFormat="1" ht="18.75" customHeight="1" x14ac:dyDescent="0.25">
      <c r="A59" s="448"/>
      <c r="B59" s="1930" t="s">
        <v>1032</v>
      </c>
      <c r="C59" s="1930"/>
      <c r="D59" s="1930"/>
      <c r="E59" s="450">
        <f>+E38-E19</f>
        <v>3428635074</v>
      </c>
      <c r="F59" s="450">
        <f>+F38-F19</f>
        <v>3770264489</v>
      </c>
      <c r="G59" s="452"/>
      <c r="H59" s="450"/>
      <c r="I59" s="450"/>
      <c r="J59" s="450"/>
    </row>
    <row r="60" spans="1:12" s="120" customFormat="1" ht="18.75" customHeight="1" x14ac:dyDescent="0.25">
      <c r="A60" s="448"/>
      <c r="B60" s="1930" t="s">
        <v>1057</v>
      </c>
      <c r="C60" s="1930"/>
      <c r="D60" s="1930"/>
      <c r="E60" s="450">
        <f>+E58+E59</f>
        <v>0</v>
      </c>
      <c r="F60" s="450">
        <f>+F58+F59</f>
        <v>0</v>
      </c>
      <c r="G60" s="452"/>
      <c r="H60" s="450"/>
      <c r="I60" s="450"/>
      <c r="J60" s="450"/>
    </row>
    <row r="62" spans="1:12" ht="15.75" customHeight="1" x14ac:dyDescent="0.25">
      <c r="A62" s="1937" t="s">
        <v>1055</v>
      </c>
      <c r="B62" s="1937"/>
      <c r="C62" s="645"/>
      <c r="D62" s="645"/>
      <c r="E62" s="645"/>
      <c r="F62" s="645"/>
      <c r="G62" s="645"/>
      <c r="H62" s="645"/>
      <c r="I62" s="645"/>
      <c r="J62" s="645"/>
    </row>
    <row r="63" spans="1:12" ht="50.25" customHeight="1" x14ac:dyDescent="0.25">
      <c r="A63" s="1936" t="s">
        <v>1496</v>
      </c>
      <c r="B63" s="1936"/>
      <c r="C63" s="1936"/>
      <c r="D63" s="1936"/>
      <c r="E63" s="1936"/>
      <c r="F63" s="1936"/>
      <c r="G63" s="1936"/>
      <c r="H63" s="1936"/>
      <c r="I63" s="1936"/>
      <c r="J63" s="1936"/>
    </row>
    <row r="64" spans="1:12" s="314" customFormat="1" ht="26.25" customHeight="1" x14ac:dyDescent="0.25">
      <c r="A64" s="1936" t="s">
        <v>1497</v>
      </c>
      <c r="B64" s="1936"/>
      <c r="C64" s="1936"/>
      <c r="D64" s="1936"/>
      <c r="E64" s="1936"/>
      <c r="F64" s="1936"/>
      <c r="G64" s="1936"/>
      <c r="H64" s="1936"/>
      <c r="I64" s="1936"/>
      <c r="J64" s="1936"/>
    </row>
    <row r="65" spans="1:10" s="314" customFormat="1" ht="26.25" customHeight="1" x14ac:dyDescent="0.25">
      <c r="A65" s="1936" t="s">
        <v>1501</v>
      </c>
      <c r="B65" s="1936"/>
      <c r="C65" s="1936"/>
      <c r="D65" s="1936"/>
      <c r="E65" s="1936"/>
      <c r="F65" s="1936"/>
      <c r="G65" s="1936"/>
      <c r="H65" s="1936"/>
      <c r="I65" s="1936"/>
      <c r="J65" s="1936"/>
    </row>
    <row r="66" spans="1:10" s="314" customFormat="1" ht="41.25" customHeight="1" x14ac:dyDescent="0.25">
      <c r="A66" s="1936" t="s">
        <v>1499</v>
      </c>
      <c r="B66" s="1936"/>
      <c r="C66" s="1936"/>
      <c r="D66" s="1936"/>
      <c r="E66" s="1936"/>
      <c r="F66" s="1936"/>
      <c r="G66" s="1936"/>
      <c r="H66" s="1936"/>
      <c r="I66" s="1936"/>
      <c r="J66" s="1936"/>
    </row>
    <row r="67" spans="1:10" ht="27" customHeight="1" x14ac:dyDescent="0.25">
      <c r="A67" s="1936" t="s">
        <v>1498</v>
      </c>
      <c r="B67" s="1936"/>
      <c r="C67" s="1936"/>
      <c r="D67" s="1936"/>
      <c r="E67" s="1936"/>
      <c r="F67" s="1936"/>
      <c r="G67" s="1936"/>
      <c r="H67" s="1936"/>
      <c r="I67" s="1936"/>
      <c r="J67" s="1936"/>
    </row>
    <row r="68" spans="1:10" ht="15.75" customHeight="1" x14ac:dyDescent="0.25">
      <c r="A68" s="453"/>
      <c r="B68" s="453"/>
      <c r="C68" s="453"/>
      <c r="D68" s="453"/>
      <c r="E68" s="453"/>
      <c r="F68" s="453"/>
      <c r="G68" s="453"/>
      <c r="H68" s="453"/>
      <c r="I68" s="453"/>
      <c r="J68"/>
    </row>
    <row r="69" spans="1:10" ht="15.75" x14ac:dyDescent="0.25">
      <c r="A69" s="1936"/>
      <c r="B69" s="1936"/>
      <c r="C69" s="1936"/>
      <c r="D69" s="1936"/>
      <c r="E69" s="1936"/>
      <c r="F69" s="1936"/>
      <c r="G69" s="1936"/>
      <c r="H69" s="1936"/>
      <c r="I69" s="1936"/>
    </row>
    <row r="70" spans="1:10" ht="15.75" x14ac:dyDescent="0.25">
      <c r="A70" s="1936"/>
      <c r="B70" s="1936"/>
      <c r="C70" s="1936"/>
      <c r="D70" s="1936"/>
      <c r="E70" s="1936"/>
      <c r="F70" s="1936"/>
      <c r="G70" s="1936"/>
      <c r="H70" s="1936"/>
      <c r="I70" s="1936"/>
    </row>
    <row r="71" spans="1:10" ht="15.75" x14ac:dyDescent="0.25">
      <c r="A71" s="1936"/>
      <c r="B71" s="1936"/>
      <c r="C71" s="1936"/>
      <c r="D71" s="1936"/>
      <c r="E71" s="1936"/>
      <c r="F71" s="1936"/>
      <c r="G71" s="1936"/>
      <c r="H71" s="1936"/>
      <c r="I71" s="1936"/>
    </row>
    <row r="72" spans="1:10" ht="15.75" x14ac:dyDescent="0.25">
      <c r="A72" s="1936"/>
      <c r="B72" s="1936"/>
      <c r="C72" s="1936"/>
      <c r="D72" s="1936"/>
      <c r="E72" s="1936"/>
      <c r="F72" s="1936"/>
      <c r="G72" s="1936"/>
      <c r="H72" s="1936"/>
      <c r="I72" s="1936"/>
    </row>
    <row r="73" spans="1:10" ht="15.75" x14ac:dyDescent="0.25">
      <c r="A73" s="453"/>
      <c r="B73" s="453"/>
      <c r="C73" s="453"/>
      <c r="D73" s="453"/>
      <c r="E73" s="453"/>
      <c r="F73" s="453"/>
      <c r="G73" s="453"/>
      <c r="H73" s="454"/>
      <c r="I73" s="454"/>
    </row>
    <row r="74" spans="1:10" ht="15.75" x14ac:dyDescent="0.25">
      <c r="A74" s="1937"/>
      <c r="B74" s="1937"/>
      <c r="C74" s="1937"/>
      <c r="D74" s="1937"/>
      <c r="E74" s="1937"/>
      <c r="F74" s="1937"/>
      <c r="G74" s="1937"/>
      <c r="H74" s="1937"/>
      <c r="I74" s="1937"/>
      <c r="J74" s="1937"/>
    </row>
    <row r="75" spans="1:10" ht="15.75" x14ac:dyDescent="0.25">
      <c r="A75" s="1936"/>
      <c r="B75" s="1936"/>
      <c r="C75" s="1936"/>
      <c r="D75" s="1936"/>
      <c r="E75" s="1936"/>
      <c r="F75" s="1936"/>
      <c r="G75" s="1936"/>
      <c r="H75" s="1936"/>
      <c r="I75" s="1936"/>
      <c r="J75" s="1936"/>
    </row>
    <row r="76" spans="1:10" ht="15.75" x14ac:dyDescent="0.25">
      <c r="A76" s="1936"/>
      <c r="B76" s="1936"/>
      <c r="C76" s="1936"/>
      <c r="D76" s="1936"/>
      <c r="E76" s="1936"/>
      <c r="F76" s="1936"/>
      <c r="G76" s="1936"/>
      <c r="H76" s="1936"/>
      <c r="I76" s="1936"/>
      <c r="J76" s="1936"/>
    </row>
    <row r="77" spans="1:10" ht="34.5" customHeight="1" x14ac:dyDescent="0.25">
      <c r="A77" s="1936"/>
      <c r="B77" s="1936"/>
      <c r="C77" s="1936"/>
      <c r="D77" s="1936"/>
      <c r="E77" s="1936"/>
      <c r="F77" s="1936"/>
      <c r="G77" s="1936"/>
      <c r="H77" s="1936"/>
      <c r="I77" s="1936"/>
      <c r="J77" s="1936"/>
    </row>
    <row r="78" spans="1:10" ht="15.75" x14ac:dyDescent="0.25">
      <c r="A78" s="1936"/>
      <c r="B78" s="1936"/>
      <c r="C78" s="1936"/>
      <c r="D78" s="1936"/>
      <c r="E78" s="1936"/>
      <c r="F78" s="1936"/>
      <c r="G78" s="1936"/>
      <c r="H78" s="1936"/>
      <c r="I78" s="1936"/>
      <c r="J78" s="1936"/>
    </row>
    <row r="79" spans="1:10" ht="15.75" x14ac:dyDescent="0.25">
      <c r="A79" s="412"/>
      <c r="B79" s="412"/>
      <c r="C79" s="412"/>
      <c r="D79" s="412"/>
      <c r="E79" s="455"/>
      <c r="F79" s="455"/>
      <c r="G79" s="455"/>
      <c r="H79" s="455"/>
      <c r="I79" s="455"/>
      <c r="J79" s="455"/>
    </row>
  </sheetData>
  <mergeCells count="27">
    <mergeCell ref="A78:J78"/>
    <mergeCell ref="A71:I71"/>
    <mergeCell ref="A72:I72"/>
    <mergeCell ref="A74:J74"/>
    <mergeCell ref="A75:J75"/>
    <mergeCell ref="A76:J76"/>
    <mergeCell ref="A77:J77"/>
    <mergeCell ref="A69:I69"/>
    <mergeCell ref="A70:I70"/>
    <mergeCell ref="A62:B62"/>
    <mergeCell ref="A63:J63"/>
    <mergeCell ref="A64:J64"/>
    <mergeCell ref="A65:J65"/>
    <mergeCell ref="A66:J66"/>
    <mergeCell ref="A67:J67"/>
    <mergeCell ref="B60:D60"/>
    <mergeCell ref="A1:J2"/>
    <mergeCell ref="N13:AY14"/>
    <mergeCell ref="N15:AT15"/>
    <mergeCell ref="B50:D50"/>
    <mergeCell ref="B51:D51"/>
    <mergeCell ref="B52:D52"/>
    <mergeCell ref="B54:D54"/>
    <mergeCell ref="B55:D55"/>
    <mergeCell ref="B56:D56"/>
    <mergeCell ref="B58:D58"/>
    <mergeCell ref="B59:D59"/>
  </mergeCells>
  <printOptions horizontalCentered="1" verticalCentered="1"/>
  <pageMargins left="0.15748031496062992" right="0.23622047244094491" top="0.31496062992125984" bottom="0.31496062992125984" header="0.23622047244094491" footer="0.15748031496062992"/>
  <pageSetup paperSize="9" scale="53" orientation="landscape" r:id="rId1"/>
  <headerFooter>
    <oddHeader>&amp;C2022. évi költségvetés&amp;R&amp;A</oddHeader>
    <oddFooter>&amp;C&amp;P/&amp;N</oddFooter>
  </headerFooter>
  <rowBreaks count="1" manualBreakCount="1">
    <brk id="60"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51"/>
  <sheetViews>
    <sheetView view="pageBreakPreview" zoomScale="80" zoomScaleNormal="71" zoomScaleSheetLayoutView="80" workbookViewId="0">
      <pane xSplit="3" ySplit="8" topLeftCell="Y9" activePane="bottomRight" state="frozen"/>
      <selection pane="topRight" activeCell="D1" sqref="D1"/>
      <selection pane="bottomLeft" activeCell="A8" sqref="A8"/>
      <selection pane="bottomRight" activeCell="AA12" sqref="AA12"/>
    </sheetView>
  </sheetViews>
  <sheetFormatPr defaultColWidth="9.140625" defaultRowHeight="12.75" x14ac:dyDescent="0.2"/>
  <cols>
    <col min="1" max="1" width="5.85546875" style="21" customWidth="1"/>
    <col min="2" max="2" width="64.85546875" style="21" customWidth="1"/>
    <col min="3" max="3" width="7.140625" style="135" customWidth="1"/>
    <col min="4" max="5" width="18.28515625" style="22" customWidth="1"/>
    <col min="6" max="7" width="21.85546875" style="22" customWidth="1"/>
    <col min="8" max="8" width="18.140625" style="22" customWidth="1"/>
    <col min="9" max="9" width="17.28515625" style="22" customWidth="1"/>
    <col min="10" max="10" width="18.5703125" style="22" customWidth="1"/>
    <col min="11" max="11" width="17.42578125" style="22" customWidth="1"/>
    <col min="12" max="13" width="19.7109375" style="22" customWidth="1"/>
    <col min="14" max="15" width="19.42578125" style="22" customWidth="1"/>
    <col min="16" max="16" width="19.140625" style="22" customWidth="1"/>
    <col min="17" max="17" width="18" style="22" customWidth="1"/>
    <col min="18" max="18" width="18.5703125" style="22" customWidth="1"/>
    <col min="19" max="19" width="17.7109375" style="22" customWidth="1"/>
    <col min="20" max="20" width="18.42578125" style="22" customWidth="1"/>
    <col min="21" max="21" width="16.42578125" style="22" customWidth="1"/>
    <col min="22" max="22" width="18.5703125" style="22" customWidth="1"/>
    <col min="23" max="23" width="19.42578125" style="22" customWidth="1"/>
    <col min="24" max="24" width="18.140625" style="22" customWidth="1"/>
    <col min="25" max="25" width="17.42578125" style="22" customWidth="1"/>
    <col min="26" max="27" width="20.85546875" style="22" customWidth="1"/>
    <col min="28" max="28" width="22" style="22" customWidth="1"/>
    <col min="29" max="29" width="22.7109375" style="21" customWidth="1"/>
    <col min="30" max="30" width="18.5703125" style="21" customWidth="1"/>
    <col min="31" max="31" width="10.5703125" style="21" bestFit="1" customWidth="1"/>
    <col min="32" max="16384" width="9.140625" style="21"/>
  </cols>
  <sheetData>
    <row r="1" spans="1:30" ht="15.75" customHeight="1" x14ac:dyDescent="0.25">
      <c r="A1" s="174"/>
      <c r="B1" s="174"/>
      <c r="C1" s="175"/>
      <c r="D1" s="176"/>
      <c r="E1" s="176"/>
      <c r="F1" s="176"/>
      <c r="G1" s="177" t="s">
        <v>444</v>
      </c>
      <c r="H1" s="21"/>
      <c r="I1" s="176"/>
      <c r="J1" s="21"/>
      <c r="K1" s="177" t="s">
        <v>444</v>
      </c>
      <c r="L1" s="177"/>
      <c r="M1" s="177"/>
      <c r="N1" s="177"/>
      <c r="O1" s="177" t="s">
        <v>444</v>
      </c>
      <c r="P1" s="177"/>
      <c r="Q1" s="177"/>
      <c r="R1" s="21"/>
      <c r="S1" s="177" t="s">
        <v>444</v>
      </c>
      <c r="T1" s="177"/>
      <c r="U1" s="177"/>
      <c r="V1" s="177"/>
      <c r="W1" s="177" t="s">
        <v>444</v>
      </c>
      <c r="X1" s="177"/>
      <c r="Y1" s="177"/>
      <c r="Z1" s="21"/>
      <c r="AA1" s="177" t="s">
        <v>444</v>
      </c>
      <c r="AB1" s="21"/>
      <c r="AC1" s="177" t="s">
        <v>444</v>
      </c>
    </row>
    <row r="2" spans="1:30" ht="30.75" customHeight="1" x14ac:dyDescent="0.2">
      <c r="A2" s="1658" t="s">
        <v>136</v>
      </c>
      <c r="B2" s="1659"/>
      <c r="C2" s="1660"/>
      <c r="D2" s="1652" t="s">
        <v>1615</v>
      </c>
      <c r="E2" s="1652"/>
      <c r="F2" s="1652"/>
      <c r="G2" s="1652"/>
      <c r="H2" s="1652" t="s">
        <v>1615</v>
      </c>
      <c r="I2" s="1652"/>
      <c r="J2" s="1652"/>
      <c r="K2" s="1652"/>
      <c r="L2" s="1652" t="s">
        <v>1615</v>
      </c>
      <c r="M2" s="1652"/>
      <c r="N2" s="1652"/>
      <c r="O2" s="1652"/>
      <c r="P2" s="1652" t="s">
        <v>1615</v>
      </c>
      <c r="Q2" s="1652"/>
      <c r="R2" s="1652"/>
      <c r="S2" s="1652"/>
      <c r="T2" s="1652" t="s">
        <v>1615</v>
      </c>
      <c r="U2" s="1652"/>
      <c r="V2" s="1652"/>
      <c r="W2" s="1652"/>
      <c r="X2" s="1652" t="s">
        <v>1615</v>
      </c>
      <c r="Y2" s="1652"/>
      <c r="Z2" s="1652"/>
      <c r="AA2" s="1652"/>
      <c r="AB2" s="1652" t="s">
        <v>1615</v>
      </c>
      <c r="AC2" s="1652"/>
    </row>
    <row r="3" spans="1:30" ht="41.25" customHeight="1" x14ac:dyDescent="0.2">
      <c r="A3" s="1661"/>
      <c r="B3" s="1662"/>
      <c r="C3" s="1663"/>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c r="T3" s="1554" t="s">
        <v>279</v>
      </c>
      <c r="U3" s="1554" t="s">
        <v>1512</v>
      </c>
      <c r="V3" s="1554" t="s">
        <v>279</v>
      </c>
      <c r="W3" s="1554" t="s">
        <v>1512</v>
      </c>
      <c r="X3" s="1554" t="s">
        <v>279</v>
      </c>
      <c r="Y3" s="1554" t="s">
        <v>1512</v>
      </c>
      <c r="Z3" s="1554" t="s">
        <v>279</v>
      </c>
      <c r="AA3" s="1554" t="s">
        <v>1512</v>
      </c>
      <c r="AB3" s="1554" t="s">
        <v>279</v>
      </c>
      <c r="AC3" s="1554" t="s">
        <v>1512</v>
      </c>
    </row>
    <row r="4" spans="1:30" ht="123" customHeight="1" x14ac:dyDescent="0.2">
      <c r="A4" s="1666" t="s">
        <v>192</v>
      </c>
      <c r="B4" s="1667" t="s">
        <v>250</v>
      </c>
      <c r="C4" s="1667"/>
      <c r="D4" s="1552" t="s">
        <v>511</v>
      </c>
      <c r="E4" s="1552" t="s">
        <v>511</v>
      </c>
      <c r="F4" s="1553" t="s">
        <v>339</v>
      </c>
      <c r="G4" s="1553" t="s">
        <v>339</v>
      </c>
      <c r="H4" s="1553" t="s">
        <v>340</v>
      </c>
      <c r="I4" s="1553" t="s">
        <v>340</v>
      </c>
      <c r="J4" s="1553" t="s">
        <v>137</v>
      </c>
      <c r="K4" s="1553" t="s">
        <v>137</v>
      </c>
      <c r="L4" s="1550" t="s">
        <v>642</v>
      </c>
      <c r="M4" s="1550" t="s">
        <v>642</v>
      </c>
      <c r="N4" s="1550" t="s">
        <v>642</v>
      </c>
      <c r="O4" s="1550" t="s">
        <v>642</v>
      </c>
      <c r="P4" s="62" t="s">
        <v>500</v>
      </c>
      <c r="Q4" s="62" t="s">
        <v>500</v>
      </c>
      <c r="R4" s="1553" t="s">
        <v>184</v>
      </c>
      <c r="S4" s="1553" t="s">
        <v>184</v>
      </c>
      <c r="T4" s="1553" t="s">
        <v>927</v>
      </c>
      <c r="U4" s="1553" t="s">
        <v>927</v>
      </c>
      <c r="V4" s="1550" t="s">
        <v>642</v>
      </c>
      <c r="W4" s="1550" t="s">
        <v>642</v>
      </c>
      <c r="X4" s="1553" t="s">
        <v>1356</v>
      </c>
      <c r="Y4" s="1553" t="s">
        <v>1356</v>
      </c>
      <c r="Z4" s="1553" t="s">
        <v>339</v>
      </c>
      <c r="AA4" s="1553" t="s">
        <v>339</v>
      </c>
      <c r="AB4" s="1654" t="s">
        <v>138</v>
      </c>
      <c r="AC4" s="1654" t="s">
        <v>138</v>
      </c>
    </row>
    <row r="5" spans="1:30" ht="30.75" customHeight="1" x14ac:dyDescent="0.2">
      <c r="A5" s="1666"/>
      <c r="B5" s="1667" t="s">
        <v>11</v>
      </c>
      <c r="C5" s="1667"/>
      <c r="D5" s="1552" t="s">
        <v>228</v>
      </c>
      <c r="E5" s="1552" t="s">
        <v>228</v>
      </c>
      <c r="F5" s="1553" t="s">
        <v>228</v>
      </c>
      <c r="G5" s="1553" t="s">
        <v>228</v>
      </c>
      <c r="H5" s="1553" t="s">
        <v>230</v>
      </c>
      <c r="I5" s="1553" t="s">
        <v>230</v>
      </c>
      <c r="J5" s="1553" t="s">
        <v>230</v>
      </c>
      <c r="K5" s="1553" t="s">
        <v>230</v>
      </c>
      <c r="L5" s="1550" t="s">
        <v>230</v>
      </c>
      <c r="M5" s="1550" t="s">
        <v>230</v>
      </c>
      <c r="N5" s="1550" t="s">
        <v>230</v>
      </c>
      <c r="O5" s="1550" t="s">
        <v>230</v>
      </c>
      <c r="P5" s="1550" t="s">
        <v>228</v>
      </c>
      <c r="Q5" s="1550" t="s">
        <v>228</v>
      </c>
      <c r="R5" s="1550" t="s">
        <v>230</v>
      </c>
      <c r="S5" s="1550" t="s">
        <v>230</v>
      </c>
      <c r="T5" s="1553" t="s">
        <v>230</v>
      </c>
      <c r="U5" s="1553" t="s">
        <v>230</v>
      </c>
      <c r="V5" s="1553" t="s">
        <v>230</v>
      </c>
      <c r="W5" s="1553" t="s">
        <v>230</v>
      </c>
      <c r="X5" s="1553" t="s">
        <v>230</v>
      </c>
      <c r="Y5" s="1553" t="s">
        <v>230</v>
      </c>
      <c r="Z5" s="1553" t="s">
        <v>228</v>
      </c>
      <c r="AA5" s="1553" t="s">
        <v>228</v>
      </c>
      <c r="AB5" s="1654"/>
      <c r="AC5" s="1654"/>
    </row>
    <row r="6" spans="1:30" ht="15.75" customHeight="1" x14ac:dyDescent="0.2">
      <c r="A6" s="1666"/>
      <c r="B6" s="1634" t="s">
        <v>741</v>
      </c>
      <c r="C6" s="1634"/>
      <c r="D6" s="1657" t="s">
        <v>410</v>
      </c>
      <c r="E6" s="1657" t="s">
        <v>410</v>
      </c>
      <c r="F6" s="1657" t="s">
        <v>411</v>
      </c>
      <c r="G6" s="1657" t="s">
        <v>1582</v>
      </c>
      <c r="H6" s="1657" t="s">
        <v>412</v>
      </c>
      <c r="I6" s="1657" t="s">
        <v>412</v>
      </c>
      <c r="J6" s="1657" t="s">
        <v>413</v>
      </c>
      <c r="K6" s="1657" t="s">
        <v>1583</v>
      </c>
      <c r="L6" s="1664" t="s">
        <v>810</v>
      </c>
      <c r="M6" s="1664" t="s">
        <v>1584</v>
      </c>
      <c r="N6" s="1653" t="s">
        <v>809</v>
      </c>
      <c r="O6" s="1653" t="s">
        <v>1585</v>
      </c>
      <c r="P6" s="1653" t="s">
        <v>871</v>
      </c>
      <c r="Q6" s="1653" t="s">
        <v>1586</v>
      </c>
      <c r="R6" s="1657" t="s">
        <v>414</v>
      </c>
      <c r="S6" s="1657" t="s">
        <v>1587</v>
      </c>
      <c r="T6" s="1655" t="s">
        <v>928</v>
      </c>
      <c r="U6" s="1655" t="s">
        <v>928</v>
      </c>
      <c r="V6" s="1655" t="s">
        <v>1375</v>
      </c>
      <c r="W6" s="1655" t="s">
        <v>1589</v>
      </c>
      <c r="X6" s="1655" t="s">
        <v>1376</v>
      </c>
      <c r="Y6" s="1655" t="s">
        <v>1588</v>
      </c>
      <c r="Z6" s="1653" t="s">
        <v>515</v>
      </c>
      <c r="AA6" s="1653" t="s">
        <v>515</v>
      </c>
      <c r="AB6" s="1654"/>
      <c r="AC6" s="1654"/>
    </row>
    <row r="7" spans="1:30" ht="62.25" customHeight="1" x14ac:dyDescent="0.2">
      <c r="A7" s="1666"/>
      <c r="B7" s="1551" t="s">
        <v>193</v>
      </c>
      <c r="C7" s="134" t="s">
        <v>251</v>
      </c>
      <c r="D7" s="1657"/>
      <c r="E7" s="1657"/>
      <c r="F7" s="1657"/>
      <c r="G7" s="1657"/>
      <c r="H7" s="1657"/>
      <c r="I7" s="1657"/>
      <c r="J7" s="1657"/>
      <c r="K7" s="1657"/>
      <c r="L7" s="1665"/>
      <c r="M7" s="1665"/>
      <c r="N7" s="1653"/>
      <c r="O7" s="1653"/>
      <c r="P7" s="1653"/>
      <c r="Q7" s="1653"/>
      <c r="R7" s="1657"/>
      <c r="S7" s="1657"/>
      <c r="T7" s="1656"/>
      <c r="U7" s="1656"/>
      <c r="V7" s="1656"/>
      <c r="W7" s="1656"/>
      <c r="X7" s="1656"/>
      <c r="Y7" s="1656"/>
      <c r="Z7" s="1653"/>
      <c r="AA7" s="1653"/>
      <c r="AB7" s="1654"/>
      <c r="AC7" s="1654"/>
    </row>
    <row r="8" spans="1:30"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c r="P8" s="385" t="s">
        <v>235</v>
      </c>
      <c r="Q8" s="385" t="s">
        <v>236</v>
      </c>
      <c r="R8" s="385" t="s">
        <v>237</v>
      </c>
      <c r="S8" s="385" t="s">
        <v>238</v>
      </c>
      <c r="T8" s="385" t="s">
        <v>239</v>
      </c>
      <c r="U8" s="385" t="s">
        <v>266</v>
      </c>
      <c r="V8" s="385" t="s">
        <v>267</v>
      </c>
      <c r="W8" s="385" t="s">
        <v>268</v>
      </c>
      <c r="X8" s="385" t="s">
        <v>269</v>
      </c>
      <c r="Y8" s="385" t="s">
        <v>270</v>
      </c>
      <c r="Z8" s="385" t="s">
        <v>271</v>
      </c>
      <c r="AA8" s="385" t="s">
        <v>272</v>
      </c>
      <c r="AB8" s="385" t="s">
        <v>273</v>
      </c>
      <c r="AC8" s="385" t="s">
        <v>274</v>
      </c>
    </row>
    <row r="9" spans="1:30" ht="21.75" customHeight="1" x14ac:dyDescent="0.25">
      <c r="A9" s="26" t="s">
        <v>194</v>
      </c>
      <c r="B9" s="23" t="s">
        <v>335</v>
      </c>
      <c r="C9" s="136" t="s">
        <v>205</v>
      </c>
      <c r="D9" s="179"/>
      <c r="E9" s="179"/>
      <c r="F9" s="179">
        <f>+(434188498)+132926</f>
        <v>434321424</v>
      </c>
      <c r="G9" s="179">
        <f>+(434188498)+132926-300000+300000-3950000+3950000-5630000+5630000+17305008-300000+300000-20500000+20500000-300000+300000-300000+300000-35844992-20305008+56150000+11400000-495000-8947183+7800000-5613541+5326541+287000-111680+111680</f>
        <v>461384249</v>
      </c>
      <c r="H9" s="179">
        <v>61655679</v>
      </c>
      <c r="I9" s="179">
        <f>61655679-360020+360020-510000+150000+360000+3000000-3000000+3000000-2600000-4500000+7000000+100000+600000-666667+600000+66667</f>
        <v>65255679</v>
      </c>
      <c r="J9" s="179">
        <v>17641840</v>
      </c>
      <c r="K9" s="179">
        <f>17641840-15390+15390-10000+10000-61600+61600-100000+100000-90038+90038+1000000-192967-1000000+1000000+192967-1000000-1000000+2000000-623911+600000+23911+300000+195000+1057183+90000</f>
        <v>20284023</v>
      </c>
      <c r="L9" s="179"/>
      <c r="M9" s="179"/>
      <c r="N9" s="179"/>
      <c r="O9" s="179"/>
      <c r="P9" s="179">
        <v>97090837</v>
      </c>
      <c r="Q9" s="179">
        <f>97090837+42494-42494-1105598+1105598-660592+660592-1763670+820000+942520+1150+4500000-1045300+300000+745300-880292-4500000+4500000+2550+877742-667000+667000-704053+704053-5115763-7000000+11150000+965763-20000+20000-713836+713836-542300+542300-300000+300000-23039+23039</f>
        <v>101590837</v>
      </c>
      <c r="R9" s="179"/>
      <c r="S9" s="179"/>
      <c r="T9" s="179"/>
      <c r="U9" s="179">
        <f>3552374+10507752+1831486</f>
        <v>15891612</v>
      </c>
      <c r="V9" s="179"/>
      <c r="W9" s="179">
        <f>480000+2340000+2400000+960000+1000000+295276+507573-3300000+420000+2880000</f>
        <v>7982849</v>
      </c>
      <c r="X9" s="179"/>
      <c r="Y9" s="179"/>
      <c r="Z9" s="179"/>
      <c r="AA9" s="179"/>
      <c r="AB9" s="179">
        <f>D9+F9+H9+J9+R9+Z9+L9+N9+P9+T9+V9+X9</f>
        <v>610709780</v>
      </c>
      <c r="AC9" s="179">
        <f>E9+G9+I9+K9+S9+AA9+M9+O9+Q9+U9+W9+Y9</f>
        <v>672389249</v>
      </c>
      <c r="AD9" s="84"/>
    </row>
    <row r="10" spans="1:30" ht="21.75" customHeight="1" x14ac:dyDescent="0.25">
      <c r="A10" s="26" t="s">
        <v>195</v>
      </c>
      <c r="B10" s="28" t="s">
        <v>206</v>
      </c>
      <c r="C10" s="136" t="s">
        <v>207</v>
      </c>
      <c r="D10" s="179"/>
      <c r="E10" s="179"/>
      <c r="F10" s="179">
        <f>59768255+8580000</f>
        <v>68348255</v>
      </c>
      <c r="G10" s="179">
        <f>59768255+8580000+2249651+1482000-37146-151450</f>
        <v>71891310</v>
      </c>
      <c r="H10" s="179">
        <v>8760238</v>
      </c>
      <c r="I10" s="179">
        <f>8760238+390000+78000</f>
        <v>9228238</v>
      </c>
      <c r="J10" s="179">
        <v>2363439</v>
      </c>
      <c r="K10" s="179">
        <f>2363439+130000+37146+151450</f>
        <v>2682035</v>
      </c>
      <c r="L10" s="179"/>
      <c r="M10" s="179"/>
      <c r="N10" s="179"/>
      <c r="O10" s="179"/>
      <c r="P10" s="179">
        <v>13269309</v>
      </c>
      <c r="Q10" s="179">
        <f>13269309+585000</f>
        <v>13854309</v>
      </c>
      <c r="R10" s="179"/>
      <c r="S10" s="179"/>
      <c r="T10" s="179"/>
      <c r="U10" s="179">
        <f>1827816+238093</f>
        <v>2065909</v>
      </c>
      <c r="V10" s="179"/>
      <c r="W10" s="179">
        <f>366600+690700+169661</f>
        <v>1226961</v>
      </c>
      <c r="X10" s="179"/>
      <c r="Y10" s="179"/>
      <c r="Z10" s="179"/>
      <c r="AA10" s="179"/>
      <c r="AB10" s="179">
        <f t="shared" ref="AB10:AC51" si="0">D10+F10+H10+J10+R10+Z10+L10+N10+P10+T10+V10+X10</f>
        <v>92741241</v>
      </c>
      <c r="AC10" s="179">
        <f t="shared" ref="AC10:AC51" si="1">E10+G10+I10+K10+S10+AA10+M10+O10+Q10+U10+W10+Y10</f>
        <v>100948762</v>
      </c>
      <c r="AD10" s="84"/>
    </row>
    <row r="11" spans="1:30" s="248" customFormat="1" ht="21.75" customHeight="1" x14ac:dyDescent="0.25">
      <c r="A11" s="245" t="s">
        <v>196</v>
      </c>
      <c r="B11" s="246" t="s">
        <v>336</v>
      </c>
      <c r="C11" s="247" t="s">
        <v>208</v>
      </c>
      <c r="D11" s="181"/>
      <c r="E11" s="181"/>
      <c r="F11" s="181">
        <f>+(96409200)+241755+897113</f>
        <v>97548068</v>
      </c>
      <c r="G11" s="181">
        <f>+(96409200)+241755+897113+10001-59534-16074+21135+132+520000+140400-800000+800000+9231+2493+25157+6793-2945039-795161+258661+69838+300000+81000+716000+193320+155100+41877+129920+35079+137185+37040-300000+300000+537087+145014-400000+400000+1511811+408189-750000+500000+100000+150000+143064-67</f>
        <v>99367720</v>
      </c>
      <c r="H11" s="181">
        <f>+(19262012)+263551+1967377</f>
        <v>21492940</v>
      </c>
      <c r="I11" s="181">
        <f>+(19262012)+263551+1967377+90000-500000-500000+1000000-1050000+50000+1000000+8622-276975+276975</f>
        <v>21591562</v>
      </c>
      <c r="J11" s="181">
        <f>+(6736700)+22371+44470</f>
        <v>6803541</v>
      </c>
      <c r="K11" s="181">
        <f>+(6736700)+22371+44470-400000+400000+500000+2156-470000</f>
        <v>6835697</v>
      </c>
      <c r="L11" s="181"/>
      <c r="M11" s="181"/>
      <c r="N11" s="181"/>
      <c r="O11" s="181"/>
      <c r="P11" s="181">
        <f>+(18469470)+90210+292182</f>
        <v>18851862</v>
      </c>
      <c r="Q11" s="181">
        <f>+(18469470)+90210+292182-500000+500000+75000-200000+200000-800000+800000+855000+230850+65250-200000+200000+37388+108342</f>
        <v>20223692</v>
      </c>
      <c r="R11" s="181"/>
      <c r="S11" s="181"/>
      <c r="T11" s="181">
        <v>1000000</v>
      </c>
      <c r="U11" s="181">
        <f>1000000+748031+201969</f>
        <v>1950000</v>
      </c>
      <c r="V11" s="181">
        <v>1000000</v>
      </c>
      <c r="W11" s="181">
        <f>1000000+283818+350000+405906-72281+72281-399664-107909+149330+234000+364773+103700+223805+223805-101600+80000+21600</f>
        <v>2831564</v>
      </c>
      <c r="X11" s="181">
        <v>1000000</v>
      </c>
      <c r="Y11" s="181">
        <f>1000000-787402-212598</f>
        <v>0</v>
      </c>
      <c r="Z11" s="181">
        <f>+(2286000)+134132</f>
        <v>2420132</v>
      </c>
      <c r="AA11" s="181">
        <f>+(2286000)+134132+2+97788-209746</f>
        <v>2308176</v>
      </c>
      <c r="AB11" s="179">
        <f t="shared" si="0"/>
        <v>150116543</v>
      </c>
      <c r="AC11" s="179">
        <f t="shared" si="1"/>
        <v>155108411</v>
      </c>
      <c r="AD11" s="249"/>
    </row>
    <row r="12" spans="1:30" ht="21.75" customHeight="1" x14ac:dyDescent="0.25">
      <c r="A12" s="26" t="s">
        <v>197</v>
      </c>
      <c r="B12" s="29" t="s">
        <v>337</v>
      </c>
      <c r="C12" s="136" t="s">
        <v>209</v>
      </c>
      <c r="D12" s="179"/>
      <c r="E12" s="179"/>
      <c r="F12" s="179"/>
      <c r="G12" s="179"/>
      <c r="H12" s="179"/>
      <c r="I12" s="179"/>
      <c r="J12" s="179"/>
      <c r="K12" s="179"/>
      <c r="L12" s="179"/>
      <c r="M12" s="179"/>
      <c r="N12" s="179"/>
      <c r="O12" s="179"/>
      <c r="P12" s="181"/>
      <c r="Q12" s="181"/>
      <c r="R12" s="179"/>
      <c r="S12" s="179"/>
      <c r="T12" s="179"/>
      <c r="U12" s="179"/>
      <c r="V12" s="179"/>
      <c r="W12" s="179"/>
      <c r="X12" s="179"/>
      <c r="Y12" s="179"/>
      <c r="Z12" s="179"/>
      <c r="AA12" s="179"/>
      <c r="AB12" s="179">
        <f t="shared" si="0"/>
        <v>0</v>
      </c>
      <c r="AC12" s="179">
        <f t="shared" si="1"/>
        <v>0</v>
      </c>
      <c r="AD12" s="84"/>
    </row>
    <row r="13" spans="1:30" ht="21.75" customHeight="1" x14ac:dyDescent="0.25">
      <c r="A13" s="26" t="s">
        <v>198</v>
      </c>
      <c r="B13" s="29" t="s">
        <v>240</v>
      </c>
      <c r="C13" s="136" t="s">
        <v>210</v>
      </c>
      <c r="D13" s="179">
        <f>SUM(D14:D16)</f>
        <v>0</v>
      </c>
      <c r="E13" s="179">
        <f>SUM(E14:E16)</f>
        <v>34588794</v>
      </c>
      <c r="F13" s="179">
        <f t="shared" ref="F13:AA13" si="2">SUM(F14:F16)</f>
        <v>0</v>
      </c>
      <c r="G13" s="179">
        <f t="shared" si="2"/>
        <v>0</v>
      </c>
      <c r="H13" s="179">
        <f t="shared" si="2"/>
        <v>0</v>
      </c>
      <c r="I13" s="179">
        <f t="shared" si="2"/>
        <v>0</v>
      </c>
      <c r="J13" s="179">
        <f t="shared" si="2"/>
        <v>0</v>
      </c>
      <c r="K13" s="179">
        <f t="shared" si="2"/>
        <v>0</v>
      </c>
      <c r="L13" s="179">
        <f t="shared" si="2"/>
        <v>0</v>
      </c>
      <c r="M13" s="179">
        <f t="shared" si="2"/>
        <v>0</v>
      </c>
      <c r="N13" s="179">
        <f t="shared" si="2"/>
        <v>0</v>
      </c>
      <c r="O13" s="179">
        <f t="shared" si="2"/>
        <v>0</v>
      </c>
      <c r="P13" s="179">
        <f t="shared" si="2"/>
        <v>0</v>
      </c>
      <c r="Q13" s="179">
        <f t="shared" si="2"/>
        <v>0</v>
      </c>
      <c r="R13" s="179">
        <f t="shared" si="2"/>
        <v>0</v>
      </c>
      <c r="S13" s="179">
        <f t="shared" si="2"/>
        <v>0</v>
      </c>
      <c r="T13" s="179">
        <f t="shared" si="2"/>
        <v>0</v>
      </c>
      <c r="U13" s="179">
        <f t="shared" si="2"/>
        <v>0</v>
      </c>
      <c r="V13" s="179">
        <f t="shared" si="2"/>
        <v>0</v>
      </c>
      <c r="W13" s="179">
        <f t="shared" si="2"/>
        <v>0</v>
      </c>
      <c r="X13" s="179">
        <f t="shared" si="2"/>
        <v>0</v>
      </c>
      <c r="Y13" s="179">
        <f t="shared" si="2"/>
        <v>0</v>
      </c>
      <c r="Z13" s="179">
        <f t="shared" si="2"/>
        <v>0</v>
      </c>
      <c r="AA13" s="179">
        <f t="shared" si="2"/>
        <v>0</v>
      </c>
      <c r="AB13" s="179">
        <f t="shared" si="0"/>
        <v>0</v>
      </c>
      <c r="AC13" s="179">
        <f t="shared" si="1"/>
        <v>34588794</v>
      </c>
    </row>
    <row r="14" spans="1:30" ht="21.75" customHeight="1" x14ac:dyDescent="0.25">
      <c r="A14" s="26" t="s">
        <v>199</v>
      </c>
      <c r="B14" s="30" t="s">
        <v>588</v>
      </c>
      <c r="C14" s="136"/>
      <c r="D14" s="179"/>
      <c r="E14" s="179"/>
      <c r="F14" s="179"/>
      <c r="G14" s="179"/>
      <c r="H14" s="179"/>
      <c r="I14" s="179"/>
      <c r="J14" s="179"/>
      <c r="K14" s="179"/>
      <c r="L14" s="179"/>
      <c r="M14" s="179"/>
      <c r="N14" s="179"/>
      <c r="O14" s="179"/>
      <c r="P14" s="181"/>
      <c r="Q14" s="181"/>
      <c r="R14" s="179"/>
      <c r="S14" s="179"/>
      <c r="T14" s="179"/>
      <c r="U14" s="179"/>
      <c r="V14" s="179"/>
      <c r="W14" s="179"/>
      <c r="X14" s="179"/>
      <c r="Y14" s="179"/>
      <c r="Z14" s="179"/>
      <c r="AA14" s="179"/>
      <c r="AB14" s="179">
        <f t="shared" si="0"/>
        <v>0</v>
      </c>
      <c r="AC14" s="179">
        <f t="shared" si="1"/>
        <v>0</v>
      </c>
    </row>
    <row r="15" spans="1:30" ht="21.75" customHeight="1" x14ac:dyDescent="0.25">
      <c r="A15" s="26" t="s">
        <v>200</v>
      </c>
      <c r="B15" s="30" t="s">
        <v>590</v>
      </c>
      <c r="C15" s="137"/>
      <c r="D15" s="179"/>
      <c r="E15" s="179"/>
      <c r="F15" s="179"/>
      <c r="G15" s="179"/>
      <c r="H15" s="179"/>
      <c r="I15" s="179"/>
      <c r="J15" s="179"/>
      <c r="K15" s="179"/>
      <c r="L15" s="179"/>
      <c r="M15" s="179"/>
      <c r="N15" s="179"/>
      <c r="O15" s="179"/>
      <c r="P15" s="181"/>
      <c r="Q15" s="181"/>
      <c r="R15" s="179"/>
      <c r="S15" s="179"/>
      <c r="T15" s="179"/>
      <c r="U15" s="179"/>
      <c r="V15" s="179"/>
      <c r="W15" s="179"/>
      <c r="X15" s="179"/>
      <c r="Y15" s="179"/>
      <c r="Z15" s="179"/>
      <c r="AA15" s="179"/>
      <c r="AB15" s="179">
        <f t="shared" si="0"/>
        <v>0</v>
      </c>
      <c r="AC15" s="179">
        <f t="shared" si="1"/>
        <v>0</v>
      </c>
    </row>
    <row r="16" spans="1:30" ht="21.75" customHeight="1" x14ac:dyDescent="0.25">
      <c r="A16" s="26" t="s">
        <v>201</v>
      </c>
      <c r="B16" s="92" t="s">
        <v>589</v>
      </c>
      <c r="C16" s="137"/>
      <c r="D16" s="179"/>
      <c r="E16" s="179">
        <v>34588794</v>
      </c>
      <c r="F16" s="179"/>
      <c r="G16" s="179"/>
      <c r="H16" s="179"/>
      <c r="I16" s="179"/>
      <c r="J16" s="179"/>
      <c r="K16" s="179"/>
      <c r="L16" s="179"/>
      <c r="M16" s="179"/>
      <c r="N16" s="179"/>
      <c r="O16" s="179"/>
      <c r="P16" s="181"/>
      <c r="Q16" s="181"/>
      <c r="R16" s="179"/>
      <c r="S16" s="179"/>
      <c r="T16" s="179"/>
      <c r="U16" s="179"/>
      <c r="V16" s="179"/>
      <c r="W16" s="179"/>
      <c r="X16" s="179"/>
      <c r="Y16" s="179"/>
      <c r="Z16" s="179"/>
      <c r="AA16" s="179"/>
      <c r="AB16" s="179">
        <f t="shared" si="0"/>
        <v>0</v>
      </c>
      <c r="AC16" s="179">
        <f t="shared" si="1"/>
        <v>34588794</v>
      </c>
    </row>
    <row r="17" spans="1:29" ht="21.75" customHeight="1" x14ac:dyDescent="0.25">
      <c r="A17" s="26" t="s">
        <v>202</v>
      </c>
      <c r="B17" s="32" t="s">
        <v>247</v>
      </c>
      <c r="C17" s="136" t="s">
        <v>211</v>
      </c>
      <c r="D17" s="179"/>
      <c r="E17" s="179"/>
      <c r="F17" s="179">
        <f>+'6.sz. Beruházások'!E145</f>
        <v>20066000</v>
      </c>
      <c r="G17" s="179">
        <f>20066000+1638189+442311-3304414-735823+160472+43328+11781600+3181032+10000+15000+5000</f>
        <v>33302695</v>
      </c>
      <c r="H17" s="179">
        <f>+'6.sz. Beruházások'!E146</f>
        <v>5780000</v>
      </c>
      <c r="I17" s="179">
        <v>5780000</v>
      </c>
      <c r="J17" s="179">
        <f>+'6.sz. Beruházások'!E147</f>
        <v>1460500</v>
      </c>
      <c r="K17" s="179">
        <f>1460500-70850+70850+3304414+735823-11980+9433+2547</f>
        <v>5500737</v>
      </c>
      <c r="L17" s="179"/>
      <c r="M17" s="179"/>
      <c r="N17" s="179"/>
      <c r="O17" s="179"/>
      <c r="P17" s="181">
        <f>+'6.sz. Beruházások'!E148</f>
        <v>6731000</v>
      </c>
      <c r="Q17" s="181">
        <v>6731000</v>
      </c>
      <c r="R17" s="179"/>
      <c r="S17" s="179"/>
      <c r="T17" s="179"/>
      <c r="U17" s="179"/>
      <c r="V17" s="179"/>
      <c r="W17" s="179"/>
      <c r="X17" s="179"/>
      <c r="Y17" s="179"/>
      <c r="Z17" s="179"/>
      <c r="AA17" s="179"/>
      <c r="AB17" s="179">
        <f t="shared" si="0"/>
        <v>34037500</v>
      </c>
      <c r="AC17" s="179">
        <f t="shared" si="1"/>
        <v>51314432</v>
      </c>
    </row>
    <row r="18" spans="1:29" ht="21.75" customHeight="1" x14ac:dyDescent="0.25">
      <c r="A18" s="26" t="s">
        <v>203</v>
      </c>
      <c r="B18" s="29" t="s">
        <v>338</v>
      </c>
      <c r="C18" s="136" t="s">
        <v>212</v>
      </c>
      <c r="D18" s="179"/>
      <c r="E18" s="179"/>
      <c r="F18" s="179"/>
      <c r="G18" s="179"/>
      <c r="H18" s="179"/>
      <c r="I18" s="179"/>
      <c r="J18" s="179"/>
      <c r="K18" s="179"/>
      <c r="L18" s="179"/>
      <c r="M18" s="179"/>
      <c r="N18" s="179"/>
      <c r="O18" s="179"/>
      <c r="P18" s="181"/>
      <c r="Q18" s="181"/>
      <c r="R18" s="179"/>
      <c r="S18" s="179"/>
      <c r="T18" s="179"/>
      <c r="U18" s="179"/>
      <c r="V18" s="179"/>
      <c r="W18" s="179"/>
      <c r="X18" s="179"/>
      <c r="Y18" s="179"/>
      <c r="Z18" s="179"/>
      <c r="AA18" s="179"/>
      <c r="AB18" s="179">
        <f t="shared" si="0"/>
        <v>0</v>
      </c>
      <c r="AC18" s="179">
        <f t="shared" si="1"/>
        <v>0</v>
      </c>
    </row>
    <row r="19" spans="1:29" ht="21.75" customHeight="1" x14ac:dyDescent="0.25">
      <c r="A19" s="26" t="s">
        <v>204</v>
      </c>
      <c r="B19" s="29" t="s">
        <v>241</v>
      </c>
      <c r="C19" s="136" t="s">
        <v>213</v>
      </c>
      <c r="D19" s="179">
        <f>D20</f>
        <v>0</v>
      </c>
      <c r="E19" s="179">
        <f t="shared" ref="E19:AA19" si="3">E20</f>
        <v>0</v>
      </c>
      <c r="F19" s="179">
        <f t="shared" si="3"/>
        <v>10000000</v>
      </c>
      <c r="G19" s="179">
        <f t="shared" si="3"/>
        <v>15500000</v>
      </c>
      <c r="H19" s="179">
        <f t="shared" si="3"/>
        <v>0</v>
      </c>
      <c r="I19" s="179">
        <f t="shared" si="3"/>
        <v>0</v>
      </c>
      <c r="J19" s="179">
        <f t="shared" si="3"/>
        <v>0</v>
      </c>
      <c r="K19" s="179">
        <f t="shared" si="3"/>
        <v>0</v>
      </c>
      <c r="L19" s="179">
        <f t="shared" si="3"/>
        <v>0</v>
      </c>
      <c r="M19" s="179">
        <f t="shared" si="3"/>
        <v>0</v>
      </c>
      <c r="N19" s="179">
        <f t="shared" si="3"/>
        <v>0</v>
      </c>
      <c r="O19" s="179">
        <f t="shared" si="3"/>
        <v>0</v>
      </c>
      <c r="P19" s="179">
        <f t="shared" si="3"/>
        <v>0</v>
      </c>
      <c r="Q19" s="179">
        <f t="shared" si="3"/>
        <v>0</v>
      </c>
      <c r="R19" s="179">
        <f t="shared" si="3"/>
        <v>0</v>
      </c>
      <c r="S19" s="179">
        <f t="shared" si="3"/>
        <v>0</v>
      </c>
      <c r="T19" s="179">
        <f t="shared" si="3"/>
        <v>0</v>
      </c>
      <c r="U19" s="179">
        <f t="shared" si="3"/>
        <v>0</v>
      </c>
      <c r="V19" s="179">
        <f t="shared" si="3"/>
        <v>0</v>
      </c>
      <c r="W19" s="179">
        <f t="shared" si="3"/>
        <v>0</v>
      </c>
      <c r="X19" s="179">
        <f t="shared" si="3"/>
        <v>0</v>
      </c>
      <c r="Y19" s="179">
        <f t="shared" si="3"/>
        <v>0</v>
      </c>
      <c r="Z19" s="179">
        <f t="shared" si="3"/>
        <v>0</v>
      </c>
      <c r="AA19" s="179">
        <f t="shared" si="3"/>
        <v>0</v>
      </c>
      <c r="AB19" s="179">
        <f t="shared" si="0"/>
        <v>10000000</v>
      </c>
      <c r="AC19" s="179">
        <f t="shared" si="1"/>
        <v>15500000</v>
      </c>
    </row>
    <row r="20" spans="1:29" ht="21.75" customHeight="1" x14ac:dyDescent="0.25">
      <c r="A20" s="26" t="s">
        <v>231</v>
      </c>
      <c r="B20" s="30" t="s">
        <v>591</v>
      </c>
      <c r="C20" s="136"/>
      <c r="D20" s="179"/>
      <c r="E20" s="179"/>
      <c r="F20" s="179">
        <f>+'4.sz.Felhalm.c.pe.átadás'!W25</f>
        <v>10000000</v>
      </c>
      <c r="G20" s="179">
        <f>10000000+1154400+470200+135200+3740200</f>
        <v>15500000</v>
      </c>
      <c r="H20" s="179"/>
      <c r="I20" s="179"/>
      <c r="J20" s="179"/>
      <c r="K20" s="179"/>
      <c r="L20" s="179"/>
      <c r="M20" s="179"/>
      <c r="N20" s="179"/>
      <c r="O20" s="179"/>
      <c r="P20" s="179"/>
      <c r="Q20" s="179"/>
      <c r="R20" s="179"/>
      <c r="S20" s="179"/>
      <c r="T20" s="179"/>
      <c r="U20" s="179"/>
      <c r="V20" s="179"/>
      <c r="W20" s="179"/>
      <c r="X20" s="179"/>
      <c r="Y20" s="179"/>
      <c r="Z20" s="179"/>
      <c r="AA20" s="179"/>
      <c r="AB20" s="179">
        <f t="shared" si="0"/>
        <v>10000000</v>
      </c>
      <c r="AC20" s="179">
        <f t="shared" si="1"/>
        <v>15500000</v>
      </c>
    </row>
    <row r="21" spans="1:29" s="36" customFormat="1" ht="21.75" customHeight="1" x14ac:dyDescent="0.25">
      <c r="A21" s="26" t="s">
        <v>232</v>
      </c>
      <c r="B21" s="32" t="s">
        <v>242</v>
      </c>
      <c r="C21" s="136" t="s">
        <v>214</v>
      </c>
      <c r="D21" s="180">
        <f>+D9+D10+D11+D12+D13+D17+D18+D19</f>
        <v>0</v>
      </c>
      <c r="E21" s="180">
        <f>+E9+E10+E11+E12+E13+E17+E18+E19</f>
        <v>34588794</v>
      </c>
      <c r="F21" s="180">
        <f t="shared" ref="F21:AA21" si="4">+F9+F10+F11+F12+F13+F17+F18+F19</f>
        <v>630283747</v>
      </c>
      <c r="G21" s="180">
        <f t="shared" si="4"/>
        <v>681445974</v>
      </c>
      <c r="H21" s="180">
        <f t="shared" si="4"/>
        <v>97688857</v>
      </c>
      <c r="I21" s="180">
        <f t="shared" si="4"/>
        <v>101855479</v>
      </c>
      <c r="J21" s="180">
        <f t="shared" si="4"/>
        <v>28269320</v>
      </c>
      <c r="K21" s="180">
        <f t="shared" si="4"/>
        <v>35302492</v>
      </c>
      <c r="L21" s="180">
        <f t="shared" si="4"/>
        <v>0</v>
      </c>
      <c r="M21" s="180">
        <f t="shared" si="4"/>
        <v>0</v>
      </c>
      <c r="N21" s="180">
        <f t="shared" si="4"/>
        <v>0</v>
      </c>
      <c r="O21" s="180">
        <f t="shared" si="4"/>
        <v>0</v>
      </c>
      <c r="P21" s="180">
        <f t="shared" si="4"/>
        <v>135943008</v>
      </c>
      <c r="Q21" s="180">
        <f t="shared" si="4"/>
        <v>142399838</v>
      </c>
      <c r="R21" s="180">
        <f t="shared" si="4"/>
        <v>0</v>
      </c>
      <c r="S21" s="180">
        <f t="shared" si="4"/>
        <v>0</v>
      </c>
      <c r="T21" s="180">
        <f t="shared" si="4"/>
        <v>1000000</v>
      </c>
      <c r="U21" s="180">
        <f t="shared" si="4"/>
        <v>19907521</v>
      </c>
      <c r="V21" s="180">
        <f t="shared" si="4"/>
        <v>1000000</v>
      </c>
      <c r="W21" s="180">
        <f t="shared" si="4"/>
        <v>12041374</v>
      </c>
      <c r="X21" s="180">
        <f t="shared" si="4"/>
        <v>1000000</v>
      </c>
      <c r="Y21" s="180">
        <f t="shared" si="4"/>
        <v>0</v>
      </c>
      <c r="Z21" s="180">
        <f t="shared" si="4"/>
        <v>2420132</v>
      </c>
      <c r="AA21" s="180">
        <f t="shared" si="4"/>
        <v>2308176</v>
      </c>
      <c r="AB21" s="179">
        <f t="shared" si="0"/>
        <v>897605064</v>
      </c>
      <c r="AC21" s="179">
        <f t="shared" si="1"/>
        <v>1029849648</v>
      </c>
    </row>
    <row r="22" spans="1:29" ht="21.75" customHeight="1" x14ac:dyDescent="0.25">
      <c r="A22" s="26" t="s">
        <v>233</v>
      </c>
      <c r="B22" s="32" t="s">
        <v>227</v>
      </c>
      <c r="C22" s="136" t="s">
        <v>223</v>
      </c>
      <c r="D22" s="179">
        <f>SUM(D23:D26)</f>
        <v>0</v>
      </c>
      <c r="E22" s="179">
        <f>SUM(E23:E26)</f>
        <v>0</v>
      </c>
      <c r="F22" s="179">
        <f t="shared" ref="F22:AA22" si="5">SUM(F23:F26)</f>
        <v>0</v>
      </c>
      <c r="G22" s="179">
        <f t="shared" si="5"/>
        <v>0</v>
      </c>
      <c r="H22" s="179">
        <f t="shared" si="5"/>
        <v>0</v>
      </c>
      <c r="I22" s="179">
        <f t="shared" si="5"/>
        <v>0</v>
      </c>
      <c r="J22" s="179">
        <f t="shared" si="5"/>
        <v>0</v>
      </c>
      <c r="K22" s="179">
        <f t="shared" si="5"/>
        <v>0</v>
      </c>
      <c r="L22" s="179">
        <f t="shared" si="5"/>
        <v>0</v>
      </c>
      <c r="M22" s="179">
        <f t="shared" si="5"/>
        <v>0</v>
      </c>
      <c r="N22" s="179">
        <f t="shared" si="5"/>
        <v>0</v>
      </c>
      <c r="O22" s="179">
        <f t="shared" si="5"/>
        <v>0</v>
      </c>
      <c r="P22" s="179">
        <f t="shared" si="5"/>
        <v>0</v>
      </c>
      <c r="Q22" s="179">
        <f t="shared" si="5"/>
        <v>0</v>
      </c>
      <c r="R22" s="179">
        <f t="shared" si="5"/>
        <v>0</v>
      </c>
      <c r="S22" s="179">
        <f t="shared" si="5"/>
        <v>0</v>
      </c>
      <c r="T22" s="179">
        <f t="shared" si="5"/>
        <v>0</v>
      </c>
      <c r="U22" s="179">
        <f t="shared" si="5"/>
        <v>0</v>
      </c>
      <c r="V22" s="179">
        <f t="shared" si="5"/>
        <v>0</v>
      </c>
      <c r="W22" s="179">
        <f t="shared" si="5"/>
        <v>0</v>
      </c>
      <c r="X22" s="179">
        <f t="shared" si="5"/>
        <v>0</v>
      </c>
      <c r="Y22" s="179">
        <f t="shared" si="5"/>
        <v>0</v>
      </c>
      <c r="Z22" s="179">
        <f t="shared" si="5"/>
        <v>0</v>
      </c>
      <c r="AA22" s="179">
        <f t="shared" si="5"/>
        <v>0</v>
      </c>
      <c r="AB22" s="179">
        <f t="shared" si="0"/>
        <v>0</v>
      </c>
      <c r="AC22" s="179">
        <f t="shared" si="1"/>
        <v>0</v>
      </c>
    </row>
    <row r="23" spans="1:29" ht="21.75" customHeight="1" x14ac:dyDescent="0.25">
      <c r="A23" s="26" t="s">
        <v>234</v>
      </c>
      <c r="B23" s="94" t="s">
        <v>182</v>
      </c>
      <c r="C23" s="137"/>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f t="shared" si="0"/>
        <v>0</v>
      </c>
      <c r="AC23" s="179">
        <f t="shared" si="1"/>
        <v>0</v>
      </c>
    </row>
    <row r="24" spans="1:29" ht="21.75" customHeight="1" x14ac:dyDescent="0.25">
      <c r="A24" s="26" t="s">
        <v>235</v>
      </c>
      <c r="B24" s="33" t="s">
        <v>569</v>
      </c>
      <c r="C24" s="137"/>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f t="shared" si="0"/>
        <v>0</v>
      </c>
      <c r="AC24" s="179">
        <f t="shared" si="1"/>
        <v>0</v>
      </c>
    </row>
    <row r="25" spans="1:29" ht="21.75" customHeight="1" x14ac:dyDescent="0.25">
      <c r="A25" s="26" t="s">
        <v>236</v>
      </c>
      <c r="B25" s="33" t="s">
        <v>570</v>
      </c>
      <c r="C25" s="137"/>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f t="shared" si="0"/>
        <v>0</v>
      </c>
      <c r="AC25" s="179">
        <f t="shared" si="1"/>
        <v>0</v>
      </c>
    </row>
    <row r="26" spans="1:29" ht="21.75" customHeight="1" x14ac:dyDescent="0.25">
      <c r="A26" s="26" t="s">
        <v>237</v>
      </c>
      <c r="B26" s="33" t="s">
        <v>126</v>
      </c>
      <c r="C26" s="137"/>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f t="shared" si="0"/>
        <v>0</v>
      </c>
      <c r="AC26" s="179">
        <f t="shared" si="1"/>
        <v>0</v>
      </c>
    </row>
    <row r="27" spans="1:29" ht="21.75" customHeight="1" x14ac:dyDescent="0.25">
      <c r="A27" s="26" t="s">
        <v>238</v>
      </c>
      <c r="B27" s="236" t="s">
        <v>847</v>
      </c>
      <c r="C27" s="137"/>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f t="shared" si="0"/>
        <v>0</v>
      </c>
      <c r="AC27" s="179">
        <f t="shared" si="1"/>
        <v>0</v>
      </c>
    </row>
    <row r="28" spans="1:29" s="35" customFormat="1" ht="21.75" customHeight="1" x14ac:dyDescent="0.25">
      <c r="A28" s="26" t="s">
        <v>239</v>
      </c>
      <c r="B28" s="34" t="s">
        <v>32</v>
      </c>
      <c r="C28" s="136"/>
      <c r="D28" s="180">
        <f>+D9+D10+D11+D12+D13+D23+D24+D16</f>
        <v>0</v>
      </c>
      <c r="E28" s="180">
        <f>+E9+E10+E11+E12+E13+E23+E24</f>
        <v>34588794</v>
      </c>
      <c r="F28" s="180">
        <f t="shared" ref="F28:AA28" si="6">+F9+F10+F11+F12+F13+F23+F24+F16</f>
        <v>600217747</v>
      </c>
      <c r="G28" s="180">
        <f t="shared" si="6"/>
        <v>632643279</v>
      </c>
      <c r="H28" s="180">
        <f t="shared" si="6"/>
        <v>91908857</v>
      </c>
      <c r="I28" s="180">
        <f t="shared" si="6"/>
        <v>96075479</v>
      </c>
      <c r="J28" s="180">
        <f t="shared" si="6"/>
        <v>26808820</v>
      </c>
      <c r="K28" s="180">
        <f t="shared" si="6"/>
        <v>29801755</v>
      </c>
      <c r="L28" s="180">
        <f t="shared" si="6"/>
        <v>0</v>
      </c>
      <c r="M28" s="180">
        <f t="shared" si="6"/>
        <v>0</v>
      </c>
      <c r="N28" s="180">
        <f t="shared" si="6"/>
        <v>0</v>
      </c>
      <c r="O28" s="180">
        <f t="shared" si="6"/>
        <v>0</v>
      </c>
      <c r="P28" s="180">
        <f t="shared" si="6"/>
        <v>129212008</v>
      </c>
      <c r="Q28" s="180">
        <f t="shared" si="6"/>
        <v>135668838</v>
      </c>
      <c r="R28" s="180">
        <f t="shared" si="6"/>
        <v>0</v>
      </c>
      <c r="S28" s="180">
        <f t="shared" si="6"/>
        <v>0</v>
      </c>
      <c r="T28" s="180">
        <f t="shared" si="6"/>
        <v>1000000</v>
      </c>
      <c r="U28" s="180">
        <f t="shared" si="6"/>
        <v>19907521</v>
      </c>
      <c r="V28" s="180">
        <f t="shared" si="6"/>
        <v>1000000</v>
      </c>
      <c r="W28" s="180">
        <f t="shared" si="6"/>
        <v>12041374</v>
      </c>
      <c r="X28" s="180">
        <f t="shared" si="6"/>
        <v>1000000</v>
      </c>
      <c r="Y28" s="180">
        <f t="shared" si="6"/>
        <v>0</v>
      </c>
      <c r="Z28" s="180">
        <f t="shared" si="6"/>
        <v>2420132</v>
      </c>
      <c r="AA28" s="180">
        <f t="shared" si="6"/>
        <v>2308176</v>
      </c>
      <c r="AB28" s="179">
        <f t="shared" si="0"/>
        <v>853567564</v>
      </c>
      <c r="AC28" s="179">
        <f>E28+G28+I28+K28+S28+AA28+M28+O28+Q28+U28+W28+Y28</f>
        <v>963035216</v>
      </c>
    </row>
    <row r="29" spans="1:29" s="35" customFormat="1" ht="21.75" customHeight="1" x14ac:dyDescent="0.25">
      <c r="A29" s="26" t="s">
        <v>266</v>
      </c>
      <c r="B29" s="34" t="s">
        <v>33</v>
      </c>
      <c r="C29" s="136"/>
      <c r="D29" s="180">
        <f>+D17+D18+D19+D25+D26</f>
        <v>0</v>
      </c>
      <c r="E29" s="180">
        <f t="shared" ref="E29:AA29" si="7">+E17+E18+E19+E25+E26</f>
        <v>0</v>
      </c>
      <c r="F29" s="180">
        <f t="shared" si="7"/>
        <v>30066000</v>
      </c>
      <c r="G29" s="180">
        <f t="shared" si="7"/>
        <v>48802695</v>
      </c>
      <c r="H29" s="180">
        <f t="shared" si="7"/>
        <v>5780000</v>
      </c>
      <c r="I29" s="180">
        <f t="shared" si="7"/>
        <v>5780000</v>
      </c>
      <c r="J29" s="180">
        <f t="shared" si="7"/>
        <v>1460500</v>
      </c>
      <c r="K29" s="180">
        <f t="shared" si="7"/>
        <v>5500737</v>
      </c>
      <c r="L29" s="180">
        <f t="shared" si="7"/>
        <v>0</v>
      </c>
      <c r="M29" s="180">
        <f t="shared" si="7"/>
        <v>0</v>
      </c>
      <c r="N29" s="180">
        <f t="shared" si="7"/>
        <v>0</v>
      </c>
      <c r="O29" s="180">
        <f t="shared" si="7"/>
        <v>0</v>
      </c>
      <c r="P29" s="180">
        <f t="shared" si="7"/>
        <v>6731000</v>
      </c>
      <c r="Q29" s="180">
        <f t="shared" si="7"/>
        <v>6731000</v>
      </c>
      <c r="R29" s="180">
        <f t="shared" si="7"/>
        <v>0</v>
      </c>
      <c r="S29" s="180">
        <f t="shared" si="7"/>
        <v>0</v>
      </c>
      <c r="T29" s="180">
        <f t="shared" si="7"/>
        <v>0</v>
      </c>
      <c r="U29" s="180">
        <f t="shared" si="7"/>
        <v>0</v>
      </c>
      <c r="V29" s="180">
        <f t="shared" si="7"/>
        <v>0</v>
      </c>
      <c r="W29" s="180">
        <f t="shared" si="7"/>
        <v>0</v>
      </c>
      <c r="X29" s="180">
        <f t="shared" si="7"/>
        <v>0</v>
      </c>
      <c r="Y29" s="180">
        <f t="shared" si="7"/>
        <v>0</v>
      </c>
      <c r="Z29" s="180">
        <f t="shared" si="7"/>
        <v>0</v>
      </c>
      <c r="AA29" s="180">
        <f t="shared" si="7"/>
        <v>0</v>
      </c>
      <c r="AB29" s="179">
        <f t="shared" si="0"/>
        <v>44037500</v>
      </c>
      <c r="AC29" s="179">
        <f t="shared" si="1"/>
        <v>66814432</v>
      </c>
    </row>
    <row r="30" spans="1:29" s="35" customFormat="1" ht="21.75" customHeight="1" x14ac:dyDescent="0.25">
      <c r="A30" s="26" t="s">
        <v>267</v>
      </c>
      <c r="B30" s="34" t="s">
        <v>333</v>
      </c>
      <c r="C30" s="136" t="s">
        <v>31</v>
      </c>
      <c r="D30" s="180">
        <f>SUM(D28:D29)</f>
        <v>0</v>
      </c>
      <c r="E30" s="180">
        <f t="shared" ref="E30:AA30" si="8">SUM(E28:E29)</f>
        <v>34588794</v>
      </c>
      <c r="F30" s="180">
        <f t="shared" si="8"/>
        <v>630283747</v>
      </c>
      <c r="G30" s="180">
        <f t="shared" si="8"/>
        <v>681445974</v>
      </c>
      <c r="H30" s="180">
        <f t="shared" si="8"/>
        <v>97688857</v>
      </c>
      <c r="I30" s="180">
        <f t="shared" si="8"/>
        <v>101855479</v>
      </c>
      <c r="J30" s="180">
        <f t="shared" si="8"/>
        <v>28269320</v>
      </c>
      <c r="K30" s="180">
        <f t="shared" si="8"/>
        <v>35302492</v>
      </c>
      <c r="L30" s="180">
        <f t="shared" si="8"/>
        <v>0</v>
      </c>
      <c r="M30" s="180">
        <f t="shared" si="8"/>
        <v>0</v>
      </c>
      <c r="N30" s="180">
        <f t="shared" si="8"/>
        <v>0</v>
      </c>
      <c r="O30" s="180">
        <f t="shared" si="8"/>
        <v>0</v>
      </c>
      <c r="P30" s="180">
        <f t="shared" si="8"/>
        <v>135943008</v>
      </c>
      <c r="Q30" s="180">
        <f t="shared" si="8"/>
        <v>142399838</v>
      </c>
      <c r="R30" s="180">
        <f t="shared" si="8"/>
        <v>0</v>
      </c>
      <c r="S30" s="180">
        <f t="shared" si="8"/>
        <v>0</v>
      </c>
      <c r="T30" s="180">
        <f t="shared" si="8"/>
        <v>1000000</v>
      </c>
      <c r="U30" s="180">
        <f t="shared" si="8"/>
        <v>19907521</v>
      </c>
      <c r="V30" s="180">
        <f t="shared" si="8"/>
        <v>1000000</v>
      </c>
      <c r="W30" s="180">
        <f t="shared" si="8"/>
        <v>12041374</v>
      </c>
      <c r="X30" s="180">
        <f t="shared" si="8"/>
        <v>1000000</v>
      </c>
      <c r="Y30" s="180">
        <f t="shared" si="8"/>
        <v>0</v>
      </c>
      <c r="Z30" s="180">
        <f t="shared" si="8"/>
        <v>2420132</v>
      </c>
      <c r="AA30" s="180">
        <f t="shared" si="8"/>
        <v>2308176</v>
      </c>
      <c r="AB30" s="179">
        <f t="shared" si="0"/>
        <v>897605064</v>
      </c>
      <c r="AC30" s="179">
        <f t="shared" si="1"/>
        <v>1029849648</v>
      </c>
    </row>
    <row r="31" spans="1:29" ht="21.75" customHeight="1" x14ac:dyDescent="0.25">
      <c r="A31" s="26" t="s">
        <v>268</v>
      </c>
      <c r="B31" s="28" t="s">
        <v>52</v>
      </c>
      <c r="C31" s="32" t="s">
        <v>215</v>
      </c>
      <c r="D31" s="179"/>
      <c r="E31" s="179"/>
      <c r="F31" s="179"/>
      <c r="G31" s="179"/>
      <c r="H31" s="179"/>
      <c r="I31" s="179"/>
      <c r="J31" s="179"/>
      <c r="K31" s="179"/>
      <c r="L31" s="179"/>
      <c r="M31" s="179"/>
      <c r="N31" s="179"/>
      <c r="O31" s="179"/>
      <c r="P31" s="179"/>
      <c r="Q31" s="179"/>
      <c r="R31" s="179"/>
      <c r="S31" s="179"/>
      <c r="T31" s="179"/>
      <c r="U31" s="179">
        <f>16837942+2069579</f>
        <v>18907521</v>
      </c>
      <c r="V31" s="179"/>
      <c r="W31" s="179">
        <f>6385700+223805</f>
        <v>6609505</v>
      </c>
      <c r="X31" s="179"/>
      <c r="Y31" s="179"/>
      <c r="Z31" s="179"/>
      <c r="AA31" s="179"/>
      <c r="AB31" s="179">
        <f t="shared" si="0"/>
        <v>0</v>
      </c>
      <c r="AC31" s="179">
        <f t="shared" si="1"/>
        <v>25517026</v>
      </c>
    </row>
    <row r="32" spans="1:29" ht="21.75" customHeight="1" x14ac:dyDescent="0.25">
      <c r="A32" s="26" t="s">
        <v>269</v>
      </c>
      <c r="B32" s="28" t="s">
        <v>226</v>
      </c>
      <c r="C32" s="32" t="s">
        <v>216</v>
      </c>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f t="shared" si="0"/>
        <v>0</v>
      </c>
      <c r="AC32" s="179">
        <f t="shared" si="1"/>
        <v>0</v>
      </c>
    </row>
    <row r="33" spans="1:30" ht="21.75" customHeight="1" x14ac:dyDescent="0.25">
      <c r="A33" s="26" t="s">
        <v>270</v>
      </c>
      <c r="B33" s="28" t="s">
        <v>225</v>
      </c>
      <c r="C33" s="32" t="s">
        <v>217</v>
      </c>
      <c r="D33" s="179"/>
      <c r="E33" s="179"/>
      <c r="F33" s="179"/>
      <c r="G33" s="179">
        <v>10000</v>
      </c>
      <c r="H33" s="179"/>
      <c r="I33" s="179">
        <v>90000</v>
      </c>
      <c r="J33" s="181">
        <v>4000000</v>
      </c>
      <c r="K33" s="181">
        <f>4000000+500000-470000</f>
        <v>4030000</v>
      </c>
      <c r="L33" s="181"/>
      <c r="M33" s="181"/>
      <c r="N33" s="181"/>
      <c r="O33" s="181"/>
      <c r="P33" s="181"/>
      <c r="Q33" s="181"/>
      <c r="R33" s="179"/>
      <c r="S33" s="179"/>
      <c r="T33" s="179"/>
      <c r="U33" s="179"/>
      <c r="V33" s="179"/>
      <c r="W33" s="179"/>
      <c r="X33" s="179"/>
      <c r="Y33" s="179"/>
      <c r="Z33" s="179"/>
      <c r="AA33" s="179"/>
      <c r="AB33" s="179">
        <f t="shared" si="0"/>
        <v>4000000</v>
      </c>
      <c r="AC33" s="179">
        <f t="shared" si="1"/>
        <v>4130000</v>
      </c>
    </row>
    <row r="34" spans="1:30" ht="21.75" customHeight="1" x14ac:dyDescent="0.25">
      <c r="A34" s="26" t="s">
        <v>271</v>
      </c>
      <c r="B34" s="29" t="s">
        <v>0</v>
      </c>
      <c r="C34" s="32" t="s">
        <v>218</v>
      </c>
      <c r="D34" s="179"/>
      <c r="E34" s="179"/>
      <c r="F34" s="179">
        <v>100</v>
      </c>
      <c r="G34" s="179">
        <f>100+1+21135+132+143064-67</f>
        <v>164365</v>
      </c>
      <c r="H34" s="179"/>
      <c r="I34" s="179">
        <v>8622</v>
      </c>
      <c r="J34" s="179"/>
      <c r="K34" s="179">
        <v>2156</v>
      </c>
      <c r="L34" s="179"/>
      <c r="M34" s="179"/>
      <c r="N34" s="179"/>
      <c r="O34" s="179"/>
      <c r="P34" s="179"/>
      <c r="Q34" s="179">
        <f>65250+37388+108342</f>
        <v>210980</v>
      </c>
      <c r="R34" s="179"/>
      <c r="S34" s="179"/>
      <c r="T34" s="179"/>
      <c r="U34" s="179"/>
      <c r="V34" s="179"/>
      <c r="W34" s="179"/>
      <c r="X34" s="179"/>
      <c r="Y34" s="179"/>
      <c r="Z34" s="179">
        <v>2286000</v>
      </c>
      <c r="AA34" s="179">
        <f>2286000+2+97788-209746</f>
        <v>2174044</v>
      </c>
      <c r="AB34" s="179">
        <f t="shared" si="0"/>
        <v>2286100</v>
      </c>
      <c r="AC34" s="179">
        <f t="shared" si="1"/>
        <v>2560167</v>
      </c>
    </row>
    <row r="35" spans="1:30" ht="21.75" customHeight="1" x14ac:dyDescent="0.25">
      <c r="A35" s="26" t="s">
        <v>272</v>
      </c>
      <c r="B35" s="28" t="s">
        <v>248</v>
      </c>
      <c r="C35" s="32" t="s">
        <v>219</v>
      </c>
      <c r="D35" s="179"/>
      <c r="E35" s="179"/>
      <c r="F35" s="179"/>
      <c r="G35" s="179">
        <f>25000+5000</f>
        <v>30000</v>
      </c>
      <c r="H35" s="179"/>
      <c r="I35" s="179"/>
      <c r="J35" s="179"/>
      <c r="K35" s="179"/>
      <c r="L35" s="179"/>
      <c r="M35" s="179"/>
      <c r="N35" s="179"/>
      <c r="O35" s="179"/>
      <c r="P35" s="179"/>
      <c r="Q35" s="179">
        <v>75000</v>
      </c>
      <c r="R35" s="179"/>
      <c r="S35" s="179"/>
      <c r="T35" s="179"/>
      <c r="U35" s="179"/>
      <c r="V35" s="179"/>
      <c r="W35" s="179"/>
      <c r="X35" s="179"/>
      <c r="Y35" s="179"/>
      <c r="Z35" s="179"/>
      <c r="AA35" s="179"/>
      <c r="AB35" s="179">
        <f t="shared" si="0"/>
        <v>0</v>
      </c>
      <c r="AC35" s="179">
        <f t="shared" si="1"/>
        <v>105000</v>
      </c>
    </row>
    <row r="36" spans="1:30" ht="21.75" customHeight="1" x14ac:dyDescent="0.25">
      <c r="A36" s="26" t="s">
        <v>273</v>
      </c>
      <c r="B36" s="28" t="s">
        <v>243</v>
      </c>
      <c r="C36" s="32" t="s">
        <v>220</v>
      </c>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f t="shared" si="0"/>
        <v>0</v>
      </c>
      <c r="AC36" s="179">
        <f t="shared" si="1"/>
        <v>0</v>
      </c>
    </row>
    <row r="37" spans="1:30" ht="21.75" customHeight="1" x14ac:dyDescent="0.25">
      <c r="A37" s="26" t="s">
        <v>274</v>
      </c>
      <c r="B37" s="28" t="s">
        <v>244</v>
      </c>
      <c r="C37" s="32" t="s">
        <v>221</v>
      </c>
      <c r="D37" s="179"/>
      <c r="E37" s="179"/>
      <c r="F37" s="181">
        <v>5088400</v>
      </c>
      <c r="G37" s="181">
        <f>5088400+1154400+470200+135200+203800</f>
        <v>7052000</v>
      </c>
      <c r="H37" s="179"/>
      <c r="I37" s="179"/>
      <c r="J37" s="179"/>
      <c r="K37" s="179"/>
      <c r="L37" s="179"/>
      <c r="M37" s="179"/>
      <c r="N37" s="179"/>
      <c r="O37" s="179"/>
      <c r="P37" s="179"/>
      <c r="Q37" s="179"/>
      <c r="R37" s="179"/>
      <c r="S37" s="179"/>
      <c r="T37" s="179"/>
      <c r="U37" s="179"/>
      <c r="V37" s="179"/>
      <c r="W37" s="179"/>
      <c r="X37" s="179"/>
      <c r="Y37" s="179"/>
      <c r="Z37" s="179"/>
      <c r="AA37" s="179"/>
      <c r="AB37" s="179">
        <f t="shared" si="0"/>
        <v>5088400</v>
      </c>
      <c r="AC37" s="179">
        <f t="shared" si="1"/>
        <v>7052000</v>
      </c>
    </row>
    <row r="38" spans="1:30" s="124" customFormat="1" ht="21.75" customHeight="1" x14ac:dyDescent="0.25">
      <c r="A38" s="26" t="s">
        <v>275</v>
      </c>
      <c r="B38" s="29" t="s">
        <v>245</v>
      </c>
      <c r="C38" s="32" t="s">
        <v>222</v>
      </c>
      <c r="D38" s="179">
        <f>+D31+D32+D33+D34+D35+D36+D37</f>
        <v>0</v>
      </c>
      <c r="E38" s="179">
        <f>+E31+E32+E33+E34+E35+E36+E37</f>
        <v>0</v>
      </c>
      <c r="F38" s="179">
        <f t="shared" ref="F38:AA38" si="9">+F31+F32+F33+F34+F35+F36+F37</f>
        <v>5088500</v>
      </c>
      <c r="G38" s="179">
        <f t="shared" si="9"/>
        <v>7256365</v>
      </c>
      <c r="H38" s="179">
        <f t="shared" si="9"/>
        <v>0</v>
      </c>
      <c r="I38" s="179">
        <f t="shared" si="9"/>
        <v>98622</v>
      </c>
      <c r="J38" s="179">
        <f t="shared" si="9"/>
        <v>4000000</v>
      </c>
      <c r="K38" s="179">
        <f t="shared" si="9"/>
        <v>4032156</v>
      </c>
      <c r="L38" s="179">
        <f t="shared" si="9"/>
        <v>0</v>
      </c>
      <c r="M38" s="179">
        <f t="shared" si="9"/>
        <v>0</v>
      </c>
      <c r="N38" s="179">
        <f t="shared" si="9"/>
        <v>0</v>
      </c>
      <c r="O38" s="179">
        <f t="shared" si="9"/>
        <v>0</v>
      </c>
      <c r="P38" s="179">
        <f t="shared" si="9"/>
        <v>0</v>
      </c>
      <c r="Q38" s="179">
        <f t="shared" si="9"/>
        <v>285980</v>
      </c>
      <c r="R38" s="179">
        <f t="shared" si="9"/>
        <v>0</v>
      </c>
      <c r="S38" s="179">
        <f t="shared" si="9"/>
        <v>0</v>
      </c>
      <c r="T38" s="179">
        <f t="shared" si="9"/>
        <v>0</v>
      </c>
      <c r="U38" s="179">
        <f t="shared" si="9"/>
        <v>18907521</v>
      </c>
      <c r="V38" s="179">
        <f t="shared" si="9"/>
        <v>0</v>
      </c>
      <c r="W38" s="179">
        <f t="shared" si="9"/>
        <v>6609505</v>
      </c>
      <c r="X38" s="179">
        <f t="shared" si="9"/>
        <v>0</v>
      </c>
      <c r="Y38" s="179">
        <f t="shared" si="9"/>
        <v>0</v>
      </c>
      <c r="Z38" s="179">
        <f t="shared" si="9"/>
        <v>2286000</v>
      </c>
      <c r="AA38" s="179">
        <f t="shared" si="9"/>
        <v>2174044</v>
      </c>
      <c r="AB38" s="179">
        <f t="shared" si="0"/>
        <v>11374500</v>
      </c>
      <c r="AC38" s="179">
        <f t="shared" si="1"/>
        <v>39364193</v>
      </c>
    </row>
    <row r="39" spans="1:30" ht="21.75" customHeight="1" x14ac:dyDescent="0.25">
      <c r="A39" s="26" t="s">
        <v>276</v>
      </c>
      <c r="B39" s="32" t="s">
        <v>246</v>
      </c>
      <c r="C39" s="136" t="s">
        <v>224</v>
      </c>
      <c r="D39" s="179">
        <f>SUM(D41:D45)</f>
        <v>886230564</v>
      </c>
      <c r="E39" s="179">
        <f>SUM(E41:E45)</f>
        <v>990485455</v>
      </c>
      <c r="F39" s="179">
        <f t="shared" ref="F39:AA39" si="10">SUM(F41:F45)</f>
        <v>0</v>
      </c>
      <c r="G39" s="179">
        <f t="shared" si="10"/>
        <v>0</v>
      </c>
      <c r="H39" s="179">
        <f t="shared" si="10"/>
        <v>0</v>
      </c>
      <c r="I39" s="179">
        <f t="shared" si="10"/>
        <v>0</v>
      </c>
      <c r="J39" s="179">
        <f t="shared" si="10"/>
        <v>0</v>
      </c>
      <c r="K39" s="179">
        <f t="shared" si="10"/>
        <v>0</v>
      </c>
      <c r="L39" s="179">
        <f t="shared" si="10"/>
        <v>0</v>
      </c>
      <c r="M39" s="179">
        <f t="shared" si="10"/>
        <v>0</v>
      </c>
      <c r="N39" s="179">
        <f t="shared" si="10"/>
        <v>0</v>
      </c>
      <c r="O39" s="179">
        <f t="shared" si="10"/>
        <v>0</v>
      </c>
      <c r="P39" s="179">
        <f t="shared" si="10"/>
        <v>0</v>
      </c>
      <c r="Q39" s="179">
        <f t="shared" si="10"/>
        <v>0</v>
      </c>
      <c r="R39" s="179">
        <f t="shared" si="10"/>
        <v>0</v>
      </c>
      <c r="S39" s="179">
        <f t="shared" si="10"/>
        <v>0</v>
      </c>
      <c r="T39" s="179">
        <f t="shared" si="10"/>
        <v>0</v>
      </c>
      <c r="U39" s="179">
        <f t="shared" si="10"/>
        <v>0</v>
      </c>
      <c r="V39" s="179">
        <f t="shared" si="10"/>
        <v>0</v>
      </c>
      <c r="W39" s="179">
        <f t="shared" si="10"/>
        <v>0</v>
      </c>
      <c r="X39" s="179">
        <f t="shared" si="10"/>
        <v>0</v>
      </c>
      <c r="Y39" s="179">
        <f t="shared" si="10"/>
        <v>0</v>
      </c>
      <c r="Z39" s="179">
        <f t="shared" si="10"/>
        <v>0</v>
      </c>
      <c r="AA39" s="179">
        <f t="shared" si="10"/>
        <v>0</v>
      </c>
      <c r="AB39" s="179">
        <f t="shared" si="0"/>
        <v>886230564</v>
      </c>
      <c r="AC39" s="179">
        <f>E39+G39+I39+K39+S39+AA39+M39+O39+Q39+U39+W39+Y39</f>
        <v>990485455</v>
      </c>
      <c r="AD39" s="84"/>
    </row>
    <row r="40" spans="1:30" ht="21.75" customHeight="1" x14ac:dyDescent="0.25">
      <c r="A40" s="26" t="s">
        <v>277</v>
      </c>
      <c r="B40" s="94" t="s">
        <v>582</v>
      </c>
      <c r="C40" s="136"/>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f t="shared" si="0"/>
        <v>0</v>
      </c>
      <c r="AC40" s="179">
        <f t="shared" si="1"/>
        <v>0</v>
      </c>
    </row>
    <row r="41" spans="1:30" ht="21.75" customHeight="1" x14ac:dyDescent="0.25">
      <c r="A41" s="26" t="s">
        <v>278</v>
      </c>
      <c r="B41" s="33" t="s">
        <v>882</v>
      </c>
      <c r="C41" s="137"/>
      <c r="D41" s="179">
        <f>884945+3201142</f>
        <v>4086087</v>
      </c>
      <c r="E41" s="179">
        <f>884945+3201142+34588794</f>
        <v>38674881</v>
      </c>
      <c r="F41" s="179"/>
      <c r="G41" s="179"/>
      <c r="H41" s="179"/>
      <c r="I41" s="179"/>
      <c r="J41" s="179"/>
      <c r="K41" s="179"/>
      <c r="L41" s="179"/>
      <c r="M41" s="179"/>
      <c r="N41" s="179"/>
      <c r="O41" s="179"/>
      <c r="P41" s="179"/>
      <c r="Q41" s="179"/>
      <c r="R41" s="179"/>
      <c r="S41" s="179"/>
      <c r="T41" s="179"/>
      <c r="U41" s="179"/>
      <c r="V41" s="179"/>
      <c r="W41" s="179"/>
      <c r="X41" s="179"/>
      <c r="Y41" s="179"/>
      <c r="Z41" s="179"/>
      <c r="AA41" s="179"/>
      <c r="AB41" s="179">
        <f t="shared" si="0"/>
        <v>4086087</v>
      </c>
      <c r="AC41" s="179">
        <f>E41+G41+I41+K41+S41+AA41+M41+O41+Q41+U41+W41+Y41</f>
        <v>38674881</v>
      </c>
    </row>
    <row r="42" spans="1:30" ht="21.75" customHeight="1" x14ac:dyDescent="0.25">
      <c r="A42" s="26" t="s">
        <v>282</v>
      </c>
      <c r="B42" s="33" t="s">
        <v>883</v>
      </c>
      <c r="C42" s="137"/>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f t="shared" si="0"/>
        <v>0</v>
      </c>
      <c r="AC42" s="179">
        <f t="shared" si="1"/>
        <v>0</v>
      </c>
    </row>
    <row r="43" spans="1:30" ht="21.75" customHeight="1" x14ac:dyDescent="0.25">
      <c r="A43" s="26" t="s">
        <v>283</v>
      </c>
      <c r="B43" s="33" t="s">
        <v>554</v>
      </c>
      <c r="C43" s="137"/>
      <c r="D43" s="179">
        <f>AB28-AB31-AB33-AB34-AB36-AB41</f>
        <v>843195377</v>
      </c>
      <c r="E43" s="179">
        <f>AC28-AC31-AC33-AC34-AC36-AC41</f>
        <v>892153142</v>
      </c>
      <c r="F43" s="179"/>
      <c r="G43" s="179"/>
      <c r="H43" s="179"/>
      <c r="I43" s="179"/>
      <c r="J43" s="179"/>
      <c r="K43" s="179"/>
      <c r="L43" s="179"/>
      <c r="M43" s="179"/>
      <c r="N43" s="179"/>
      <c r="O43" s="179"/>
      <c r="P43" s="179"/>
      <c r="Q43" s="179"/>
      <c r="R43" s="179"/>
      <c r="S43" s="179"/>
      <c r="T43" s="179"/>
      <c r="U43" s="179"/>
      <c r="V43" s="179"/>
      <c r="W43" s="179"/>
      <c r="X43" s="179"/>
      <c r="Y43" s="179"/>
      <c r="Z43" s="179"/>
      <c r="AA43" s="179"/>
      <c r="AB43" s="179">
        <f t="shared" si="0"/>
        <v>843195377</v>
      </c>
      <c r="AC43" s="179">
        <f t="shared" si="1"/>
        <v>892153142</v>
      </c>
    </row>
    <row r="44" spans="1:30" ht="21.75" customHeight="1" x14ac:dyDescent="0.25">
      <c r="A44" s="26" t="s">
        <v>284</v>
      </c>
      <c r="B44" s="33" t="s">
        <v>555</v>
      </c>
      <c r="C44" s="137"/>
      <c r="D44" s="179">
        <f>AB29-AB32-AB35-AB37-AB42</f>
        <v>38949100</v>
      </c>
      <c r="E44" s="179">
        <f>AC29-AC32-AC35-AC37-AC42</f>
        <v>59657432</v>
      </c>
      <c r="F44" s="179"/>
      <c r="G44" s="179"/>
      <c r="H44" s="179"/>
      <c r="I44" s="179"/>
      <c r="J44" s="179"/>
      <c r="K44" s="179"/>
      <c r="L44" s="179"/>
      <c r="M44" s="179"/>
      <c r="N44" s="179"/>
      <c r="O44" s="179"/>
      <c r="P44" s="179"/>
      <c r="Q44" s="179"/>
      <c r="R44" s="179"/>
      <c r="S44" s="179"/>
      <c r="T44" s="179"/>
      <c r="U44" s="179"/>
      <c r="V44" s="179"/>
      <c r="W44" s="179"/>
      <c r="X44" s="179"/>
      <c r="Y44" s="179"/>
      <c r="Z44" s="179"/>
      <c r="AA44" s="179"/>
      <c r="AB44" s="179">
        <f t="shared" si="0"/>
        <v>38949100</v>
      </c>
      <c r="AC44" s="179">
        <f t="shared" si="1"/>
        <v>59657432</v>
      </c>
    </row>
    <row r="45" spans="1:30" ht="21.75" customHeight="1" x14ac:dyDescent="0.25">
      <c r="A45" s="26" t="s">
        <v>285</v>
      </c>
      <c r="B45" s="33" t="s">
        <v>592</v>
      </c>
      <c r="C45" s="137"/>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f t="shared" si="0"/>
        <v>0</v>
      </c>
      <c r="AC45" s="179">
        <f t="shared" si="1"/>
        <v>0</v>
      </c>
    </row>
    <row r="46" spans="1:30" ht="21.75" customHeight="1" x14ac:dyDescent="0.25">
      <c r="A46" s="26" t="s">
        <v>286</v>
      </c>
      <c r="B46" s="236" t="s">
        <v>846</v>
      </c>
      <c r="C46" s="137"/>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f t="shared" si="0"/>
        <v>0</v>
      </c>
      <c r="AC46" s="179">
        <f t="shared" si="1"/>
        <v>0</v>
      </c>
    </row>
    <row r="47" spans="1:30" ht="21.75" customHeight="1" x14ac:dyDescent="0.25">
      <c r="A47" s="26" t="s">
        <v>287</v>
      </c>
      <c r="B47" s="34" t="s">
        <v>112</v>
      </c>
      <c r="C47" s="136"/>
      <c r="D47" s="180">
        <f>+D31+D33+D34+D36+D41+D43</f>
        <v>847281464</v>
      </c>
      <c r="E47" s="180">
        <f>+E31+E33+E34+E36+E41+E43</f>
        <v>930828023</v>
      </c>
      <c r="F47" s="180">
        <f t="shared" ref="F47:AA47" si="11">+F31+F33+F34+F36+F41+F43</f>
        <v>100</v>
      </c>
      <c r="G47" s="180">
        <f t="shared" si="11"/>
        <v>174365</v>
      </c>
      <c r="H47" s="180">
        <f t="shared" si="11"/>
        <v>0</v>
      </c>
      <c r="I47" s="180">
        <f t="shared" si="11"/>
        <v>98622</v>
      </c>
      <c r="J47" s="180">
        <f t="shared" si="11"/>
        <v>4000000</v>
      </c>
      <c r="K47" s="180">
        <f t="shared" si="11"/>
        <v>4032156</v>
      </c>
      <c r="L47" s="180">
        <f t="shared" si="11"/>
        <v>0</v>
      </c>
      <c r="M47" s="180">
        <f t="shared" si="11"/>
        <v>0</v>
      </c>
      <c r="N47" s="180">
        <f t="shared" si="11"/>
        <v>0</v>
      </c>
      <c r="O47" s="180">
        <f t="shared" si="11"/>
        <v>0</v>
      </c>
      <c r="P47" s="180">
        <f t="shared" si="11"/>
        <v>0</v>
      </c>
      <c r="Q47" s="180">
        <f t="shared" si="11"/>
        <v>210980</v>
      </c>
      <c r="R47" s="180">
        <f t="shared" si="11"/>
        <v>0</v>
      </c>
      <c r="S47" s="180">
        <f t="shared" si="11"/>
        <v>0</v>
      </c>
      <c r="T47" s="180">
        <f t="shared" si="11"/>
        <v>0</v>
      </c>
      <c r="U47" s="180">
        <f t="shared" si="11"/>
        <v>18907521</v>
      </c>
      <c r="V47" s="180">
        <f t="shared" si="11"/>
        <v>0</v>
      </c>
      <c r="W47" s="180">
        <f t="shared" si="11"/>
        <v>6609505</v>
      </c>
      <c r="X47" s="180">
        <f t="shared" si="11"/>
        <v>0</v>
      </c>
      <c r="Y47" s="180">
        <f t="shared" si="11"/>
        <v>0</v>
      </c>
      <c r="Z47" s="180">
        <f t="shared" si="11"/>
        <v>2286000</v>
      </c>
      <c r="AA47" s="180">
        <f t="shared" si="11"/>
        <v>2174044</v>
      </c>
      <c r="AB47" s="179">
        <f t="shared" si="0"/>
        <v>853567564</v>
      </c>
      <c r="AC47" s="179">
        <f t="shared" si="1"/>
        <v>963035216</v>
      </c>
    </row>
    <row r="48" spans="1:30" ht="21.75" customHeight="1" x14ac:dyDescent="0.25">
      <c r="A48" s="26" t="s">
        <v>288</v>
      </c>
      <c r="B48" s="34" t="s">
        <v>113</v>
      </c>
      <c r="C48" s="136"/>
      <c r="D48" s="180">
        <f>+D32+D35+D37+D42+D429+D45+D44</f>
        <v>38949100</v>
      </c>
      <c r="E48" s="180">
        <f>+E32+E35+E37+E42+E429+E45+E44</f>
        <v>59657432</v>
      </c>
      <c r="F48" s="180">
        <f t="shared" ref="F48:AA48" si="12">+F32+F35+F37+F42+F429+F45+F44</f>
        <v>5088400</v>
      </c>
      <c r="G48" s="180">
        <f t="shared" si="12"/>
        <v>7082000</v>
      </c>
      <c r="H48" s="180">
        <f t="shared" si="12"/>
        <v>0</v>
      </c>
      <c r="I48" s="180">
        <f t="shared" si="12"/>
        <v>0</v>
      </c>
      <c r="J48" s="180">
        <f t="shared" si="12"/>
        <v>0</v>
      </c>
      <c r="K48" s="180">
        <f t="shared" si="12"/>
        <v>0</v>
      </c>
      <c r="L48" s="180">
        <f t="shared" si="12"/>
        <v>0</v>
      </c>
      <c r="M48" s="180">
        <f t="shared" si="12"/>
        <v>0</v>
      </c>
      <c r="N48" s="180">
        <f t="shared" si="12"/>
        <v>0</v>
      </c>
      <c r="O48" s="180">
        <f t="shared" si="12"/>
        <v>0</v>
      </c>
      <c r="P48" s="180">
        <f t="shared" si="12"/>
        <v>0</v>
      </c>
      <c r="Q48" s="180">
        <f t="shared" si="12"/>
        <v>75000</v>
      </c>
      <c r="R48" s="180">
        <f t="shared" si="12"/>
        <v>0</v>
      </c>
      <c r="S48" s="180">
        <f t="shared" si="12"/>
        <v>0</v>
      </c>
      <c r="T48" s="180">
        <f t="shared" si="12"/>
        <v>0</v>
      </c>
      <c r="U48" s="180">
        <f t="shared" si="12"/>
        <v>0</v>
      </c>
      <c r="V48" s="180">
        <f t="shared" si="12"/>
        <v>0</v>
      </c>
      <c r="W48" s="180">
        <f t="shared" si="12"/>
        <v>0</v>
      </c>
      <c r="X48" s="180">
        <f t="shared" si="12"/>
        <v>0</v>
      </c>
      <c r="Y48" s="180">
        <f t="shared" si="12"/>
        <v>0</v>
      </c>
      <c r="Z48" s="180">
        <f t="shared" si="12"/>
        <v>0</v>
      </c>
      <c r="AA48" s="180">
        <f t="shared" si="12"/>
        <v>0</v>
      </c>
      <c r="AB48" s="179">
        <f t="shared" si="0"/>
        <v>44037500</v>
      </c>
      <c r="AC48" s="179">
        <f t="shared" si="1"/>
        <v>66814432</v>
      </c>
    </row>
    <row r="49" spans="1:30" ht="21.75" customHeight="1" x14ac:dyDescent="0.25">
      <c r="A49" s="26" t="s">
        <v>289</v>
      </c>
      <c r="B49" s="34" t="s">
        <v>334</v>
      </c>
      <c r="C49" s="136"/>
      <c r="D49" s="180">
        <f>+D47+D48</f>
        <v>886230564</v>
      </c>
      <c r="E49" s="180">
        <f>+E47+E48</f>
        <v>990485455</v>
      </c>
      <c r="F49" s="180">
        <f t="shared" ref="F49:AA49" si="13">+F47+F48</f>
        <v>5088500</v>
      </c>
      <c r="G49" s="180">
        <f t="shared" si="13"/>
        <v>7256365</v>
      </c>
      <c r="H49" s="180">
        <f t="shared" si="13"/>
        <v>0</v>
      </c>
      <c r="I49" s="180">
        <f t="shared" si="13"/>
        <v>98622</v>
      </c>
      <c r="J49" s="180">
        <f t="shared" si="13"/>
        <v>4000000</v>
      </c>
      <c r="K49" s="180">
        <f t="shared" si="13"/>
        <v>4032156</v>
      </c>
      <c r="L49" s="180">
        <f t="shared" si="13"/>
        <v>0</v>
      </c>
      <c r="M49" s="180">
        <f t="shared" si="13"/>
        <v>0</v>
      </c>
      <c r="N49" s="180">
        <f t="shared" si="13"/>
        <v>0</v>
      </c>
      <c r="O49" s="180">
        <f t="shared" si="13"/>
        <v>0</v>
      </c>
      <c r="P49" s="180">
        <f t="shared" si="13"/>
        <v>0</v>
      </c>
      <c r="Q49" s="180">
        <f t="shared" si="13"/>
        <v>285980</v>
      </c>
      <c r="R49" s="180">
        <f t="shared" si="13"/>
        <v>0</v>
      </c>
      <c r="S49" s="180">
        <f t="shared" si="13"/>
        <v>0</v>
      </c>
      <c r="T49" s="180">
        <f t="shared" si="13"/>
        <v>0</v>
      </c>
      <c r="U49" s="180">
        <f t="shared" si="13"/>
        <v>18907521</v>
      </c>
      <c r="V49" s="180">
        <f t="shared" si="13"/>
        <v>0</v>
      </c>
      <c r="W49" s="180">
        <f t="shared" si="13"/>
        <v>6609505</v>
      </c>
      <c r="X49" s="180">
        <f t="shared" si="13"/>
        <v>0</v>
      </c>
      <c r="Y49" s="180">
        <f t="shared" si="13"/>
        <v>0</v>
      </c>
      <c r="Z49" s="180">
        <f t="shared" si="13"/>
        <v>2286000</v>
      </c>
      <c r="AA49" s="180">
        <f t="shared" si="13"/>
        <v>2174044</v>
      </c>
      <c r="AB49" s="179">
        <f t="shared" si="0"/>
        <v>897605064</v>
      </c>
      <c r="AC49" s="179">
        <f t="shared" si="1"/>
        <v>1029849648</v>
      </c>
    </row>
    <row r="50" spans="1:30" ht="21.75" customHeight="1" x14ac:dyDescent="0.25">
      <c r="A50" s="26" t="s">
        <v>290</v>
      </c>
      <c r="B50" s="380" t="s">
        <v>450</v>
      </c>
      <c r="C50" s="182"/>
      <c r="D50" s="179"/>
      <c r="E50" s="179"/>
      <c r="F50" s="179">
        <v>49</v>
      </c>
      <c r="G50" s="179">
        <v>49</v>
      </c>
      <c r="H50" s="179">
        <v>7</v>
      </c>
      <c r="I50" s="179">
        <v>7</v>
      </c>
      <c r="J50" s="179">
        <v>2</v>
      </c>
      <c r="K50" s="179">
        <v>2</v>
      </c>
      <c r="L50" s="179"/>
      <c r="M50" s="179"/>
      <c r="N50" s="179"/>
      <c r="O50" s="179"/>
      <c r="P50" s="179">
        <v>13</v>
      </c>
      <c r="Q50" s="179">
        <v>13</v>
      </c>
      <c r="R50" s="179"/>
      <c r="S50" s="179"/>
      <c r="T50" s="179"/>
      <c r="U50" s="179"/>
      <c r="V50" s="179"/>
      <c r="W50" s="179"/>
      <c r="X50" s="179"/>
      <c r="Y50" s="179"/>
      <c r="Z50" s="179"/>
      <c r="AA50" s="179"/>
      <c r="AB50" s="179">
        <f>D50+F50+H50+J50+R50+Z50+L50+N50+P50+T50+V50+X50</f>
        <v>71</v>
      </c>
      <c r="AC50" s="179">
        <f t="shared" si="0"/>
        <v>71</v>
      </c>
      <c r="AD50" s="84">
        <f>AB49-AB30</f>
        <v>0</v>
      </c>
    </row>
    <row r="51" spans="1:30" ht="21.75" customHeight="1" x14ac:dyDescent="0.25">
      <c r="A51" s="26" t="s">
        <v>291</v>
      </c>
      <c r="B51" s="48" t="s">
        <v>1357</v>
      </c>
      <c r="C51" s="18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179">
        <f t="shared" si="0"/>
        <v>0</v>
      </c>
      <c r="AC51" s="179">
        <f t="shared" si="1"/>
        <v>0</v>
      </c>
      <c r="AD51" s="84"/>
    </row>
  </sheetData>
  <mergeCells count="38">
    <mergeCell ref="A2:C3"/>
    <mergeCell ref="D2:G2"/>
    <mergeCell ref="H2:K2"/>
    <mergeCell ref="K6:K7"/>
    <mergeCell ref="M6:M7"/>
    <mergeCell ref="L2:O2"/>
    <mergeCell ref="A4:A7"/>
    <mergeCell ref="B4:C4"/>
    <mergeCell ref="D6:D7"/>
    <mergeCell ref="H6:H7"/>
    <mergeCell ref="F6:F7"/>
    <mergeCell ref="B5:C5"/>
    <mergeCell ref="I6:I7"/>
    <mergeCell ref="O6:O7"/>
    <mergeCell ref="L6:L7"/>
    <mergeCell ref="B6:C6"/>
    <mergeCell ref="J6:J7"/>
    <mergeCell ref="E6:E7"/>
    <mergeCell ref="G6:G7"/>
    <mergeCell ref="AC4:AC7"/>
    <mergeCell ref="T6:T7"/>
    <mergeCell ref="P6:P7"/>
    <mergeCell ref="R6:R7"/>
    <mergeCell ref="N6:N7"/>
    <mergeCell ref="Q6:Q7"/>
    <mergeCell ref="S6:S7"/>
    <mergeCell ref="P2:S2"/>
    <mergeCell ref="T2:W2"/>
    <mergeCell ref="X2:AA2"/>
    <mergeCell ref="AB2:AC2"/>
    <mergeCell ref="Z6:Z7"/>
    <mergeCell ref="AB4:AB7"/>
    <mergeCell ref="X6:X7"/>
    <mergeCell ref="V6:V7"/>
    <mergeCell ref="U6:U7"/>
    <mergeCell ref="W6:W7"/>
    <mergeCell ref="Y6:Y7"/>
    <mergeCell ref="AA6:AA7"/>
  </mergeCells>
  <phoneticPr fontId="45" type="noConversion"/>
  <printOptions horizontalCentered="1" verticalCentered="1"/>
  <pageMargins left="0.39370078740157483" right="0.35433070866141736" top="0.19685039370078741" bottom="0.19685039370078741" header="0.51181102362204722" footer="0.51181102362204722"/>
  <pageSetup paperSize="9" scale="55" orientation="portrait" r:id="rId1"/>
  <headerFooter alignWithMargins="0">
    <oddHeader>&amp;C2022. évi költségvetés&amp;R&amp;A</oddHeader>
    <oddFooter>&amp;C&amp;P/&amp;N</oddFooter>
  </headerFooter>
  <colBreaks count="6" manualBreakCount="6">
    <brk id="7" max="50" man="1"/>
    <brk id="11" max="50" man="1"/>
    <brk id="15" max="50" man="1"/>
    <brk id="19" max="50" man="1"/>
    <brk id="23" max="50" man="1"/>
    <brk id="27" max="5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view="pageBreakPreview" zoomScale="89" zoomScaleNormal="100" zoomScaleSheetLayoutView="89" workbookViewId="0">
      <selection activeCell="D11" sqref="D11:I11"/>
    </sheetView>
  </sheetViews>
  <sheetFormatPr defaultColWidth="9.140625" defaultRowHeight="12.75" x14ac:dyDescent="0.2"/>
  <cols>
    <col min="1" max="1" width="9.140625" style="314"/>
    <col min="2" max="2" width="48.140625" style="314" customWidth="1"/>
    <col min="3" max="3" width="9.140625" style="314"/>
    <col min="4" max="4" width="14.85546875" style="314" customWidth="1"/>
    <col min="5" max="5" width="13.28515625" style="314" customWidth="1"/>
    <col min="6" max="6" width="12.42578125" style="314" customWidth="1"/>
    <col min="7" max="8" width="13.28515625" style="314" customWidth="1"/>
    <col min="9" max="9" width="16.7109375" style="314" customWidth="1"/>
    <col min="10" max="10" width="15.42578125" style="314" customWidth="1"/>
    <col min="11" max="11" width="18.42578125" style="314" bestFit="1" customWidth="1"/>
    <col min="12" max="12" width="12.140625" style="314" bestFit="1" customWidth="1"/>
    <col min="13" max="16384" width="9.140625" style="314"/>
  </cols>
  <sheetData>
    <row r="1" spans="1:13" ht="15.75" x14ac:dyDescent="0.2">
      <c r="A1" s="1941" t="s">
        <v>1058</v>
      </c>
      <c r="B1" s="1941"/>
      <c r="C1" s="1941"/>
      <c r="D1" s="1941"/>
      <c r="E1" s="1941"/>
      <c r="F1" s="1941"/>
      <c r="G1" s="1941"/>
      <c r="H1" s="1941"/>
      <c r="I1" s="1941"/>
    </row>
    <row r="2" spans="1:13" ht="14.25" thickBot="1" x14ac:dyDescent="0.3">
      <c r="A2" s="457"/>
      <c r="B2" s="458"/>
      <c r="C2" s="458"/>
      <c r="D2" s="458"/>
      <c r="E2" s="458"/>
      <c r="F2" s="458"/>
      <c r="G2" s="458"/>
      <c r="H2" s="458"/>
      <c r="I2" s="459"/>
    </row>
    <row r="3" spans="1:13" x14ac:dyDescent="0.2">
      <c r="A3" s="1942" t="s">
        <v>192</v>
      </c>
      <c r="B3" s="1944" t="s">
        <v>1059</v>
      </c>
      <c r="C3" s="1946" t="s">
        <v>1060</v>
      </c>
      <c r="D3" s="1946" t="s">
        <v>1474</v>
      </c>
      <c r="E3" s="1944" t="s">
        <v>1061</v>
      </c>
      <c r="F3" s="1944"/>
      <c r="G3" s="1944"/>
      <c r="H3" s="1944"/>
      <c r="I3" s="1948" t="s">
        <v>118</v>
      </c>
      <c r="J3" s="1938" t="s">
        <v>1062</v>
      </c>
      <c r="K3" s="314" t="s">
        <v>1063</v>
      </c>
    </row>
    <row r="4" spans="1:13" x14ac:dyDescent="0.2">
      <c r="A4" s="1943"/>
      <c r="B4" s="1945"/>
      <c r="C4" s="1945"/>
      <c r="D4" s="1947"/>
      <c r="E4" s="1277" t="s">
        <v>1066</v>
      </c>
      <c r="F4" s="1277" t="s">
        <v>1089</v>
      </c>
      <c r="G4" s="1277" t="s">
        <v>1115</v>
      </c>
      <c r="H4" s="1278" t="s">
        <v>1475</v>
      </c>
      <c r="I4" s="1949"/>
      <c r="J4" s="1938"/>
    </row>
    <row r="5" spans="1:13" x14ac:dyDescent="0.2">
      <c r="A5" s="1276" t="s">
        <v>1067</v>
      </c>
      <c r="B5" s="1278" t="s">
        <v>1068</v>
      </c>
      <c r="C5" s="1278" t="s">
        <v>1069</v>
      </c>
      <c r="D5" s="1278" t="s">
        <v>1070</v>
      </c>
      <c r="E5" s="1278" t="s">
        <v>1071</v>
      </c>
      <c r="F5" s="1278" t="s">
        <v>1072</v>
      </c>
      <c r="G5" s="1278" t="s">
        <v>1073</v>
      </c>
      <c r="H5" s="1278" t="s">
        <v>1074</v>
      </c>
      <c r="I5" s="460" t="s">
        <v>1075</v>
      </c>
      <c r="J5" s="1938"/>
    </row>
    <row r="6" spans="1:13" ht="32.25" customHeight="1" x14ac:dyDescent="0.2">
      <c r="A6" s="1276" t="s">
        <v>194</v>
      </c>
      <c r="B6" s="461" t="s">
        <v>1076</v>
      </c>
      <c r="C6" s="462"/>
      <c r="D6" s="463"/>
      <c r="E6" s="463"/>
      <c r="F6" s="463"/>
      <c r="G6" s="463"/>
      <c r="H6" s="463"/>
      <c r="I6" s="464"/>
    </row>
    <row r="7" spans="1:13" ht="36.75" customHeight="1" x14ac:dyDescent="0.2">
      <c r="A7" s="1276" t="s">
        <v>195</v>
      </c>
      <c r="B7" s="461" t="s">
        <v>1077</v>
      </c>
      <c r="C7" s="462"/>
      <c r="D7" s="1627">
        <f t="shared" ref="D7:I7" si="0">SUM(D8:D10)</f>
        <v>177460775</v>
      </c>
      <c r="E7" s="1627">
        <f t="shared" si="0"/>
        <v>28182624</v>
      </c>
      <c r="F7" s="1627">
        <f t="shared" si="0"/>
        <v>28182624</v>
      </c>
      <c r="G7" s="1627">
        <f t="shared" si="0"/>
        <v>28182624</v>
      </c>
      <c r="H7" s="1627">
        <f t="shared" si="0"/>
        <v>387483921</v>
      </c>
      <c r="I7" s="1628">
        <f t="shared" si="0"/>
        <v>649492568</v>
      </c>
      <c r="J7" s="466">
        <f>SUM(I8:I10)</f>
        <v>649492568</v>
      </c>
    </row>
    <row r="8" spans="1:13" ht="23.25" customHeight="1" x14ac:dyDescent="0.2">
      <c r="A8" s="1276"/>
      <c r="B8" s="465" t="s">
        <v>1078</v>
      </c>
      <c r="C8" s="462" t="s">
        <v>1079</v>
      </c>
      <c r="D8" s="616">
        <v>117452509</v>
      </c>
      <c r="E8" s="616">
        <v>14063032</v>
      </c>
      <c r="F8" s="616">
        <v>14063032</v>
      </c>
      <c r="G8" s="616">
        <v>14063032</v>
      </c>
      <c r="H8" s="616">
        <v>189850963</v>
      </c>
      <c r="I8" s="615">
        <f>SUM(D8:H8)</f>
        <v>349492568</v>
      </c>
      <c r="J8" s="617">
        <f>+K8</f>
        <v>349492568</v>
      </c>
      <c r="K8" s="618">
        <v>349492568</v>
      </c>
      <c r="L8" s="466"/>
    </row>
    <row r="9" spans="1:13" ht="18" customHeight="1" x14ac:dyDescent="0.2">
      <c r="A9" s="1276"/>
      <c r="B9" s="465" t="s">
        <v>1080</v>
      </c>
      <c r="C9" s="462" t="s">
        <v>1081</v>
      </c>
      <c r="D9" s="616">
        <v>41410266</v>
      </c>
      <c r="E9" s="616">
        <v>9743592</v>
      </c>
      <c r="F9" s="616">
        <v>9743592</v>
      </c>
      <c r="G9" s="616">
        <v>9743592</v>
      </c>
      <c r="H9" s="616">
        <v>136410325</v>
      </c>
      <c r="I9" s="615">
        <f>SUM(D9:H9)</f>
        <v>207051367</v>
      </c>
      <c r="J9" s="617">
        <v>207051367</v>
      </c>
      <c r="K9" s="617"/>
    </row>
    <row r="10" spans="1:13" ht="21.75" customHeight="1" x14ac:dyDescent="0.2">
      <c r="A10" s="1276"/>
      <c r="B10" s="465" t="s">
        <v>1082</v>
      </c>
      <c r="C10" s="462" t="s">
        <v>1081</v>
      </c>
      <c r="D10" s="616">
        <v>18598000</v>
      </c>
      <c r="E10" s="616">
        <v>4376000</v>
      </c>
      <c r="F10" s="616">
        <v>4376000</v>
      </c>
      <c r="G10" s="616">
        <v>4376000</v>
      </c>
      <c r="H10" s="616">
        <v>61222633</v>
      </c>
      <c r="I10" s="615">
        <f>SUM(D10:H10)</f>
        <v>92948633</v>
      </c>
      <c r="J10" s="314">
        <v>92948633</v>
      </c>
      <c r="K10" s="466"/>
      <c r="L10" s="466"/>
    </row>
    <row r="11" spans="1:13" ht="21" customHeight="1" x14ac:dyDescent="0.2">
      <c r="A11" s="1276" t="s">
        <v>196</v>
      </c>
      <c r="B11" s="461" t="s">
        <v>1083</v>
      </c>
      <c r="C11" s="462"/>
      <c r="D11" s="1627">
        <f>SUM(D12:D14)</f>
        <v>43569850</v>
      </c>
      <c r="E11" s="1627">
        <f t="shared" ref="E11:H11" si="1">SUM(E12:E14)</f>
        <v>474113173</v>
      </c>
      <c r="F11" s="1627">
        <f t="shared" si="1"/>
        <v>1160851696</v>
      </c>
      <c r="G11" s="1627">
        <f t="shared" si="1"/>
        <v>510000000</v>
      </c>
      <c r="H11" s="1627">
        <f t="shared" si="1"/>
        <v>0</v>
      </c>
      <c r="I11" s="1628">
        <f>SUM(D11:H11)</f>
        <v>2188534719</v>
      </c>
    </row>
    <row r="12" spans="1:13" ht="35.25" customHeight="1" x14ac:dyDescent="0.2">
      <c r="A12" s="1276"/>
      <c r="B12" s="632" t="s">
        <v>1282</v>
      </c>
      <c r="C12" s="462" t="s">
        <v>1084</v>
      </c>
      <c r="D12" s="614">
        <f>7429500+2400000+20167300</f>
        <v>29996800</v>
      </c>
      <c r="E12" s="614">
        <v>6711950</v>
      </c>
      <c r="F12" s="614">
        <v>967607895</v>
      </c>
      <c r="G12" s="614">
        <v>510000000</v>
      </c>
      <c r="H12" s="614"/>
      <c r="I12" s="615">
        <f>SUM(D12:H12)</f>
        <v>1514316645</v>
      </c>
      <c r="J12" s="314">
        <v>708443675</v>
      </c>
    </row>
    <row r="13" spans="1:13" ht="44.25" customHeight="1" x14ac:dyDescent="0.2">
      <c r="A13" s="1276"/>
      <c r="B13" s="1625" t="s">
        <v>3555</v>
      </c>
      <c r="C13" s="1626" t="s">
        <v>3556</v>
      </c>
      <c r="D13" s="614">
        <f>12160250+600000</f>
        <v>12760250</v>
      </c>
      <c r="E13" s="614">
        <f>48997508+403814671</f>
        <v>452812179</v>
      </c>
      <c r="F13" s="614">
        <v>108267649</v>
      </c>
      <c r="G13" s="614"/>
      <c r="H13" s="614"/>
      <c r="I13" s="615"/>
    </row>
    <row r="14" spans="1:13" ht="35.25" customHeight="1" x14ac:dyDescent="0.2">
      <c r="A14" s="1276"/>
      <c r="B14" s="632" t="s">
        <v>3557</v>
      </c>
      <c r="C14" s="1626" t="s">
        <v>3558</v>
      </c>
      <c r="D14" s="614">
        <v>812800</v>
      </c>
      <c r="E14" s="614">
        <v>14589044</v>
      </c>
      <c r="F14" s="614">
        <v>84976152</v>
      </c>
      <c r="G14" s="614"/>
      <c r="H14" s="614"/>
      <c r="I14" s="615"/>
    </row>
    <row r="15" spans="1:13" ht="20.25" customHeight="1" x14ac:dyDescent="0.2">
      <c r="A15" s="1276" t="s">
        <v>197</v>
      </c>
      <c r="B15" s="461" t="s">
        <v>1085</v>
      </c>
      <c r="C15" s="462"/>
      <c r="D15" s="463"/>
      <c r="E15" s="463"/>
      <c r="F15" s="463"/>
      <c r="G15" s="463"/>
      <c r="H15" s="463"/>
      <c r="I15" s="464"/>
      <c r="L15" s="314" t="s">
        <v>1086</v>
      </c>
      <c r="M15" s="314">
        <v>38607</v>
      </c>
    </row>
    <row r="16" spans="1:13" ht="17.25" customHeight="1" x14ac:dyDescent="0.2">
      <c r="A16" s="1276" t="s">
        <v>198</v>
      </c>
      <c r="B16" s="461" t="s">
        <v>1087</v>
      </c>
      <c r="C16" s="462"/>
      <c r="D16" s="463"/>
      <c r="E16" s="463"/>
      <c r="F16" s="463"/>
      <c r="G16" s="463"/>
      <c r="H16" s="463"/>
      <c r="I16" s="464"/>
    </row>
    <row r="17" spans="1:9" ht="23.25" customHeight="1" thickBot="1" x14ac:dyDescent="0.25">
      <c r="A17" s="1939" t="s">
        <v>1088</v>
      </c>
      <c r="B17" s="1940"/>
      <c r="C17" s="467">
        <f t="shared" ref="C17:I17" si="2">+C6+C7+C11+C15+C16</f>
        <v>0</v>
      </c>
      <c r="D17" s="467">
        <f t="shared" si="2"/>
        <v>221030625</v>
      </c>
      <c r="E17" s="467">
        <f t="shared" si="2"/>
        <v>502295797</v>
      </c>
      <c r="F17" s="467">
        <f t="shared" si="2"/>
        <v>1189034320</v>
      </c>
      <c r="G17" s="467">
        <f t="shared" si="2"/>
        <v>538182624</v>
      </c>
      <c r="H17" s="467">
        <f t="shared" si="2"/>
        <v>387483921</v>
      </c>
      <c r="I17" s="468">
        <f t="shared" si="2"/>
        <v>2838027287</v>
      </c>
    </row>
  </sheetData>
  <mergeCells count="9">
    <mergeCell ref="J3:J5"/>
    <mergeCell ref="A17:B17"/>
    <mergeCell ref="A1:I1"/>
    <mergeCell ref="A3:A4"/>
    <mergeCell ref="B3:B4"/>
    <mergeCell ref="C3:C4"/>
    <mergeCell ref="D3:D4"/>
    <mergeCell ref="E3:H3"/>
    <mergeCell ref="I3:I4"/>
  </mergeCells>
  <printOptions horizontalCentered="1"/>
  <pageMargins left="0.31496062992125984" right="0.31496062992125984" top="0.74803149606299213" bottom="0.35433070866141736" header="0.31496062992125984" footer="0.31496062992125984"/>
  <pageSetup paperSize="9" scale="78" orientation="landscape" r:id="rId1"/>
  <headerFooter>
    <oddHeader>&amp;C2022. évi költségvetés
&amp;R&amp;A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687"/>
  <sheetViews>
    <sheetView view="pageBreakPreview" topLeftCell="A26" zoomScaleNormal="100" zoomScaleSheetLayoutView="100" workbookViewId="0">
      <selection activeCell="D65" sqref="D65"/>
    </sheetView>
  </sheetViews>
  <sheetFormatPr defaultColWidth="12.42578125" defaultRowHeight="11.25" x14ac:dyDescent="0.2"/>
  <cols>
    <col min="1" max="1" width="25.5703125" style="476" bestFit="1" customWidth="1"/>
    <col min="2" max="4" width="26.140625" style="476" bestFit="1" customWidth="1"/>
    <col min="5" max="5" width="16.42578125" style="476" bestFit="1" customWidth="1"/>
    <col min="6" max="6" width="21.85546875" style="476" customWidth="1"/>
    <col min="7" max="16384" width="12.42578125" style="476"/>
  </cols>
  <sheetData>
    <row r="1" spans="1:94" s="471" customFormat="1" ht="29.25" customHeight="1" x14ac:dyDescent="0.25">
      <c r="A1" s="1951" t="s">
        <v>1090</v>
      </c>
      <c r="B1" s="1951"/>
      <c r="C1" s="1951"/>
      <c r="D1" s="1951"/>
      <c r="E1" s="1951"/>
      <c r="F1" s="469"/>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470"/>
      <c r="BD1" s="470"/>
      <c r="BE1" s="470"/>
      <c r="BF1" s="470"/>
      <c r="BG1" s="470"/>
      <c r="BH1" s="470"/>
      <c r="BI1" s="470"/>
      <c r="BJ1" s="470"/>
      <c r="BK1" s="470"/>
      <c r="BL1" s="470"/>
      <c r="BM1" s="470"/>
      <c r="BN1" s="470"/>
      <c r="BO1" s="470"/>
      <c r="BP1" s="470"/>
      <c r="BQ1" s="470"/>
      <c r="BR1" s="470"/>
      <c r="BS1" s="470"/>
      <c r="BT1" s="470"/>
      <c r="BU1" s="470"/>
      <c r="BV1" s="470"/>
      <c r="BW1" s="470"/>
      <c r="BX1" s="470"/>
      <c r="BY1" s="470"/>
      <c r="BZ1" s="470"/>
      <c r="CA1" s="470"/>
      <c r="CB1" s="470"/>
      <c r="CC1" s="470"/>
      <c r="CD1" s="470"/>
      <c r="CE1" s="470"/>
      <c r="CF1" s="470"/>
      <c r="CG1" s="470"/>
      <c r="CH1" s="470"/>
      <c r="CI1" s="470"/>
      <c r="CJ1" s="470"/>
      <c r="CK1" s="470"/>
      <c r="CL1" s="470"/>
      <c r="CM1" s="470"/>
      <c r="CN1" s="470"/>
      <c r="CO1" s="470"/>
      <c r="CP1" s="470"/>
    </row>
    <row r="2" spans="1:94" s="470" customFormat="1" ht="14.25" customHeight="1" x14ac:dyDescent="0.25">
      <c r="A2" s="1952"/>
      <c r="B2" s="1952"/>
      <c r="C2" s="1952"/>
      <c r="D2" s="1952"/>
      <c r="E2" s="1952"/>
      <c r="F2" s="1952"/>
    </row>
    <row r="3" spans="1:94" s="470" customFormat="1" ht="11.25" customHeight="1" x14ac:dyDescent="0.2">
      <c r="A3" s="472"/>
      <c r="E3" s="473"/>
      <c r="F3" s="474"/>
    </row>
    <row r="4" spans="1:94" s="470" customFormat="1" ht="3" customHeight="1" thickBot="1" x14ac:dyDescent="0.25">
      <c r="F4" s="473"/>
    </row>
    <row r="5" spans="1:94" s="475" customFormat="1" ht="37.5" customHeight="1" x14ac:dyDescent="0.2">
      <c r="A5" s="1953" t="s">
        <v>2</v>
      </c>
      <c r="B5" s="1954" t="s">
        <v>1091</v>
      </c>
      <c r="C5" s="1954"/>
      <c r="D5" s="1954"/>
      <c r="E5" s="1955" t="s">
        <v>1092</v>
      </c>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0"/>
      <c r="BY5" s="470"/>
      <c r="BZ5" s="470"/>
      <c r="CA5" s="470"/>
      <c r="CB5" s="470"/>
      <c r="CC5" s="470"/>
      <c r="CD5" s="470"/>
      <c r="CE5" s="470"/>
      <c r="CF5" s="470"/>
      <c r="CG5" s="470"/>
      <c r="CH5" s="470"/>
      <c r="CI5" s="470"/>
      <c r="CJ5" s="470"/>
      <c r="CK5" s="470"/>
      <c r="CL5" s="470"/>
      <c r="CM5" s="470"/>
      <c r="CN5" s="470"/>
      <c r="CO5" s="470"/>
      <c r="CP5" s="470"/>
    </row>
    <row r="6" spans="1:94" ht="24.75" customHeight="1" x14ac:dyDescent="0.2">
      <c r="A6" s="1953"/>
      <c r="B6" s="1279" t="s">
        <v>1093</v>
      </c>
      <c r="C6" s="1279" t="s">
        <v>1093</v>
      </c>
      <c r="D6" s="1279" t="s">
        <v>1093</v>
      </c>
      <c r="E6" s="1955"/>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c r="BF6" s="470"/>
      <c r="BG6" s="470"/>
      <c r="BH6" s="470"/>
      <c r="BI6" s="470"/>
      <c r="BJ6" s="470"/>
      <c r="BK6" s="470"/>
      <c r="BL6" s="470"/>
      <c r="BM6" s="470"/>
      <c r="BN6" s="470"/>
      <c r="BO6" s="470"/>
      <c r="BP6" s="470"/>
      <c r="BQ6" s="470"/>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70"/>
      <c r="CP6" s="470"/>
    </row>
    <row r="7" spans="1:94" s="478" customFormat="1" ht="16.5" customHeight="1" thickBot="1" x14ac:dyDescent="0.25">
      <c r="A7" s="1953"/>
      <c r="B7" s="477">
        <f>360000000-10507432</f>
        <v>349492568</v>
      </c>
      <c r="C7" s="477">
        <v>207051367</v>
      </c>
      <c r="D7" s="477">
        <v>92948633</v>
      </c>
      <c r="E7" s="1956"/>
      <c r="F7" s="470"/>
      <c r="G7" s="470"/>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0"/>
      <c r="AY7" s="470"/>
      <c r="AZ7" s="470"/>
      <c r="BA7" s="470"/>
      <c r="BB7" s="470"/>
      <c r="BC7" s="470"/>
      <c r="BD7" s="470"/>
      <c r="BE7" s="470"/>
      <c r="BF7" s="470"/>
      <c r="BG7" s="470"/>
      <c r="BH7" s="470"/>
      <c r="BI7" s="470"/>
      <c r="BJ7" s="470"/>
      <c r="BK7" s="470"/>
      <c r="BL7" s="470"/>
      <c r="BM7" s="470"/>
      <c r="BN7" s="470"/>
      <c r="BO7" s="470"/>
      <c r="BP7" s="470"/>
      <c r="BQ7" s="470"/>
      <c r="BR7" s="470"/>
      <c r="BS7" s="470"/>
      <c r="BT7" s="470"/>
      <c r="BU7" s="470"/>
      <c r="BV7" s="470"/>
      <c r="BW7" s="470"/>
      <c r="BX7" s="470"/>
      <c r="BY7" s="470"/>
      <c r="BZ7" s="470"/>
      <c r="CA7" s="470"/>
      <c r="CB7" s="470"/>
      <c r="CC7" s="470"/>
      <c r="CD7" s="470"/>
      <c r="CE7" s="470"/>
      <c r="CF7" s="470"/>
      <c r="CG7" s="470"/>
      <c r="CH7" s="470"/>
      <c r="CI7" s="470"/>
      <c r="CJ7" s="470"/>
      <c r="CK7" s="470"/>
      <c r="CL7" s="470"/>
      <c r="CM7" s="470"/>
      <c r="CN7" s="470"/>
      <c r="CO7" s="470"/>
      <c r="CP7" s="470"/>
    </row>
    <row r="8" spans="1:94" s="481" customFormat="1" ht="45" customHeight="1" x14ac:dyDescent="0.2">
      <c r="A8" s="479" t="s">
        <v>1094</v>
      </c>
      <c r="B8" s="480" t="s">
        <v>1095</v>
      </c>
      <c r="C8" s="480" t="s">
        <v>1096</v>
      </c>
      <c r="D8" s="480" t="s">
        <v>1097</v>
      </c>
      <c r="E8" s="1957"/>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c r="BF8" s="470"/>
      <c r="BG8" s="470"/>
      <c r="BH8" s="470"/>
      <c r="BI8" s="470"/>
      <c r="BJ8" s="470"/>
      <c r="BK8" s="470"/>
      <c r="BL8" s="470"/>
      <c r="BM8" s="470"/>
      <c r="BN8" s="470"/>
      <c r="BO8" s="470"/>
      <c r="BP8" s="470"/>
      <c r="BQ8" s="470"/>
      <c r="BR8" s="470"/>
      <c r="BS8" s="470"/>
      <c r="BT8" s="470"/>
      <c r="BU8" s="470"/>
      <c r="BV8" s="470"/>
      <c r="BW8" s="470"/>
      <c r="BX8" s="470"/>
      <c r="BY8" s="470"/>
      <c r="BZ8" s="470"/>
      <c r="CA8" s="470"/>
      <c r="CB8" s="470"/>
      <c r="CC8" s="470"/>
      <c r="CD8" s="470"/>
      <c r="CE8" s="470"/>
      <c r="CF8" s="470"/>
      <c r="CG8" s="470"/>
      <c r="CH8" s="470"/>
      <c r="CI8" s="470"/>
      <c r="CJ8" s="470"/>
      <c r="CK8" s="470"/>
      <c r="CL8" s="470"/>
      <c r="CM8" s="470"/>
      <c r="CN8" s="470"/>
      <c r="CO8" s="470"/>
      <c r="CP8" s="470"/>
    </row>
    <row r="9" spans="1:94" s="481" customFormat="1" ht="22.5" customHeight="1" x14ac:dyDescent="0.2">
      <c r="A9" s="479" t="s">
        <v>1098</v>
      </c>
      <c r="B9" s="482">
        <v>41466</v>
      </c>
      <c r="C9" s="482">
        <v>41647</v>
      </c>
      <c r="D9" s="482">
        <v>41647</v>
      </c>
      <c r="E9" s="1957"/>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470"/>
      <c r="AJ9" s="470"/>
      <c r="AK9" s="470"/>
      <c r="AL9" s="470"/>
      <c r="AM9" s="470"/>
      <c r="AN9" s="470"/>
      <c r="AO9" s="470"/>
      <c r="AP9" s="470"/>
      <c r="AQ9" s="470"/>
      <c r="AR9" s="470"/>
      <c r="AS9" s="470"/>
      <c r="AT9" s="470"/>
      <c r="AU9" s="470"/>
      <c r="AV9" s="470"/>
      <c r="AW9" s="470"/>
      <c r="AX9" s="470"/>
      <c r="AY9" s="470"/>
      <c r="AZ9" s="470"/>
      <c r="BA9" s="470"/>
      <c r="BB9" s="470"/>
      <c r="BC9" s="470"/>
      <c r="BD9" s="470"/>
      <c r="BE9" s="470"/>
      <c r="BF9" s="470"/>
      <c r="BG9" s="470"/>
      <c r="BH9" s="470"/>
      <c r="BI9" s="470"/>
      <c r="BJ9" s="470"/>
      <c r="BK9" s="470"/>
      <c r="BL9" s="470"/>
      <c r="BM9" s="470"/>
      <c r="BN9" s="470"/>
      <c r="BO9" s="470"/>
      <c r="BP9" s="470"/>
      <c r="BQ9" s="470"/>
      <c r="BR9" s="470"/>
      <c r="BS9" s="470"/>
      <c r="BT9" s="470"/>
      <c r="BU9" s="470"/>
      <c r="BV9" s="470"/>
      <c r="BW9" s="470"/>
      <c r="BX9" s="470"/>
      <c r="BY9" s="470"/>
      <c r="BZ9" s="470"/>
      <c r="CA9" s="470"/>
      <c r="CB9" s="470"/>
      <c r="CC9" s="470"/>
      <c r="CD9" s="470"/>
      <c r="CE9" s="470"/>
      <c r="CF9" s="470"/>
      <c r="CG9" s="470"/>
      <c r="CH9" s="470"/>
      <c r="CI9" s="470"/>
      <c r="CJ9" s="470"/>
      <c r="CK9" s="470"/>
      <c r="CL9" s="470"/>
      <c r="CM9" s="470"/>
      <c r="CN9" s="470"/>
      <c r="CO9" s="470"/>
      <c r="CP9" s="470"/>
    </row>
    <row r="10" spans="1:94" s="481" customFormat="1" ht="18" customHeight="1" x14ac:dyDescent="0.2">
      <c r="A10" s="483" t="s">
        <v>1099</v>
      </c>
      <c r="B10" s="484"/>
      <c r="C10" s="484"/>
      <c r="D10" s="484"/>
      <c r="E10" s="1957"/>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c r="AP10" s="470"/>
      <c r="AQ10" s="470"/>
      <c r="AR10" s="470"/>
      <c r="AS10" s="470"/>
      <c r="AT10" s="470"/>
      <c r="AU10" s="470"/>
      <c r="AV10" s="470"/>
      <c r="AW10" s="470"/>
      <c r="AX10" s="470"/>
      <c r="AY10" s="470"/>
      <c r="AZ10" s="470"/>
      <c r="BA10" s="470"/>
      <c r="BB10" s="470"/>
      <c r="BC10" s="470"/>
      <c r="BD10" s="470"/>
      <c r="BE10" s="470"/>
      <c r="BF10" s="470"/>
      <c r="BG10" s="470"/>
      <c r="BH10" s="470"/>
      <c r="BI10" s="470"/>
      <c r="BJ10" s="470"/>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70"/>
      <c r="CP10" s="470"/>
    </row>
    <row r="11" spans="1:94" s="481" customFormat="1" ht="13.5" customHeight="1" x14ac:dyDescent="0.2">
      <c r="A11" s="485" t="s">
        <v>1100</v>
      </c>
      <c r="B11" s="479" t="s">
        <v>1101</v>
      </c>
      <c r="C11" s="479" t="s">
        <v>1102</v>
      </c>
      <c r="D11" s="479" t="s">
        <v>1102</v>
      </c>
      <c r="E11" s="1957"/>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row>
    <row r="12" spans="1:94" s="488" customFormat="1" ht="12.75" customHeight="1" x14ac:dyDescent="0.2">
      <c r="A12" s="485" t="s">
        <v>53</v>
      </c>
      <c r="B12" s="486" t="s">
        <v>194</v>
      </c>
      <c r="C12" s="486" t="s">
        <v>195</v>
      </c>
      <c r="D12" s="486" t="s">
        <v>196</v>
      </c>
      <c r="E12" s="1957"/>
      <c r="F12" s="487"/>
      <c r="G12" s="487"/>
      <c r="H12" s="487"/>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c r="BW12" s="487"/>
      <c r="BX12" s="487"/>
      <c r="BY12" s="487"/>
      <c r="BZ12" s="487"/>
      <c r="CA12" s="487"/>
      <c r="CB12" s="487"/>
      <c r="CC12" s="487"/>
      <c r="CD12" s="487"/>
      <c r="CE12" s="487"/>
      <c r="CF12" s="487"/>
      <c r="CG12" s="487"/>
      <c r="CH12" s="487"/>
      <c r="CI12" s="487"/>
      <c r="CJ12" s="487"/>
      <c r="CK12" s="487"/>
      <c r="CL12" s="487"/>
      <c r="CM12" s="487"/>
      <c r="CN12" s="487"/>
      <c r="CO12" s="487"/>
      <c r="CP12" s="487"/>
    </row>
    <row r="13" spans="1:94" s="491" customFormat="1" ht="31.5" customHeight="1" x14ac:dyDescent="0.2">
      <c r="A13" s="1279" t="s">
        <v>1103</v>
      </c>
      <c r="B13" s="489" t="s">
        <v>1104</v>
      </c>
      <c r="C13" s="489" t="s">
        <v>1104</v>
      </c>
      <c r="D13" s="489" t="s">
        <v>1104</v>
      </c>
      <c r="E13" s="1957"/>
      <c r="F13" s="490"/>
      <c r="G13" s="490"/>
      <c r="H13" s="490"/>
      <c r="I13" s="490"/>
      <c r="J13" s="490"/>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c r="BY13" s="490"/>
      <c r="BZ13" s="490"/>
      <c r="CA13" s="490"/>
      <c r="CB13" s="490"/>
      <c r="CC13" s="490"/>
      <c r="CD13" s="490"/>
      <c r="CE13" s="490"/>
      <c r="CF13" s="490"/>
      <c r="CG13" s="490"/>
      <c r="CH13" s="490"/>
      <c r="CI13" s="490"/>
      <c r="CJ13" s="490"/>
      <c r="CK13" s="490"/>
      <c r="CL13" s="490"/>
      <c r="CM13" s="490"/>
      <c r="CN13" s="490"/>
      <c r="CO13" s="490"/>
      <c r="CP13" s="490"/>
    </row>
    <row r="14" spans="1:94" s="491" customFormat="1" ht="44.25" customHeight="1" x14ac:dyDescent="0.2">
      <c r="A14" s="492" t="s">
        <v>1105</v>
      </c>
      <c r="B14" s="1280"/>
      <c r="C14" s="1280"/>
      <c r="D14" s="1280"/>
      <c r="E14" s="1958"/>
      <c r="F14" s="490"/>
      <c r="G14" s="490"/>
      <c r="H14" s="490"/>
      <c r="I14" s="490"/>
      <c r="J14" s="490"/>
      <c r="K14" s="490"/>
      <c r="L14" s="490"/>
      <c r="M14" s="490"/>
      <c r="N14" s="490"/>
      <c r="O14" s="490"/>
      <c r="P14" s="490"/>
      <c r="Q14" s="490"/>
      <c r="R14" s="490"/>
      <c r="S14" s="490"/>
      <c r="T14" s="490"/>
      <c r="U14" s="490"/>
      <c r="V14" s="490"/>
      <c r="W14" s="490"/>
      <c r="X14" s="490"/>
      <c r="Y14" s="490"/>
      <c r="Z14" s="490"/>
      <c r="AA14" s="490"/>
      <c r="AB14" s="490"/>
      <c r="AC14" s="490"/>
      <c r="AD14" s="490"/>
      <c r="AE14" s="490"/>
      <c r="AF14" s="490"/>
      <c r="AG14" s="490"/>
      <c r="AH14" s="490"/>
      <c r="AI14" s="490"/>
      <c r="AJ14" s="490"/>
      <c r="AK14" s="490"/>
      <c r="AL14" s="490"/>
      <c r="AM14" s="490"/>
      <c r="AN14" s="490"/>
      <c r="AO14" s="490"/>
      <c r="AP14" s="490"/>
      <c r="AQ14" s="490"/>
      <c r="AR14" s="490"/>
      <c r="AS14" s="490"/>
      <c r="AT14" s="490"/>
      <c r="AU14" s="490"/>
      <c r="AV14" s="490"/>
      <c r="AW14" s="490"/>
      <c r="AX14" s="490"/>
      <c r="AY14" s="490"/>
      <c r="AZ14" s="490"/>
      <c r="BA14" s="490"/>
      <c r="BB14" s="490"/>
      <c r="BC14" s="490"/>
      <c r="BD14" s="490"/>
      <c r="BE14" s="490"/>
      <c r="BF14" s="490"/>
      <c r="BG14" s="490"/>
      <c r="BH14" s="490"/>
      <c r="BI14" s="490"/>
      <c r="BJ14" s="490"/>
      <c r="BK14" s="490"/>
      <c r="BL14" s="490"/>
      <c r="BM14" s="490"/>
      <c r="BN14" s="490"/>
      <c r="BO14" s="490"/>
      <c r="BP14" s="490"/>
      <c r="BQ14" s="490"/>
      <c r="BR14" s="490"/>
      <c r="BS14" s="490"/>
      <c r="BT14" s="490"/>
      <c r="BU14" s="490"/>
      <c r="BV14" s="490"/>
      <c r="BW14" s="490"/>
      <c r="BX14" s="490"/>
      <c r="BY14" s="490"/>
      <c r="BZ14" s="490"/>
      <c r="CA14" s="490"/>
      <c r="CB14" s="490"/>
      <c r="CC14" s="490"/>
      <c r="CD14" s="490"/>
      <c r="CE14" s="490"/>
      <c r="CF14" s="490"/>
      <c r="CG14" s="490"/>
      <c r="CH14" s="490"/>
      <c r="CI14" s="490"/>
      <c r="CJ14" s="490"/>
      <c r="CK14" s="490"/>
      <c r="CL14" s="490"/>
      <c r="CM14" s="490"/>
      <c r="CN14" s="490"/>
      <c r="CO14" s="490"/>
      <c r="CP14" s="490"/>
    </row>
    <row r="15" spans="1:94" s="494" customFormat="1" ht="14.25" customHeight="1" x14ac:dyDescent="0.2">
      <c r="A15" s="493" t="s">
        <v>1106</v>
      </c>
      <c r="B15" s="493"/>
      <c r="C15" s="493"/>
      <c r="D15" s="493"/>
      <c r="E15" s="493" t="s">
        <v>1107</v>
      </c>
      <c r="F15" s="490"/>
      <c r="G15" s="490"/>
      <c r="H15" s="490"/>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c r="BZ15" s="490"/>
      <c r="CA15" s="490"/>
      <c r="CB15" s="490"/>
      <c r="CC15" s="490"/>
      <c r="CD15" s="490"/>
      <c r="CE15" s="490"/>
      <c r="CF15" s="490"/>
      <c r="CG15" s="490"/>
      <c r="CH15" s="490"/>
      <c r="CI15" s="490"/>
      <c r="CJ15" s="490"/>
      <c r="CK15" s="490"/>
      <c r="CL15" s="490"/>
      <c r="CM15" s="490"/>
      <c r="CN15" s="490"/>
      <c r="CO15" s="490"/>
      <c r="CP15" s="490"/>
    </row>
    <row r="16" spans="1:94" ht="15.95" customHeight="1" x14ac:dyDescent="0.2">
      <c r="A16" s="1279" t="s">
        <v>1108</v>
      </c>
      <c r="B16" s="495">
        <v>64716139</v>
      </c>
      <c r="C16" s="495"/>
      <c r="D16" s="495"/>
      <c r="E16" s="496">
        <f>SUM(B16:B16)</f>
        <v>64716139</v>
      </c>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row>
    <row r="17" spans="1:94" ht="15.95" customHeight="1" x14ac:dyDescent="0.2">
      <c r="A17" s="1279" t="s">
        <v>1109</v>
      </c>
      <c r="B17" s="495"/>
      <c r="C17" s="495"/>
      <c r="D17" s="495"/>
      <c r="E17" s="496">
        <f>SUM(B17:B17)</f>
        <v>0</v>
      </c>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row>
    <row r="18" spans="1:94" s="471" customFormat="1" ht="15.95" customHeight="1" x14ac:dyDescent="0.2">
      <c r="A18" s="1279" t="s">
        <v>1110</v>
      </c>
      <c r="B18" s="495"/>
      <c r="C18" s="495"/>
      <c r="D18" s="495"/>
      <c r="E18" s="496">
        <f>SUM(B18:B18)</f>
        <v>0</v>
      </c>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70"/>
      <c r="AR18" s="470"/>
      <c r="AS18" s="470"/>
      <c r="AT18" s="470"/>
      <c r="AU18" s="470"/>
      <c r="AV18" s="470"/>
      <c r="AW18" s="470"/>
      <c r="AX18" s="470"/>
      <c r="AY18" s="470"/>
      <c r="AZ18" s="470"/>
      <c r="BA18" s="470"/>
      <c r="BB18" s="470"/>
      <c r="BC18" s="470"/>
      <c r="BD18" s="470"/>
      <c r="BE18" s="470"/>
      <c r="BF18" s="470"/>
      <c r="BG18" s="470"/>
      <c r="BH18" s="470"/>
      <c r="BI18" s="470"/>
      <c r="BJ18" s="470"/>
      <c r="BK18" s="470"/>
      <c r="BL18" s="470"/>
      <c r="BM18" s="470"/>
      <c r="BN18" s="470"/>
      <c r="BO18" s="470"/>
      <c r="BP18" s="470"/>
      <c r="BQ18" s="470"/>
      <c r="BR18" s="470"/>
      <c r="BS18" s="470"/>
      <c r="BT18" s="470"/>
      <c r="BU18" s="470"/>
      <c r="BV18" s="470"/>
      <c r="BW18" s="470"/>
      <c r="BX18" s="470"/>
      <c r="BY18" s="470"/>
      <c r="BZ18" s="470"/>
      <c r="CA18" s="470"/>
      <c r="CB18" s="470"/>
      <c r="CC18" s="470"/>
      <c r="CD18" s="470"/>
      <c r="CE18" s="470"/>
      <c r="CF18" s="470"/>
      <c r="CG18" s="470"/>
      <c r="CH18" s="470"/>
      <c r="CI18" s="470"/>
      <c r="CJ18" s="470"/>
      <c r="CK18" s="470"/>
      <c r="CL18" s="470"/>
      <c r="CM18" s="470"/>
      <c r="CN18" s="470"/>
      <c r="CO18" s="470"/>
      <c r="CP18" s="470"/>
    </row>
    <row r="19" spans="1:94" s="471" customFormat="1" ht="15.95" customHeight="1" x14ac:dyDescent="0.2">
      <c r="A19" s="1279" t="s">
        <v>1111</v>
      </c>
      <c r="B19" s="495"/>
      <c r="C19" s="495">
        <v>2435898</v>
      </c>
      <c r="D19" s="495">
        <v>1094000</v>
      </c>
      <c r="E19" s="496">
        <f>SUM(B19:D19)</f>
        <v>3529898</v>
      </c>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70"/>
      <c r="CG19" s="470"/>
      <c r="CH19" s="470"/>
      <c r="CI19" s="470"/>
      <c r="CJ19" s="470"/>
      <c r="CK19" s="470"/>
      <c r="CL19" s="470"/>
      <c r="CM19" s="470"/>
      <c r="CN19" s="470"/>
      <c r="CO19" s="470"/>
      <c r="CP19" s="470"/>
    </row>
    <row r="20" spans="1:94" s="471" customFormat="1" ht="28.15" customHeight="1" x14ac:dyDescent="0.2">
      <c r="A20" s="1279" t="s">
        <v>1112</v>
      </c>
      <c r="B20" s="495">
        <v>10547274</v>
      </c>
      <c r="C20" s="495">
        <f>9743592-2435898</f>
        <v>7307694</v>
      </c>
      <c r="D20" s="495">
        <f>4376000-1094000</f>
        <v>3282000</v>
      </c>
      <c r="E20" s="496">
        <f t="shared" ref="E20:E41" si="0">SUM(B20:D20)</f>
        <v>21136968</v>
      </c>
      <c r="F20" s="470"/>
      <c r="G20" s="470"/>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c r="AK20" s="470"/>
      <c r="AL20" s="470"/>
      <c r="AM20" s="470"/>
      <c r="AN20" s="470"/>
      <c r="AO20" s="470"/>
      <c r="AP20" s="470"/>
      <c r="AQ20" s="470"/>
      <c r="AR20" s="470"/>
      <c r="AS20" s="470"/>
      <c r="AT20" s="470"/>
      <c r="AU20" s="470"/>
      <c r="AV20" s="470"/>
      <c r="AW20" s="470"/>
      <c r="AX20" s="470"/>
      <c r="AY20" s="470"/>
      <c r="AZ20" s="470"/>
      <c r="BA20" s="470"/>
      <c r="BB20" s="470"/>
      <c r="BC20" s="470"/>
      <c r="BD20" s="470"/>
      <c r="BE20" s="470"/>
      <c r="BF20" s="470"/>
      <c r="BG20" s="470"/>
      <c r="BH20" s="470"/>
      <c r="BI20" s="470"/>
      <c r="BJ20" s="470"/>
      <c r="BK20" s="470"/>
      <c r="BL20" s="470"/>
      <c r="BM20" s="470"/>
      <c r="BN20" s="470"/>
      <c r="BO20" s="470"/>
      <c r="BP20" s="470"/>
      <c r="BQ20" s="470"/>
      <c r="BR20" s="470"/>
      <c r="BS20" s="470"/>
      <c r="BT20" s="470"/>
      <c r="BU20" s="470"/>
      <c r="BV20" s="470"/>
      <c r="BW20" s="470"/>
      <c r="BX20" s="470"/>
      <c r="BY20" s="470"/>
      <c r="BZ20" s="470"/>
      <c r="CA20" s="470"/>
      <c r="CB20" s="470"/>
      <c r="CC20" s="470"/>
      <c r="CD20" s="470"/>
      <c r="CE20" s="470"/>
      <c r="CF20" s="470"/>
      <c r="CG20" s="470"/>
      <c r="CH20" s="470"/>
      <c r="CI20" s="470"/>
      <c r="CJ20" s="470"/>
      <c r="CK20" s="470"/>
      <c r="CL20" s="470"/>
      <c r="CM20" s="470"/>
      <c r="CN20" s="470"/>
      <c r="CO20" s="470"/>
      <c r="CP20" s="470"/>
    </row>
    <row r="21" spans="1:94" s="471" customFormat="1" ht="15.95" customHeight="1" x14ac:dyDescent="0.2">
      <c r="A21" s="1279" t="s">
        <v>1113</v>
      </c>
      <c r="B21" s="495"/>
      <c r="C21" s="495">
        <v>2435898</v>
      </c>
      <c r="D21" s="495">
        <v>1094000</v>
      </c>
      <c r="E21" s="496">
        <f t="shared" si="0"/>
        <v>3529898</v>
      </c>
      <c r="F21" s="470"/>
      <c r="G21" s="470"/>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0"/>
      <c r="AI21" s="470"/>
      <c r="AJ21" s="470"/>
      <c r="AK21" s="470"/>
      <c r="AL21" s="470"/>
      <c r="AM21" s="470"/>
      <c r="AN21" s="470"/>
      <c r="AO21" s="470"/>
      <c r="AP21" s="470"/>
      <c r="AQ21" s="470"/>
      <c r="AR21" s="470"/>
      <c r="AS21" s="470"/>
      <c r="AT21" s="470"/>
      <c r="AU21" s="470"/>
      <c r="AV21" s="470"/>
      <c r="AW21" s="470"/>
      <c r="AX21" s="470"/>
      <c r="AY21" s="470"/>
      <c r="AZ21" s="470"/>
      <c r="BA21" s="470"/>
      <c r="BB21" s="470"/>
      <c r="BC21" s="470"/>
      <c r="BD21" s="470"/>
      <c r="BE21" s="470"/>
      <c r="BF21" s="470"/>
      <c r="BG21" s="470"/>
      <c r="BH21" s="470"/>
      <c r="BI21" s="470"/>
      <c r="BJ21" s="470"/>
      <c r="BK21" s="470"/>
      <c r="BL21" s="470"/>
      <c r="BM21" s="470"/>
      <c r="BN21" s="470"/>
      <c r="BO21" s="470"/>
      <c r="BP21" s="470"/>
      <c r="BQ21" s="470"/>
      <c r="BR21" s="470"/>
      <c r="BS21" s="470"/>
      <c r="BT21" s="470"/>
      <c r="BU21" s="470"/>
      <c r="BV21" s="470"/>
      <c r="BW21" s="470"/>
      <c r="BX21" s="470"/>
      <c r="BY21" s="470"/>
      <c r="BZ21" s="470"/>
      <c r="CA21" s="470"/>
      <c r="CB21" s="470"/>
      <c r="CC21" s="470"/>
      <c r="CD21" s="470"/>
      <c r="CE21" s="470"/>
      <c r="CF21" s="470"/>
      <c r="CG21" s="470"/>
      <c r="CH21" s="470"/>
      <c r="CI21" s="470"/>
      <c r="CJ21" s="470"/>
      <c r="CK21" s="470"/>
      <c r="CL21" s="470"/>
      <c r="CM21" s="470"/>
      <c r="CN21" s="470"/>
      <c r="CO21" s="470"/>
      <c r="CP21" s="470"/>
    </row>
    <row r="22" spans="1:94" s="471" customFormat="1" ht="28.15" customHeight="1" x14ac:dyDescent="0.2">
      <c r="A22" s="1279" t="s">
        <v>1114</v>
      </c>
      <c r="B22" s="495">
        <v>14063032</v>
      </c>
      <c r="C22" s="495">
        <v>9743592</v>
      </c>
      <c r="D22" s="495">
        <v>4376000</v>
      </c>
      <c r="E22" s="496">
        <f t="shared" si="0"/>
        <v>28182624</v>
      </c>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row>
    <row r="23" spans="1:94" s="471" customFormat="1" ht="15.95" customHeight="1" x14ac:dyDescent="0.2">
      <c r="A23" s="1279" t="s">
        <v>1064</v>
      </c>
      <c r="B23" s="495">
        <v>14063032</v>
      </c>
      <c r="C23" s="495">
        <v>9743592</v>
      </c>
      <c r="D23" s="495">
        <v>4376000</v>
      </c>
      <c r="E23" s="496">
        <f t="shared" si="0"/>
        <v>28182624</v>
      </c>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row>
    <row r="24" spans="1:94" s="471" customFormat="1" ht="15.95" customHeight="1" x14ac:dyDescent="0.2">
      <c r="A24" s="1279" t="s">
        <v>1065</v>
      </c>
      <c r="B24" s="495">
        <v>14063032</v>
      </c>
      <c r="C24" s="495">
        <v>9743592</v>
      </c>
      <c r="D24" s="495">
        <v>4376000</v>
      </c>
      <c r="E24" s="496">
        <f t="shared" si="0"/>
        <v>28182624</v>
      </c>
      <c r="F24" s="470"/>
      <c r="G24" s="497"/>
      <c r="H24" s="498"/>
      <c r="I24" s="498"/>
      <c r="J24" s="499"/>
      <c r="K24" s="50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row>
    <row r="25" spans="1:94" s="471" customFormat="1" ht="15.95" customHeight="1" x14ac:dyDescent="0.2">
      <c r="A25" s="1279" t="s">
        <v>1066</v>
      </c>
      <c r="B25" s="495">
        <v>14063032</v>
      </c>
      <c r="C25" s="495">
        <v>9743592</v>
      </c>
      <c r="D25" s="495">
        <v>4376000</v>
      </c>
      <c r="E25" s="496">
        <f t="shared" si="0"/>
        <v>28182624</v>
      </c>
      <c r="F25" s="470"/>
      <c r="G25" s="501"/>
      <c r="H25" s="501"/>
      <c r="I25" s="501"/>
      <c r="J25" s="501"/>
      <c r="K25" s="501"/>
      <c r="L25" s="470"/>
      <c r="M25" s="470"/>
      <c r="N25" s="470"/>
      <c r="O25" s="470"/>
      <c r="P25" s="470"/>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70"/>
      <c r="CI25" s="470"/>
      <c r="CJ25" s="470"/>
      <c r="CK25" s="470"/>
      <c r="CL25" s="470"/>
      <c r="CM25" s="470"/>
      <c r="CN25" s="470"/>
      <c r="CO25" s="470"/>
      <c r="CP25" s="470"/>
    </row>
    <row r="26" spans="1:94" s="471" customFormat="1" ht="15.95" customHeight="1" x14ac:dyDescent="0.2">
      <c r="A26" s="1279" t="s">
        <v>1089</v>
      </c>
      <c r="B26" s="495">
        <v>14063032</v>
      </c>
      <c r="C26" s="495">
        <v>9743592</v>
      </c>
      <c r="D26" s="495">
        <v>4376000</v>
      </c>
      <c r="E26" s="496">
        <f t="shared" si="0"/>
        <v>28182624</v>
      </c>
      <c r="F26" s="470"/>
      <c r="G26" s="501"/>
      <c r="H26" s="501"/>
      <c r="I26" s="501"/>
      <c r="J26" s="501"/>
      <c r="K26" s="501"/>
      <c r="L26" s="470"/>
      <c r="M26" s="470"/>
      <c r="N26" s="470"/>
      <c r="O26" s="470"/>
      <c r="P26" s="470"/>
      <c r="Q26" s="470"/>
      <c r="R26" s="470"/>
      <c r="S26" s="470"/>
      <c r="T26" s="470"/>
      <c r="U26" s="470"/>
      <c r="V26" s="470"/>
      <c r="W26" s="470"/>
      <c r="X26" s="470"/>
      <c r="Y26" s="470"/>
      <c r="Z26" s="470"/>
      <c r="AA26" s="470"/>
      <c r="AB26" s="470"/>
      <c r="AC26" s="470"/>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c r="BI26" s="470"/>
      <c r="BJ26" s="470"/>
      <c r="BK26" s="470"/>
      <c r="BL26" s="470"/>
      <c r="BM26" s="470"/>
      <c r="BN26" s="470"/>
      <c r="BO26" s="470"/>
      <c r="BP26" s="470"/>
      <c r="BQ26" s="470"/>
      <c r="BR26" s="470"/>
      <c r="BS26" s="470"/>
      <c r="BT26" s="470"/>
      <c r="BU26" s="470"/>
      <c r="BV26" s="470"/>
      <c r="BW26" s="470"/>
      <c r="BX26" s="470"/>
      <c r="BY26" s="470"/>
      <c r="BZ26" s="470"/>
      <c r="CA26" s="470"/>
      <c r="CB26" s="470"/>
      <c r="CC26" s="470"/>
      <c r="CD26" s="470"/>
      <c r="CE26" s="470"/>
      <c r="CF26" s="470"/>
      <c r="CG26" s="470"/>
      <c r="CH26" s="470"/>
      <c r="CI26" s="470"/>
      <c r="CJ26" s="470"/>
      <c r="CK26" s="470"/>
      <c r="CL26" s="470"/>
      <c r="CM26" s="470"/>
      <c r="CN26" s="470"/>
      <c r="CO26" s="470"/>
      <c r="CP26" s="470"/>
    </row>
    <row r="27" spans="1:94" s="471" customFormat="1" ht="15.95" customHeight="1" x14ac:dyDescent="0.2">
      <c r="A27" s="1279" t="s">
        <v>1115</v>
      </c>
      <c r="B27" s="495">
        <v>14063032</v>
      </c>
      <c r="C27" s="495">
        <v>9743592</v>
      </c>
      <c r="D27" s="495">
        <v>4376000</v>
      </c>
      <c r="E27" s="496">
        <f t="shared" si="0"/>
        <v>28182624</v>
      </c>
      <c r="F27" s="470"/>
      <c r="G27" s="501"/>
      <c r="H27" s="501"/>
      <c r="I27" s="501"/>
      <c r="J27" s="501"/>
      <c r="K27" s="501"/>
      <c r="L27" s="470"/>
      <c r="M27" s="470"/>
      <c r="N27" s="470"/>
      <c r="O27" s="470"/>
      <c r="P27" s="470"/>
      <c r="Q27" s="470"/>
      <c r="R27" s="470"/>
      <c r="S27" s="470"/>
      <c r="T27" s="470"/>
      <c r="U27" s="470"/>
      <c r="V27" s="470"/>
      <c r="W27" s="470"/>
      <c r="X27" s="470"/>
      <c r="Y27" s="470"/>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c r="BI27" s="470"/>
      <c r="BJ27" s="470"/>
      <c r="BK27" s="470"/>
      <c r="BL27" s="470"/>
      <c r="BM27" s="470"/>
      <c r="BN27" s="470"/>
      <c r="BO27" s="470"/>
      <c r="BP27" s="470"/>
      <c r="BQ27" s="470"/>
      <c r="BR27" s="470"/>
      <c r="BS27" s="470"/>
      <c r="BT27" s="470"/>
      <c r="BU27" s="470"/>
      <c r="BV27" s="470"/>
      <c r="BW27" s="470"/>
      <c r="BX27" s="470"/>
      <c r="BY27" s="470"/>
      <c r="BZ27" s="470"/>
      <c r="CA27" s="470"/>
      <c r="CB27" s="470"/>
      <c r="CC27" s="470"/>
      <c r="CD27" s="470"/>
      <c r="CE27" s="470"/>
      <c r="CF27" s="470"/>
      <c r="CG27" s="470"/>
      <c r="CH27" s="470"/>
      <c r="CI27" s="470"/>
      <c r="CJ27" s="470"/>
      <c r="CK27" s="470"/>
      <c r="CL27" s="470"/>
      <c r="CM27" s="470"/>
      <c r="CN27" s="470"/>
      <c r="CO27" s="470"/>
      <c r="CP27" s="470"/>
    </row>
    <row r="28" spans="1:94" s="471" customFormat="1" ht="15.95" customHeight="1" x14ac:dyDescent="0.2">
      <c r="A28" s="1279" t="s">
        <v>1116</v>
      </c>
      <c r="B28" s="495">
        <v>14063032</v>
      </c>
      <c r="C28" s="495">
        <v>9743592</v>
      </c>
      <c r="D28" s="495">
        <v>4376000</v>
      </c>
      <c r="E28" s="496">
        <f t="shared" si="0"/>
        <v>28182624</v>
      </c>
      <c r="F28" s="470"/>
      <c r="G28" s="501"/>
      <c r="H28" s="501"/>
      <c r="I28" s="501"/>
      <c r="J28" s="501"/>
      <c r="K28" s="501"/>
      <c r="L28" s="470"/>
      <c r="M28" s="470"/>
      <c r="N28" s="470"/>
      <c r="O28" s="470"/>
      <c r="P28" s="470"/>
      <c r="Q28" s="470"/>
      <c r="R28" s="470"/>
      <c r="S28" s="470"/>
      <c r="T28" s="470"/>
      <c r="U28" s="470"/>
      <c r="V28" s="470"/>
      <c r="W28" s="470"/>
      <c r="X28" s="470"/>
      <c r="Y28" s="470"/>
      <c r="Z28" s="470"/>
      <c r="AA28" s="470"/>
      <c r="AB28" s="470"/>
      <c r="AC28" s="470"/>
      <c r="AD28" s="470"/>
      <c r="AE28" s="470"/>
      <c r="AF28" s="470"/>
      <c r="AG28" s="470"/>
      <c r="AH28" s="470"/>
      <c r="AI28" s="470"/>
      <c r="AJ28" s="470"/>
      <c r="AK28" s="470"/>
      <c r="AL28" s="470"/>
      <c r="AM28" s="470"/>
      <c r="AN28" s="470"/>
      <c r="AO28" s="470"/>
      <c r="AP28" s="470"/>
      <c r="AQ28" s="470"/>
      <c r="AR28" s="470"/>
      <c r="AS28" s="470"/>
      <c r="AT28" s="470"/>
      <c r="AU28" s="470"/>
      <c r="AV28" s="470"/>
      <c r="AW28" s="470"/>
      <c r="AX28" s="470"/>
      <c r="AY28" s="470"/>
      <c r="AZ28" s="470"/>
      <c r="BA28" s="470"/>
      <c r="BB28" s="470"/>
      <c r="BC28" s="470"/>
      <c r="BD28" s="470"/>
      <c r="BE28" s="470"/>
      <c r="BF28" s="470"/>
      <c r="BG28" s="470"/>
      <c r="BH28" s="470"/>
      <c r="BI28" s="470"/>
      <c r="BJ28" s="470"/>
      <c r="BK28" s="470"/>
      <c r="BL28" s="470"/>
      <c r="BM28" s="470"/>
      <c r="BN28" s="470"/>
      <c r="BO28" s="470"/>
      <c r="BP28" s="470"/>
      <c r="BQ28" s="470"/>
      <c r="BR28" s="470"/>
      <c r="BS28" s="470"/>
      <c r="BT28" s="470"/>
      <c r="BU28" s="470"/>
      <c r="BV28" s="470"/>
      <c r="BW28" s="470"/>
      <c r="BX28" s="470"/>
      <c r="BY28" s="470"/>
      <c r="BZ28" s="470"/>
      <c r="CA28" s="470"/>
      <c r="CB28" s="470"/>
      <c r="CC28" s="470"/>
      <c r="CD28" s="470"/>
      <c r="CE28" s="470"/>
      <c r="CF28" s="470"/>
      <c r="CG28" s="470"/>
      <c r="CH28" s="470"/>
      <c r="CI28" s="470"/>
      <c r="CJ28" s="470"/>
      <c r="CK28" s="470"/>
      <c r="CL28" s="470"/>
      <c r="CM28" s="470"/>
      <c r="CN28" s="470"/>
      <c r="CO28" s="470"/>
      <c r="CP28" s="470"/>
    </row>
    <row r="29" spans="1:94" s="471" customFormat="1" ht="15.95" customHeight="1" x14ac:dyDescent="0.2">
      <c r="A29" s="1279" t="s">
        <v>1117</v>
      </c>
      <c r="B29" s="495">
        <v>14063032</v>
      </c>
      <c r="C29" s="495">
        <v>9743592</v>
      </c>
      <c r="D29" s="495">
        <v>4376000</v>
      </c>
      <c r="E29" s="496">
        <f t="shared" si="0"/>
        <v>28182624</v>
      </c>
      <c r="F29" s="470"/>
      <c r="G29" s="501"/>
      <c r="H29" s="501"/>
      <c r="I29" s="501"/>
      <c r="J29" s="501"/>
      <c r="K29" s="501"/>
      <c r="L29" s="470"/>
      <c r="M29" s="470"/>
      <c r="N29" s="470"/>
      <c r="O29" s="470"/>
      <c r="P29" s="470"/>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row>
    <row r="30" spans="1:94" s="471" customFormat="1" ht="15.95" customHeight="1" x14ac:dyDescent="0.2">
      <c r="A30" s="1279" t="s">
        <v>1118</v>
      </c>
      <c r="B30" s="495">
        <v>14063032</v>
      </c>
      <c r="C30" s="495">
        <v>9743592</v>
      </c>
      <c r="D30" s="495">
        <v>4376000</v>
      </c>
      <c r="E30" s="496">
        <f t="shared" si="0"/>
        <v>28182624</v>
      </c>
      <c r="F30" s="470"/>
      <c r="G30" s="501"/>
      <c r="H30" s="501"/>
      <c r="I30" s="501"/>
      <c r="J30" s="501"/>
      <c r="K30" s="501"/>
      <c r="L30" s="470"/>
      <c r="M30" s="470"/>
      <c r="N30" s="470"/>
      <c r="O30" s="470"/>
      <c r="P30" s="470"/>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c r="BF30" s="470"/>
      <c r="BG30" s="470"/>
      <c r="BH30" s="470"/>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70"/>
      <c r="CI30" s="470"/>
      <c r="CJ30" s="470"/>
      <c r="CK30" s="470"/>
      <c r="CL30" s="470"/>
      <c r="CM30" s="470"/>
      <c r="CN30" s="470"/>
      <c r="CO30" s="470"/>
      <c r="CP30" s="470"/>
    </row>
    <row r="31" spans="1:94" s="471" customFormat="1" ht="15.95" customHeight="1" x14ac:dyDescent="0.2">
      <c r="A31" s="1279" t="s">
        <v>1119</v>
      </c>
      <c r="B31" s="495">
        <v>14063032</v>
      </c>
      <c r="C31" s="495">
        <v>9743592</v>
      </c>
      <c r="D31" s="495">
        <v>4376000</v>
      </c>
      <c r="E31" s="496">
        <f t="shared" si="0"/>
        <v>28182624</v>
      </c>
      <c r="F31" s="470"/>
      <c r="G31" s="501"/>
      <c r="H31" s="501"/>
      <c r="I31" s="501"/>
      <c r="J31" s="501"/>
      <c r="K31" s="501"/>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c r="BA31" s="470"/>
      <c r="BB31" s="470"/>
      <c r="BC31" s="470"/>
      <c r="BD31" s="470"/>
      <c r="BE31" s="470"/>
      <c r="BF31" s="470"/>
      <c r="BG31" s="470"/>
      <c r="BH31" s="470"/>
      <c r="BI31" s="470"/>
      <c r="BJ31" s="470"/>
      <c r="BK31" s="470"/>
      <c r="BL31" s="470"/>
      <c r="BM31" s="470"/>
      <c r="BN31" s="470"/>
      <c r="BO31" s="470"/>
      <c r="BP31" s="470"/>
      <c r="BQ31" s="470"/>
      <c r="BR31" s="470"/>
      <c r="BS31" s="470"/>
      <c r="BT31" s="470"/>
      <c r="BU31" s="470"/>
      <c r="BV31" s="470"/>
      <c r="BW31" s="470"/>
      <c r="BX31" s="470"/>
      <c r="BY31" s="470"/>
      <c r="BZ31" s="470"/>
      <c r="CA31" s="470"/>
      <c r="CB31" s="470"/>
      <c r="CC31" s="470"/>
      <c r="CD31" s="470"/>
      <c r="CE31" s="470"/>
      <c r="CF31" s="470"/>
      <c r="CG31" s="470"/>
      <c r="CH31" s="470"/>
      <c r="CI31" s="470"/>
      <c r="CJ31" s="470"/>
      <c r="CK31" s="470"/>
      <c r="CL31" s="470"/>
      <c r="CM31" s="470"/>
      <c r="CN31" s="470"/>
      <c r="CO31" s="470"/>
      <c r="CP31" s="470"/>
    </row>
    <row r="32" spans="1:94" s="471" customFormat="1" ht="15.95" customHeight="1" x14ac:dyDescent="0.2">
      <c r="A32" s="1279" t="s">
        <v>1120</v>
      </c>
      <c r="B32" s="495">
        <v>14063032</v>
      </c>
      <c r="C32" s="495">
        <v>9743592</v>
      </c>
      <c r="D32" s="495">
        <v>4376000</v>
      </c>
      <c r="E32" s="496">
        <f t="shared" si="0"/>
        <v>28182624</v>
      </c>
      <c r="F32" s="470"/>
      <c r="G32" s="501"/>
      <c r="H32" s="501"/>
      <c r="I32" s="501"/>
      <c r="J32" s="501"/>
      <c r="K32" s="501"/>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0"/>
      <c r="CF32" s="470"/>
      <c r="CG32" s="470"/>
      <c r="CH32" s="470"/>
      <c r="CI32" s="470"/>
      <c r="CJ32" s="470"/>
      <c r="CK32" s="470"/>
      <c r="CL32" s="470"/>
      <c r="CM32" s="470"/>
      <c r="CN32" s="470"/>
      <c r="CO32" s="470"/>
      <c r="CP32" s="470"/>
    </row>
    <row r="33" spans="1:94" s="471" customFormat="1" ht="15.95" customHeight="1" x14ac:dyDescent="0.2">
      <c r="A33" s="1279" t="s">
        <v>1121</v>
      </c>
      <c r="B33" s="495">
        <v>14063032</v>
      </c>
      <c r="C33" s="495">
        <v>9743592</v>
      </c>
      <c r="D33" s="495">
        <v>4376000</v>
      </c>
      <c r="E33" s="496">
        <f t="shared" si="0"/>
        <v>28182624</v>
      </c>
      <c r="F33" s="470"/>
      <c r="G33" s="501"/>
      <c r="H33" s="501"/>
      <c r="I33" s="501"/>
      <c r="J33" s="501"/>
      <c r="K33" s="501"/>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c r="BI33" s="470"/>
      <c r="BJ33" s="470"/>
      <c r="BK33" s="470"/>
      <c r="BL33" s="470"/>
      <c r="BM33" s="470"/>
      <c r="BN33" s="470"/>
      <c r="BO33" s="470"/>
      <c r="BP33" s="470"/>
      <c r="BQ33" s="470"/>
      <c r="BR33" s="470"/>
      <c r="BS33" s="470"/>
      <c r="BT33" s="470"/>
      <c r="BU33" s="470"/>
      <c r="BV33" s="470"/>
      <c r="BW33" s="470"/>
      <c r="BX33" s="470"/>
      <c r="BY33" s="470"/>
      <c r="BZ33" s="470"/>
      <c r="CA33" s="470"/>
      <c r="CB33" s="470"/>
      <c r="CC33" s="470"/>
      <c r="CD33" s="470"/>
      <c r="CE33" s="470"/>
      <c r="CF33" s="470"/>
      <c r="CG33" s="470"/>
      <c r="CH33" s="470"/>
      <c r="CI33" s="470"/>
      <c r="CJ33" s="470"/>
      <c r="CK33" s="470"/>
      <c r="CL33" s="470"/>
      <c r="CM33" s="470"/>
      <c r="CN33" s="470"/>
      <c r="CO33" s="470"/>
      <c r="CP33" s="470"/>
    </row>
    <row r="34" spans="1:94" s="471" customFormat="1" ht="15.95" customHeight="1" x14ac:dyDescent="0.2">
      <c r="A34" s="1279" t="s">
        <v>1122</v>
      </c>
      <c r="B34" s="495">
        <v>14063032</v>
      </c>
      <c r="C34" s="495">
        <v>9743592</v>
      </c>
      <c r="D34" s="495">
        <v>4376000</v>
      </c>
      <c r="E34" s="496">
        <f t="shared" si="0"/>
        <v>28182624</v>
      </c>
      <c r="F34" s="470"/>
      <c r="G34" s="501"/>
      <c r="H34" s="501"/>
      <c r="I34" s="501"/>
      <c r="J34" s="501"/>
      <c r="K34" s="501"/>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row>
    <row r="35" spans="1:94" s="471" customFormat="1" ht="15.95" customHeight="1" x14ac:dyDescent="0.2">
      <c r="A35" s="1279" t="s">
        <v>1123</v>
      </c>
      <c r="B35" s="495">
        <v>14063032</v>
      </c>
      <c r="C35" s="495">
        <v>9743592</v>
      </c>
      <c r="D35" s="495">
        <v>4376000</v>
      </c>
      <c r="E35" s="496">
        <f t="shared" si="0"/>
        <v>28182624</v>
      </c>
      <c r="F35" s="470"/>
      <c r="G35" s="501"/>
      <c r="H35" s="501"/>
      <c r="I35" s="501"/>
      <c r="J35" s="501"/>
      <c r="K35" s="501"/>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row>
    <row r="36" spans="1:94" s="471" customFormat="1" ht="15.95" customHeight="1" x14ac:dyDescent="0.2">
      <c r="A36" s="1279" t="s">
        <v>1124</v>
      </c>
      <c r="B36" s="495">
        <v>14063032</v>
      </c>
      <c r="C36" s="495">
        <v>9743592</v>
      </c>
      <c r="D36" s="495">
        <v>4376000</v>
      </c>
      <c r="E36" s="496">
        <f t="shared" si="0"/>
        <v>28182624</v>
      </c>
      <c r="F36" s="470"/>
      <c r="G36" s="501"/>
      <c r="H36" s="501"/>
      <c r="I36" s="501"/>
      <c r="J36" s="501"/>
      <c r="K36" s="501"/>
      <c r="L36" s="470"/>
      <c r="M36" s="470"/>
      <c r="N36" s="470"/>
      <c r="O36" s="470"/>
      <c r="P36" s="470"/>
      <c r="Q36" s="470"/>
      <c r="R36" s="470"/>
      <c r="S36" s="470"/>
      <c r="T36" s="470"/>
      <c r="U36" s="470"/>
      <c r="V36" s="470"/>
      <c r="W36" s="470"/>
      <c r="X36" s="470"/>
      <c r="Y36" s="470"/>
      <c r="Z36" s="470"/>
      <c r="AA36" s="470"/>
      <c r="AB36" s="470"/>
      <c r="AC36" s="470"/>
      <c r="AD36" s="470"/>
      <c r="AE36" s="470"/>
      <c r="AF36" s="470"/>
      <c r="AG36" s="470"/>
      <c r="AH36" s="470"/>
      <c r="AI36" s="470"/>
      <c r="AJ36" s="470"/>
      <c r="AK36" s="470"/>
      <c r="AL36" s="470"/>
      <c r="AM36" s="470"/>
      <c r="AN36" s="470"/>
      <c r="AO36" s="470"/>
      <c r="AP36" s="470"/>
      <c r="AQ36" s="470"/>
      <c r="AR36" s="470"/>
      <c r="AS36" s="470"/>
      <c r="AT36" s="470"/>
      <c r="AU36" s="470"/>
      <c r="AV36" s="470"/>
      <c r="AW36" s="470"/>
      <c r="AX36" s="470"/>
      <c r="AY36" s="470"/>
      <c r="AZ36" s="470"/>
      <c r="BA36" s="470"/>
      <c r="BB36" s="470"/>
      <c r="BC36" s="470"/>
      <c r="BD36" s="470"/>
      <c r="BE36" s="470"/>
      <c r="BF36" s="470"/>
      <c r="BG36" s="470"/>
      <c r="BH36" s="470"/>
      <c r="BI36" s="470"/>
      <c r="BJ36" s="470"/>
      <c r="BK36" s="470"/>
      <c r="BL36" s="470"/>
      <c r="BM36" s="470"/>
      <c r="BN36" s="470"/>
      <c r="BO36" s="470"/>
      <c r="BP36" s="470"/>
      <c r="BQ36" s="470"/>
      <c r="BR36" s="470"/>
      <c r="BS36" s="470"/>
      <c r="BT36" s="470"/>
      <c r="BU36" s="470"/>
      <c r="BV36" s="470"/>
      <c r="BW36" s="470"/>
      <c r="BX36" s="470"/>
      <c r="BY36" s="470"/>
      <c r="BZ36" s="470"/>
      <c r="CA36" s="470"/>
      <c r="CB36" s="470"/>
      <c r="CC36" s="470"/>
      <c r="CD36" s="470"/>
      <c r="CE36" s="470"/>
      <c r="CF36" s="470"/>
      <c r="CG36" s="470"/>
      <c r="CH36" s="470"/>
      <c r="CI36" s="470"/>
      <c r="CJ36" s="470"/>
      <c r="CK36" s="470"/>
      <c r="CL36" s="470"/>
      <c r="CM36" s="470"/>
      <c r="CN36" s="470"/>
      <c r="CO36" s="470"/>
      <c r="CP36" s="470"/>
    </row>
    <row r="37" spans="1:94" s="471" customFormat="1" ht="15.95" customHeight="1" x14ac:dyDescent="0.2">
      <c r="A37" s="1279" t="s">
        <v>1125</v>
      </c>
      <c r="B37" s="495">
        <v>14063032</v>
      </c>
      <c r="C37" s="495">
        <v>9743592</v>
      </c>
      <c r="D37" s="495">
        <v>4376000</v>
      </c>
      <c r="E37" s="496">
        <f t="shared" si="0"/>
        <v>28182624</v>
      </c>
      <c r="F37" s="470"/>
      <c r="G37" s="501"/>
      <c r="H37" s="501"/>
      <c r="I37" s="501"/>
      <c r="J37" s="501"/>
      <c r="K37" s="501"/>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row>
    <row r="38" spans="1:94" s="471" customFormat="1" ht="15.95" customHeight="1" x14ac:dyDescent="0.2">
      <c r="A38" s="1279" t="s">
        <v>1126</v>
      </c>
      <c r="B38" s="495">
        <v>14063032</v>
      </c>
      <c r="C38" s="495">
        <v>9743592</v>
      </c>
      <c r="D38" s="495">
        <v>4376000</v>
      </c>
      <c r="E38" s="496">
        <f t="shared" si="0"/>
        <v>28182624</v>
      </c>
      <c r="F38" s="470"/>
      <c r="G38" s="501"/>
      <c r="H38" s="501"/>
      <c r="I38" s="501"/>
      <c r="J38" s="501"/>
      <c r="K38" s="501"/>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470"/>
      <c r="AZ38" s="470"/>
      <c r="BA38" s="470"/>
      <c r="BB38" s="470"/>
      <c r="BC38" s="470"/>
      <c r="BD38" s="470"/>
      <c r="BE38" s="470"/>
      <c r="BF38" s="470"/>
      <c r="BG38" s="470"/>
      <c r="BH38" s="470"/>
      <c r="BI38" s="470"/>
      <c r="BJ38" s="470"/>
      <c r="BK38" s="470"/>
      <c r="BL38" s="470"/>
      <c r="BM38" s="470"/>
      <c r="BN38" s="470"/>
      <c r="BO38" s="470"/>
      <c r="BP38" s="470"/>
      <c r="BQ38" s="470"/>
      <c r="BR38" s="470"/>
      <c r="BS38" s="470"/>
      <c r="BT38" s="470"/>
      <c r="BU38" s="470"/>
      <c r="BV38" s="470"/>
      <c r="BW38" s="470"/>
      <c r="BX38" s="470"/>
      <c r="BY38" s="470"/>
      <c r="BZ38" s="470"/>
      <c r="CA38" s="470"/>
      <c r="CB38" s="470"/>
      <c r="CC38" s="470"/>
      <c r="CD38" s="470"/>
      <c r="CE38" s="470"/>
      <c r="CF38" s="470"/>
      <c r="CG38" s="470"/>
      <c r="CH38" s="470"/>
      <c r="CI38" s="470"/>
      <c r="CJ38" s="470"/>
      <c r="CK38" s="470"/>
      <c r="CL38" s="470"/>
      <c r="CM38" s="470"/>
      <c r="CN38" s="470"/>
      <c r="CO38" s="470"/>
      <c r="CP38" s="470"/>
    </row>
    <row r="39" spans="1:94" s="471" customFormat="1" ht="15.95" customHeight="1" x14ac:dyDescent="0.2">
      <c r="A39" s="1279" t="s">
        <v>1127</v>
      </c>
      <c r="B39" s="495">
        <v>14063032</v>
      </c>
      <c r="C39" s="495">
        <v>9743592</v>
      </c>
      <c r="D39" s="495">
        <v>4376000</v>
      </c>
      <c r="E39" s="496">
        <f t="shared" si="0"/>
        <v>28182624</v>
      </c>
      <c r="F39" s="470"/>
      <c r="G39" s="501"/>
      <c r="H39" s="501"/>
      <c r="I39" s="501"/>
      <c r="J39" s="501"/>
      <c r="K39" s="501"/>
      <c r="L39" s="470"/>
      <c r="M39" s="470"/>
      <c r="N39" s="470"/>
      <c r="O39" s="470"/>
      <c r="P39" s="470"/>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470"/>
      <c r="AZ39" s="470"/>
      <c r="BA39" s="470"/>
      <c r="BB39" s="470"/>
      <c r="BC39" s="470"/>
      <c r="BD39" s="470"/>
      <c r="BE39" s="470"/>
      <c r="BF39" s="470"/>
      <c r="BG39" s="470"/>
      <c r="BH39" s="470"/>
      <c r="BI39" s="470"/>
      <c r="BJ39" s="470"/>
      <c r="BK39" s="470"/>
      <c r="BL39" s="470"/>
      <c r="BM39" s="470"/>
      <c r="BN39" s="470"/>
      <c r="BO39" s="470"/>
      <c r="BP39" s="470"/>
      <c r="BQ39" s="470"/>
      <c r="BR39" s="470"/>
      <c r="BS39" s="470"/>
      <c r="BT39" s="470"/>
      <c r="BU39" s="470"/>
      <c r="BV39" s="470"/>
      <c r="BW39" s="470"/>
      <c r="BX39" s="470"/>
      <c r="BY39" s="470"/>
      <c r="BZ39" s="470"/>
      <c r="CA39" s="470"/>
      <c r="CB39" s="470"/>
      <c r="CC39" s="470"/>
      <c r="CD39" s="470"/>
      <c r="CE39" s="470"/>
      <c r="CF39" s="470"/>
      <c r="CG39" s="470"/>
      <c r="CH39" s="470"/>
      <c r="CI39" s="470"/>
      <c r="CJ39" s="470"/>
      <c r="CK39" s="470"/>
      <c r="CL39" s="470"/>
      <c r="CM39" s="470"/>
      <c r="CN39" s="470"/>
      <c r="CO39" s="470"/>
      <c r="CP39" s="470"/>
    </row>
    <row r="40" spans="1:94" s="471" customFormat="1" ht="15.95" customHeight="1" x14ac:dyDescent="0.2">
      <c r="A40" s="1279" t="s">
        <v>1128</v>
      </c>
      <c r="B40" s="495">
        <v>14063032</v>
      </c>
      <c r="C40" s="495">
        <v>9743592</v>
      </c>
      <c r="D40" s="495">
        <v>4376000</v>
      </c>
      <c r="E40" s="496">
        <f t="shared" si="0"/>
        <v>28182624</v>
      </c>
      <c r="F40" s="470"/>
      <c r="G40" s="501"/>
      <c r="H40" s="501"/>
      <c r="I40" s="501"/>
      <c r="J40" s="501"/>
      <c r="K40" s="501"/>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row>
    <row r="41" spans="1:94" s="471" customFormat="1" ht="15.95" customHeight="1" x14ac:dyDescent="0.2">
      <c r="A41" s="1279" t="s">
        <v>1129</v>
      </c>
      <c r="B41" s="495">
        <v>7031547</v>
      </c>
      <c r="C41" s="495">
        <v>9743629</v>
      </c>
      <c r="D41" s="495">
        <v>4334633</v>
      </c>
      <c r="E41" s="496">
        <f t="shared" si="0"/>
        <v>21109809</v>
      </c>
      <c r="F41" s="470"/>
      <c r="G41" s="501"/>
      <c r="H41" s="501"/>
      <c r="I41" s="501"/>
      <c r="J41" s="501"/>
      <c r="K41" s="501"/>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c r="BF41" s="470"/>
      <c r="BG41" s="470"/>
      <c r="BH41" s="470"/>
      <c r="BI41" s="470"/>
      <c r="BJ41" s="470"/>
      <c r="BK41" s="470"/>
      <c r="BL41" s="470"/>
      <c r="BM41" s="470"/>
      <c r="BN41" s="470"/>
      <c r="BO41" s="470"/>
      <c r="BP41" s="470"/>
      <c r="BQ41" s="470"/>
      <c r="BR41" s="470"/>
      <c r="BS41" s="470"/>
      <c r="BT41" s="470"/>
      <c r="BU41" s="470"/>
      <c r="BV41" s="470"/>
      <c r="BW41" s="470"/>
      <c r="BX41" s="470"/>
      <c r="BY41" s="470"/>
      <c r="BZ41" s="470"/>
      <c r="CA41" s="470"/>
      <c r="CB41" s="470"/>
      <c r="CC41" s="470"/>
      <c r="CD41" s="470"/>
      <c r="CE41" s="470"/>
      <c r="CF41" s="470"/>
      <c r="CG41" s="470"/>
      <c r="CH41" s="470"/>
      <c r="CI41" s="470"/>
      <c r="CJ41" s="470"/>
      <c r="CK41" s="470"/>
      <c r="CL41" s="470"/>
      <c r="CM41" s="470"/>
      <c r="CN41" s="470"/>
      <c r="CO41" s="470"/>
      <c r="CP41" s="470"/>
    </row>
    <row r="42" spans="1:94" s="471" customFormat="1" ht="21" customHeight="1" thickBot="1" x14ac:dyDescent="0.25">
      <c r="A42" s="1217" t="s">
        <v>1394</v>
      </c>
      <c r="B42" s="502">
        <f>SUM(B25:B41)</f>
        <v>232040059</v>
      </c>
      <c r="C42" s="502">
        <f>SUM(C25:C41)</f>
        <v>165641101</v>
      </c>
      <c r="D42" s="502">
        <f>SUM(D25:D41)</f>
        <v>74350633</v>
      </c>
      <c r="E42" s="1218">
        <f>SUM(E25:E41)</f>
        <v>472031793</v>
      </c>
      <c r="F42" s="470"/>
      <c r="G42" s="501"/>
      <c r="H42" s="501"/>
      <c r="I42" s="501"/>
      <c r="J42" s="501"/>
      <c r="K42" s="501"/>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row>
    <row r="43" spans="1:94" s="471" customFormat="1" ht="15.95" customHeight="1" thickTop="1" thickBot="1" x14ac:dyDescent="0.25">
      <c r="A43" s="1219" t="s">
        <v>1395</v>
      </c>
      <c r="B43" s="503">
        <f>+B42</f>
        <v>232040059</v>
      </c>
      <c r="C43" s="503">
        <f>+C42</f>
        <v>165641101</v>
      </c>
      <c r="D43" s="503">
        <f>+D42</f>
        <v>74350633</v>
      </c>
      <c r="E43" s="503">
        <f>SUM(B43:D43)</f>
        <v>472031793</v>
      </c>
      <c r="F43" s="470"/>
      <c r="G43" s="501"/>
      <c r="H43" s="501"/>
      <c r="I43" s="501"/>
      <c r="J43" s="501"/>
      <c r="K43" s="501"/>
      <c r="L43" s="470"/>
      <c r="M43" s="470"/>
      <c r="N43" s="470"/>
      <c r="O43" s="470"/>
      <c r="P43" s="470"/>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0"/>
      <c r="AN43" s="470"/>
      <c r="AO43" s="470"/>
      <c r="AP43" s="470"/>
      <c r="AQ43" s="470"/>
      <c r="AR43" s="470"/>
      <c r="AS43" s="470"/>
      <c r="AT43" s="470"/>
      <c r="AU43" s="470"/>
      <c r="AV43" s="470"/>
      <c r="AW43" s="470"/>
      <c r="AX43" s="470"/>
      <c r="AY43" s="470"/>
      <c r="AZ43" s="470"/>
      <c r="BA43" s="470"/>
      <c r="BB43" s="470"/>
      <c r="BC43" s="470"/>
      <c r="BD43" s="470"/>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0"/>
      <c r="CJ43" s="470"/>
      <c r="CK43" s="470"/>
      <c r="CL43" s="470"/>
      <c r="CM43" s="470"/>
      <c r="CN43" s="470"/>
      <c r="CO43" s="470"/>
      <c r="CP43" s="470"/>
    </row>
    <row r="44" spans="1:94" s="470" customFormat="1" ht="11.25" customHeight="1" thickTop="1" x14ac:dyDescent="0.2">
      <c r="A44" s="504"/>
      <c r="B44" s="505"/>
      <c r="C44" s="505"/>
      <c r="D44" s="505"/>
      <c r="E44" s="505"/>
      <c r="F44" s="506"/>
    </row>
    <row r="45" spans="1:94" s="507" customFormat="1" ht="16.5" customHeight="1" x14ac:dyDescent="0.15">
      <c r="A45" s="507" t="s">
        <v>1130</v>
      </c>
      <c r="C45" s="508"/>
      <c r="D45" s="508"/>
      <c r="F45" s="509"/>
      <c r="G45" s="509"/>
    </row>
    <row r="46" spans="1:94" s="507" customFormat="1" ht="21" customHeight="1" x14ac:dyDescent="0.2">
      <c r="A46" s="1950" t="s">
        <v>1131</v>
      </c>
      <c r="B46" s="1950"/>
      <c r="C46" s="470"/>
      <c r="D46" s="470"/>
      <c r="E46" s="470"/>
      <c r="F46" s="509"/>
      <c r="G46" s="509"/>
    </row>
    <row r="47" spans="1:94" s="470" customFormat="1" x14ac:dyDescent="0.2">
      <c r="A47" s="510"/>
      <c r="F47" s="511"/>
      <c r="H47" s="511"/>
    </row>
    <row r="48" spans="1:94" s="470" customFormat="1" x14ac:dyDescent="0.2">
      <c r="A48" s="510"/>
      <c r="B48" s="511"/>
      <c r="F48" s="511"/>
    </row>
    <row r="49" spans="1:94" s="470" customFormat="1" x14ac:dyDescent="0.2"/>
    <row r="50" spans="1:94" s="470" customFormat="1" x14ac:dyDescent="0.2"/>
    <row r="51" spans="1:94" s="470" customFormat="1" x14ac:dyDescent="0.2">
      <c r="B51" s="506"/>
    </row>
    <row r="52" spans="1:94" s="470" customFormat="1" x14ac:dyDescent="0.2"/>
    <row r="53" spans="1:94" s="470" customFormat="1" x14ac:dyDescent="0.2">
      <c r="B53" s="511"/>
    </row>
    <row r="54" spans="1:94" s="512" customFormat="1" x14ac:dyDescent="0.2">
      <c r="A54" s="470"/>
      <c r="B54" s="470"/>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470"/>
      <c r="AZ54" s="470"/>
      <c r="BA54" s="470"/>
      <c r="BB54" s="470"/>
      <c r="BC54" s="470"/>
      <c r="BD54" s="470"/>
      <c r="BE54" s="470"/>
      <c r="BF54" s="470"/>
      <c r="BG54" s="470"/>
      <c r="BH54" s="470"/>
      <c r="BI54" s="470"/>
      <c r="BJ54" s="470"/>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0"/>
      <c r="CG54" s="470"/>
      <c r="CH54" s="470"/>
      <c r="CI54" s="470"/>
      <c r="CJ54" s="470"/>
      <c r="CK54" s="470"/>
      <c r="CL54" s="470"/>
      <c r="CM54" s="470"/>
      <c r="CN54" s="470"/>
      <c r="CO54" s="470"/>
      <c r="CP54" s="470"/>
    </row>
    <row r="55" spans="1:94" x14ac:dyDescent="0.2">
      <c r="A55" s="470"/>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70"/>
      <c r="CM55" s="470"/>
      <c r="CN55" s="470"/>
      <c r="CO55" s="470"/>
      <c r="CP55" s="470"/>
    </row>
    <row r="56" spans="1:94" x14ac:dyDescent="0.2">
      <c r="A56" s="470"/>
      <c r="B56" s="470"/>
      <c r="C56" s="470"/>
      <c r="D56" s="470"/>
      <c r="E56" s="470"/>
      <c r="F56" s="470"/>
      <c r="G56" s="470"/>
      <c r="H56" s="470"/>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c r="BF56" s="470"/>
      <c r="BG56" s="470"/>
      <c r="BH56" s="470"/>
      <c r="BI56" s="470"/>
      <c r="BJ56" s="470"/>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0"/>
      <c r="CG56" s="470"/>
      <c r="CH56" s="470"/>
      <c r="CI56" s="470"/>
      <c r="CJ56" s="470"/>
      <c r="CK56" s="470"/>
      <c r="CL56" s="470"/>
      <c r="CM56" s="470"/>
      <c r="CN56" s="470"/>
      <c r="CO56" s="470"/>
      <c r="CP56" s="470"/>
    </row>
    <row r="57" spans="1:94" x14ac:dyDescent="0.2">
      <c r="A57" s="470"/>
      <c r="B57" s="470"/>
      <c r="C57" s="470"/>
      <c r="D57" s="470"/>
      <c r="E57" s="470"/>
      <c r="F57" s="470"/>
      <c r="G57" s="470"/>
      <c r="H57" s="470"/>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0"/>
      <c r="BF57" s="470"/>
      <c r="BG57" s="470"/>
      <c r="BH57" s="470"/>
      <c r="BI57" s="470"/>
      <c r="BJ57" s="470"/>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0"/>
      <c r="CG57" s="470"/>
      <c r="CH57" s="470"/>
      <c r="CI57" s="470"/>
      <c r="CJ57" s="470"/>
      <c r="CK57" s="470"/>
      <c r="CL57" s="470"/>
      <c r="CM57" s="470"/>
      <c r="CN57" s="470"/>
      <c r="CO57" s="470"/>
      <c r="CP57" s="470"/>
    </row>
    <row r="58" spans="1:94" x14ac:dyDescent="0.2">
      <c r="A58" s="470"/>
      <c r="B58" s="470"/>
      <c r="C58" s="470"/>
      <c r="D58" s="470"/>
      <c r="E58" s="470"/>
      <c r="F58" s="470"/>
      <c r="G58" s="470"/>
      <c r="H58" s="470"/>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0"/>
      <c r="BF58" s="470"/>
      <c r="BG58" s="470"/>
      <c r="BH58" s="470"/>
      <c r="BI58" s="470"/>
      <c r="BJ58" s="470"/>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0"/>
      <c r="CG58" s="470"/>
      <c r="CH58" s="470"/>
      <c r="CI58" s="470"/>
      <c r="CJ58" s="470"/>
      <c r="CK58" s="470"/>
      <c r="CL58" s="470"/>
      <c r="CM58" s="470"/>
      <c r="CN58" s="470"/>
      <c r="CO58" s="470"/>
      <c r="CP58" s="470"/>
    </row>
    <row r="59" spans="1:94" x14ac:dyDescent="0.2">
      <c r="A59" s="470"/>
      <c r="B59" s="470"/>
      <c r="C59" s="470"/>
      <c r="D59" s="470"/>
      <c r="E59" s="470"/>
      <c r="F59" s="470"/>
      <c r="G59" s="470"/>
      <c r="H59" s="470"/>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0"/>
      <c r="CG59" s="470"/>
      <c r="CH59" s="470"/>
      <c r="CI59" s="470"/>
      <c r="CJ59" s="470"/>
      <c r="CK59" s="470"/>
      <c r="CL59" s="470"/>
      <c r="CM59" s="470"/>
      <c r="CN59" s="470"/>
      <c r="CO59" s="470"/>
      <c r="CP59" s="470"/>
    </row>
    <row r="60" spans="1:94" x14ac:dyDescent="0.2">
      <c r="A60" s="470"/>
      <c r="B60" s="470"/>
      <c r="C60" s="470"/>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c r="BF60" s="470"/>
      <c r="BG60" s="470"/>
      <c r="BH60" s="470"/>
      <c r="BI60" s="470"/>
      <c r="BJ60" s="470"/>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0"/>
      <c r="CG60" s="470"/>
      <c r="CH60" s="470"/>
      <c r="CI60" s="470"/>
      <c r="CJ60" s="470"/>
      <c r="CK60" s="470"/>
      <c r="CL60" s="470"/>
      <c r="CM60" s="470"/>
      <c r="CN60" s="470"/>
      <c r="CO60" s="470"/>
      <c r="CP60" s="470"/>
    </row>
    <row r="61" spans="1:94" x14ac:dyDescent="0.2">
      <c r="A61" s="470"/>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0"/>
      <c r="CG61" s="470"/>
      <c r="CH61" s="470"/>
      <c r="CI61" s="470"/>
      <c r="CJ61" s="470"/>
      <c r="CK61" s="470"/>
      <c r="CL61" s="470"/>
      <c r="CM61" s="470"/>
      <c r="CN61" s="470"/>
      <c r="CO61" s="470"/>
      <c r="CP61" s="470"/>
    </row>
    <row r="62" spans="1:94" x14ac:dyDescent="0.2">
      <c r="A62" s="470"/>
      <c r="B62" s="470"/>
      <c r="C62" s="470"/>
      <c r="D62" s="470"/>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470"/>
      <c r="AZ62" s="470"/>
      <c r="BA62" s="470"/>
      <c r="BB62" s="470"/>
      <c r="BC62" s="470"/>
      <c r="BD62" s="470"/>
      <c r="BE62" s="470"/>
      <c r="BF62" s="470"/>
      <c r="BG62" s="470"/>
      <c r="BH62" s="470"/>
      <c r="BI62" s="470"/>
      <c r="BJ62" s="470"/>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0"/>
      <c r="CG62" s="470"/>
      <c r="CH62" s="470"/>
      <c r="CI62" s="470"/>
      <c r="CJ62" s="470"/>
      <c r="CK62" s="470"/>
      <c r="CL62" s="470"/>
      <c r="CM62" s="470"/>
      <c r="CN62" s="470"/>
      <c r="CO62" s="470"/>
      <c r="CP62" s="470"/>
    </row>
    <row r="63" spans="1:94" x14ac:dyDescent="0.2">
      <c r="A63" s="470"/>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c r="AZ63" s="470"/>
      <c r="BA63" s="470"/>
      <c r="BB63" s="470"/>
      <c r="BC63" s="470"/>
      <c r="BD63" s="470"/>
      <c r="BE63" s="470"/>
      <c r="BF63" s="470"/>
      <c r="BG63" s="470"/>
      <c r="BH63" s="470"/>
      <c r="BI63" s="470"/>
      <c r="BJ63" s="470"/>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0"/>
      <c r="CG63" s="470"/>
      <c r="CH63" s="470"/>
      <c r="CI63" s="470"/>
      <c r="CJ63" s="470"/>
      <c r="CK63" s="470"/>
      <c r="CL63" s="470"/>
      <c r="CM63" s="470"/>
      <c r="CN63" s="470"/>
      <c r="CO63" s="470"/>
      <c r="CP63" s="470"/>
    </row>
    <row r="64" spans="1:94" x14ac:dyDescent="0.2">
      <c r="A64" s="470"/>
      <c r="B64" s="470"/>
      <c r="C64" s="470"/>
      <c r="D64" s="470"/>
      <c r="E64" s="470"/>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c r="AU64" s="470"/>
      <c r="AV64" s="470"/>
      <c r="AW64" s="470"/>
      <c r="AX64" s="470"/>
      <c r="AY64" s="470"/>
      <c r="AZ64" s="470"/>
      <c r="BA64" s="470"/>
      <c r="BB64" s="470"/>
      <c r="BC64" s="470"/>
      <c r="BD64" s="470"/>
      <c r="BE64" s="470"/>
      <c r="BF64" s="470"/>
      <c r="BG64" s="470"/>
      <c r="BH64" s="470"/>
      <c r="BI64" s="470"/>
      <c r="BJ64" s="470"/>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0"/>
      <c r="CG64" s="470"/>
      <c r="CH64" s="470"/>
      <c r="CI64" s="470"/>
      <c r="CJ64" s="470"/>
      <c r="CK64" s="470"/>
      <c r="CL64" s="470"/>
      <c r="CM64" s="470"/>
      <c r="CN64" s="470"/>
      <c r="CO64" s="470"/>
      <c r="CP64" s="470"/>
    </row>
    <row r="65" spans="1:94" x14ac:dyDescent="0.2">
      <c r="A65" s="470"/>
      <c r="B65" s="470"/>
      <c r="C65" s="470"/>
      <c r="D65" s="470"/>
      <c r="E65" s="470"/>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470"/>
      <c r="AZ65" s="470"/>
      <c r="BA65" s="470"/>
      <c r="BB65" s="470"/>
      <c r="BC65" s="470"/>
      <c r="BD65" s="470"/>
      <c r="BE65" s="470"/>
      <c r="BF65" s="470"/>
      <c r="BG65" s="470"/>
      <c r="BH65" s="470"/>
      <c r="BI65" s="470"/>
      <c r="BJ65" s="470"/>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0"/>
      <c r="CG65" s="470"/>
      <c r="CH65" s="470"/>
      <c r="CI65" s="470"/>
      <c r="CJ65" s="470"/>
      <c r="CK65" s="470"/>
      <c r="CL65" s="470"/>
      <c r="CM65" s="470"/>
      <c r="CN65" s="470"/>
      <c r="CO65" s="470"/>
      <c r="CP65" s="470"/>
    </row>
    <row r="66" spans="1:94" x14ac:dyDescent="0.2">
      <c r="A66" s="470"/>
      <c r="B66" s="470"/>
      <c r="C66" s="470"/>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c r="BF66" s="470"/>
      <c r="BG66" s="470"/>
      <c r="BH66" s="470"/>
      <c r="BI66" s="470"/>
      <c r="BJ66" s="470"/>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0"/>
      <c r="CG66" s="470"/>
      <c r="CH66" s="470"/>
      <c r="CI66" s="470"/>
      <c r="CJ66" s="470"/>
      <c r="CK66" s="470"/>
      <c r="CL66" s="470"/>
      <c r="CM66" s="470"/>
      <c r="CN66" s="470"/>
      <c r="CO66" s="470"/>
      <c r="CP66" s="470"/>
    </row>
    <row r="67" spans="1:94" x14ac:dyDescent="0.2">
      <c r="A67" s="470"/>
      <c r="B67" s="470"/>
      <c r="C67" s="470"/>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0"/>
      <c r="CG67" s="470"/>
      <c r="CH67" s="470"/>
      <c r="CI67" s="470"/>
      <c r="CJ67" s="470"/>
      <c r="CK67" s="470"/>
      <c r="CL67" s="470"/>
      <c r="CM67" s="470"/>
      <c r="CN67" s="470"/>
      <c r="CO67" s="470"/>
      <c r="CP67" s="470"/>
    </row>
    <row r="68" spans="1:94" x14ac:dyDescent="0.2">
      <c r="A68" s="470"/>
      <c r="B68" s="470"/>
      <c r="C68" s="470"/>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0"/>
      <c r="AF68" s="470"/>
      <c r="AG68" s="470"/>
      <c r="AH68" s="470"/>
      <c r="AI68" s="470"/>
      <c r="AJ68" s="470"/>
      <c r="AK68" s="470"/>
      <c r="AL68" s="470"/>
      <c r="AM68" s="470"/>
      <c r="AN68" s="470"/>
      <c r="AO68" s="470"/>
      <c r="AP68" s="470"/>
      <c r="AQ68" s="470"/>
      <c r="AR68" s="470"/>
      <c r="AS68" s="470"/>
      <c r="AT68" s="470"/>
      <c r="AU68" s="470"/>
      <c r="AV68" s="470"/>
      <c r="AW68" s="470"/>
      <c r="AX68" s="470"/>
      <c r="AY68" s="470"/>
      <c r="AZ68" s="470"/>
      <c r="BA68" s="470"/>
      <c r="BB68" s="470"/>
      <c r="BC68" s="470"/>
      <c r="BD68" s="470"/>
      <c r="BE68" s="470"/>
      <c r="BF68" s="470"/>
      <c r="BG68" s="470"/>
      <c r="BH68" s="470"/>
      <c r="BI68" s="470"/>
      <c r="BJ68" s="470"/>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0"/>
      <c r="CG68" s="470"/>
      <c r="CH68" s="470"/>
      <c r="CI68" s="470"/>
      <c r="CJ68" s="470"/>
      <c r="CK68" s="470"/>
      <c r="CL68" s="470"/>
      <c r="CM68" s="470"/>
      <c r="CN68" s="470"/>
      <c r="CO68" s="470"/>
      <c r="CP68" s="470"/>
    </row>
    <row r="69" spans="1:94" x14ac:dyDescent="0.2">
      <c r="A69" s="470"/>
      <c r="B69" s="470"/>
      <c r="C69" s="470"/>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c r="AU69" s="470"/>
      <c r="AV69" s="470"/>
      <c r="AW69" s="470"/>
      <c r="AX69" s="470"/>
      <c r="AY69" s="470"/>
      <c r="AZ69" s="470"/>
      <c r="BA69" s="470"/>
      <c r="BB69" s="470"/>
      <c r="BC69" s="470"/>
      <c r="BD69" s="470"/>
      <c r="BE69" s="470"/>
      <c r="BF69" s="470"/>
      <c r="BG69" s="470"/>
      <c r="BH69" s="470"/>
      <c r="BI69" s="470"/>
      <c r="BJ69" s="470"/>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0"/>
      <c r="CG69" s="470"/>
      <c r="CH69" s="470"/>
      <c r="CI69" s="470"/>
      <c r="CJ69" s="470"/>
      <c r="CK69" s="470"/>
      <c r="CL69" s="470"/>
      <c r="CM69" s="470"/>
      <c r="CN69" s="470"/>
      <c r="CO69" s="470"/>
      <c r="CP69" s="470"/>
    </row>
    <row r="70" spans="1:94" x14ac:dyDescent="0.2">
      <c r="A70" s="470"/>
      <c r="B70" s="470"/>
      <c r="C70" s="470"/>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470"/>
      <c r="AZ70" s="470"/>
      <c r="BA70" s="470"/>
      <c r="BB70" s="470"/>
      <c r="BC70" s="470"/>
      <c r="BD70" s="470"/>
      <c r="BE70" s="470"/>
      <c r="BF70" s="470"/>
      <c r="BG70" s="470"/>
      <c r="BH70" s="470"/>
      <c r="BI70" s="470"/>
      <c r="BJ70" s="470"/>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0"/>
      <c r="CG70" s="470"/>
      <c r="CH70" s="470"/>
      <c r="CI70" s="470"/>
      <c r="CJ70" s="470"/>
      <c r="CK70" s="470"/>
      <c r="CL70" s="470"/>
      <c r="CM70" s="470"/>
      <c r="CN70" s="470"/>
      <c r="CO70" s="470"/>
      <c r="CP70" s="470"/>
    </row>
    <row r="71" spans="1:94" x14ac:dyDescent="0.2">
      <c r="A71" s="470"/>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c r="AW71" s="470"/>
      <c r="AX71" s="470"/>
      <c r="AY71" s="470"/>
      <c r="AZ71" s="470"/>
      <c r="BA71" s="470"/>
      <c r="BB71" s="470"/>
      <c r="BC71" s="470"/>
      <c r="BD71" s="470"/>
      <c r="BE71" s="470"/>
      <c r="BF71" s="470"/>
      <c r="BG71" s="470"/>
      <c r="BH71" s="470"/>
      <c r="BI71" s="470"/>
      <c r="BJ71" s="470"/>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0"/>
      <c r="CG71" s="470"/>
      <c r="CH71" s="470"/>
      <c r="CI71" s="470"/>
      <c r="CJ71" s="470"/>
      <c r="CK71" s="470"/>
      <c r="CL71" s="470"/>
      <c r="CM71" s="470"/>
      <c r="CN71" s="470"/>
      <c r="CO71" s="470"/>
      <c r="CP71" s="470"/>
    </row>
    <row r="72" spans="1:94" x14ac:dyDescent="0.2">
      <c r="A72" s="470"/>
      <c r="B72" s="470"/>
      <c r="C72" s="470"/>
      <c r="D72" s="470"/>
      <c r="E72" s="470"/>
      <c r="F72" s="470"/>
      <c r="G72" s="470"/>
      <c r="H72" s="470"/>
      <c r="I72" s="470"/>
      <c r="J72" s="470"/>
      <c r="K72" s="470"/>
      <c r="L72" s="470"/>
      <c r="M72" s="470"/>
      <c r="N72" s="470"/>
      <c r="O72" s="470"/>
      <c r="P72" s="470"/>
      <c r="Q72" s="470"/>
      <c r="R72" s="470"/>
      <c r="S72" s="470"/>
      <c r="T72" s="470"/>
      <c r="U72" s="470"/>
      <c r="V72" s="470"/>
      <c r="W72" s="470"/>
      <c r="X72" s="470"/>
      <c r="Y72" s="470"/>
      <c r="Z72" s="470"/>
      <c r="AA72" s="470"/>
      <c r="AB72" s="470"/>
      <c r="AC72" s="470"/>
      <c r="AD72" s="470"/>
      <c r="AE72" s="470"/>
      <c r="AF72" s="470"/>
      <c r="AG72" s="470"/>
      <c r="AH72" s="470"/>
      <c r="AI72" s="470"/>
      <c r="AJ72" s="470"/>
      <c r="AK72" s="470"/>
      <c r="AL72" s="470"/>
      <c r="AM72" s="470"/>
      <c r="AN72" s="470"/>
      <c r="AO72" s="470"/>
      <c r="AP72" s="470"/>
      <c r="AQ72" s="470"/>
      <c r="AR72" s="470"/>
      <c r="AS72" s="470"/>
      <c r="AT72" s="470"/>
      <c r="AU72" s="470"/>
      <c r="AV72" s="470"/>
      <c r="AW72" s="470"/>
      <c r="AX72" s="470"/>
      <c r="AY72" s="470"/>
      <c r="AZ72" s="470"/>
      <c r="BA72" s="470"/>
      <c r="BB72" s="470"/>
      <c r="BC72" s="470"/>
      <c r="BD72" s="470"/>
      <c r="BE72" s="470"/>
      <c r="BF72" s="470"/>
      <c r="BG72" s="470"/>
      <c r="BH72" s="470"/>
      <c r="BI72" s="470"/>
      <c r="BJ72" s="470"/>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0"/>
      <c r="CG72" s="470"/>
      <c r="CH72" s="470"/>
      <c r="CI72" s="470"/>
      <c r="CJ72" s="470"/>
      <c r="CK72" s="470"/>
      <c r="CL72" s="470"/>
      <c r="CM72" s="470"/>
      <c r="CN72" s="470"/>
      <c r="CO72" s="470"/>
      <c r="CP72" s="470"/>
    </row>
    <row r="73" spans="1:94" x14ac:dyDescent="0.2">
      <c r="A73" s="470"/>
      <c r="B73" s="470"/>
      <c r="C73" s="470"/>
      <c r="D73" s="470"/>
      <c r="E73" s="470"/>
      <c r="F73" s="470"/>
      <c r="G73" s="470"/>
      <c r="H73" s="470"/>
      <c r="I73" s="470"/>
      <c r="J73" s="470"/>
      <c r="K73" s="470"/>
      <c r="L73" s="470"/>
      <c r="M73" s="470"/>
      <c r="N73" s="470"/>
      <c r="O73" s="470"/>
      <c r="P73" s="470"/>
      <c r="Q73" s="470"/>
      <c r="R73" s="470"/>
      <c r="S73" s="470"/>
      <c r="T73" s="470"/>
      <c r="U73" s="470"/>
      <c r="V73" s="470"/>
      <c r="W73" s="470"/>
      <c r="X73" s="470"/>
      <c r="Y73" s="470"/>
      <c r="Z73" s="470"/>
      <c r="AA73" s="470"/>
      <c r="AB73" s="470"/>
      <c r="AC73" s="470"/>
      <c r="AD73" s="470"/>
      <c r="AE73" s="470"/>
      <c r="AF73" s="470"/>
      <c r="AG73" s="470"/>
      <c r="AH73" s="470"/>
      <c r="AI73" s="470"/>
      <c r="AJ73" s="470"/>
      <c r="AK73" s="470"/>
      <c r="AL73" s="470"/>
      <c r="AM73" s="470"/>
      <c r="AN73" s="470"/>
      <c r="AO73" s="470"/>
      <c r="AP73" s="470"/>
      <c r="AQ73" s="470"/>
      <c r="AR73" s="470"/>
      <c r="AS73" s="470"/>
      <c r="AT73" s="470"/>
      <c r="AU73" s="470"/>
      <c r="AV73" s="470"/>
      <c r="AW73" s="470"/>
      <c r="AX73" s="470"/>
      <c r="AY73" s="470"/>
      <c r="AZ73" s="470"/>
      <c r="BA73" s="470"/>
      <c r="BB73" s="470"/>
      <c r="BC73" s="470"/>
      <c r="BD73" s="470"/>
      <c r="BE73" s="470"/>
      <c r="BF73" s="470"/>
      <c r="BG73" s="470"/>
      <c r="BH73" s="470"/>
      <c r="BI73" s="470"/>
      <c r="BJ73" s="470"/>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0"/>
      <c r="CG73" s="470"/>
      <c r="CH73" s="470"/>
      <c r="CI73" s="470"/>
      <c r="CJ73" s="470"/>
      <c r="CK73" s="470"/>
      <c r="CL73" s="470"/>
      <c r="CM73" s="470"/>
      <c r="CN73" s="470"/>
      <c r="CO73" s="470"/>
      <c r="CP73" s="470"/>
    </row>
    <row r="74" spans="1:94" x14ac:dyDescent="0.2">
      <c r="A74" s="470"/>
      <c r="B74" s="470"/>
      <c r="C74" s="470"/>
      <c r="D74" s="470"/>
      <c r="E74" s="470"/>
      <c r="F74" s="470"/>
      <c r="G74" s="470"/>
      <c r="H74" s="470"/>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470"/>
      <c r="AZ74" s="470"/>
      <c r="BA74" s="470"/>
      <c r="BB74" s="470"/>
      <c r="BC74" s="470"/>
      <c r="BD74" s="470"/>
      <c r="BE74" s="470"/>
      <c r="BF74" s="470"/>
      <c r="BG74" s="470"/>
      <c r="BH74" s="470"/>
      <c r="BI74" s="470"/>
      <c r="BJ74" s="470"/>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0"/>
      <c r="CG74" s="470"/>
      <c r="CH74" s="470"/>
      <c r="CI74" s="470"/>
      <c r="CJ74" s="470"/>
      <c r="CK74" s="470"/>
      <c r="CL74" s="470"/>
      <c r="CM74" s="470"/>
      <c r="CN74" s="470"/>
      <c r="CO74" s="470"/>
      <c r="CP74" s="470"/>
    </row>
    <row r="75" spans="1:94" x14ac:dyDescent="0.2">
      <c r="A75" s="470"/>
      <c r="B75" s="470"/>
      <c r="C75" s="470"/>
      <c r="D75" s="470"/>
      <c r="E75" s="470"/>
      <c r="F75" s="470"/>
      <c r="G75" s="470"/>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0"/>
      <c r="AF75" s="470"/>
      <c r="AG75" s="470"/>
      <c r="AH75" s="470"/>
      <c r="AI75" s="470"/>
      <c r="AJ75" s="470"/>
      <c r="AK75" s="470"/>
      <c r="AL75" s="470"/>
      <c r="AM75" s="470"/>
      <c r="AN75" s="470"/>
      <c r="AO75" s="470"/>
      <c r="AP75" s="470"/>
      <c r="AQ75" s="470"/>
      <c r="AR75" s="470"/>
      <c r="AS75" s="470"/>
      <c r="AT75" s="470"/>
      <c r="AU75" s="470"/>
      <c r="AV75" s="470"/>
      <c r="AW75" s="470"/>
      <c r="AX75" s="470"/>
      <c r="AY75" s="470"/>
      <c r="AZ75" s="470"/>
      <c r="BA75" s="470"/>
      <c r="BB75" s="470"/>
      <c r="BC75" s="470"/>
      <c r="BD75" s="470"/>
      <c r="BE75" s="470"/>
      <c r="BF75" s="470"/>
      <c r="BG75" s="470"/>
      <c r="BH75" s="470"/>
      <c r="BI75" s="470"/>
      <c r="BJ75" s="470"/>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0"/>
      <c r="CG75" s="470"/>
      <c r="CH75" s="470"/>
      <c r="CI75" s="470"/>
      <c r="CJ75" s="470"/>
      <c r="CK75" s="470"/>
      <c r="CL75" s="470"/>
      <c r="CM75" s="470"/>
      <c r="CN75" s="470"/>
      <c r="CO75" s="470"/>
      <c r="CP75" s="470"/>
    </row>
    <row r="76" spans="1:94" x14ac:dyDescent="0.2">
      <c r="A76" s="470"/>
      <c r="B76" s="470"/>
      <c r="C76" s="470"/>
      <c r="D76" s="470"/>
      <c r="E76" s="470"/>
      <c r="F76" s="470"/>
      <c r="G76" s="470"/>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0"/>
      <c r="AF76" s="470"/>
      <c r="AG76" s="470"/>
      <c r="AH76" s="470"/>
      <c r="AI76" s="470"/>
      <c r="AJ76" s="470"/>
      <c r="AK76" s="470"/>
      <c r="AL76" s="470"/>
      <c r="AM76" s="470"/>
      <c r="AN76" s="470"/>
      <c r="AO76" s="470"/>
      <c r="AP76" s="470"/>
      <c r="AQ76" s="470"/>
      <c r="AR76" s="470"/>
      <c r="AS76" s="470"/>
      <c r="AT76" s="470"/>
      <c r="AU76" s="470"/>
      <c r="AV76" s="470"/>
      <c r="AW76" s="470"/>
      <c r="AX76" s="470"/>
      <c r="AY76" s="470"/>
      <c r="AZ76" s="470"/>
      <c r="BA76" s="470"/>
      <c r="BB76" s="470"/>
      <c r="BC76" s="470"/>
      <c r="BD76" s="470"/>
      <c r="BE76" s="470"/>
      <c r="BF76" s="470"/>
      <c r="BG76" s="470"/>
      <c r="BH76" s="470"/>
      <c r="BI76" s="470"/>
      <c r="BJ76" s="470"/>
      <c r="BK76" s="470"/>
      <c r="BL76" s="470"/>
      <c r="BM76" s="470"/>
      <c r="BN76" s="470"/>
      <c r="BO76" s="470"/>
      <c r="BP76" s="470"/>
      <c r="BQ76" s="470"/>
      <c r="BR76" s="470"/>
      <c r="BS76" s="470"/>
      <c r="BT76" s="470"/>
      <c r="BU76" s="470"/>
      <c r="BV76" s="470"/>
      <c r="BW76" s="470"/>
      <c r="BX76" s="470"/>
      <c r="BY76" s="470"/>
      <c r="BZ76" s="470"/>
      <c r="CA76" s="470"/>
      <c r="CB76" s="470"/>
      <c r="CC76" s="470"/>
      <c r="CD76" s="470"/>
      <c r="CE76" s="470"/>
      <c r="CF76" s="470"/>
      <c r="CG76" s="470"/>
      <c r="CH76" s="470"/>
      <c r="CI76" s="470"/>
      <c r="CJ76" s="470"/>
      <c r="CK76" s="470"/>
      <c r="CL76" s="470"/>
      <c r="CM76" s="470"/>
      <c r="CN76" s="470"/>
      <c r="CO76" s="470"/>
      <c r="CP76" s="470"/>
    </row>
    <row r="77" spans="1:94" x14ac:dyDescent="0.2">
      <c r="A77" s="470"/>
      <c r="B77" s="470"/>
      <c r="C77" s="470"/>
      <c r="D77" s="470"/>
      <c r="E77" s="470"/>
      <c r="F77" s="470"/>
      <c r="G77" s="470"/>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0"/>
      <c r="AF77" s="470"/>
      <c r="AG77" s="470"/>
      <c r="AH77" s="470"/>
      <c r="AI77" s="470"/>
      <c r="AJ77" s="470"/>
      <c r="AK77" s="470"/>
      <c r="AL77" s="470"/>
      <c r="AM77" s="470"/>
      <c r="AN77" s="470"/>
      <c r="AO77" s="470"/>
      <c r="AP77" s="470"/>
      <c r="AQ77" s="470"/>
      <c r="AR77" s="470"/>
      <c r="AS77" s="470"/>
      <c r="AT77" s="470"/>
      <c r="AU77" s="470"/>
      <c r="AV77" s="470"/>
      <c r="AW77" s="470"/>
      <c r="AX77" s="470"/>
      <c r="AY77" s="470"/>
      <c r="AZ77" s="470"/>
      <c r="BA77" s="470"/>
      <c r="BB77" s="470"/>
      <c r="BC77" s="470"/>
      <c r="BD77" s="470"/>
      <c r="BE77" s="470"/>
      <c r="BF77" s="470"/>
      <c r="BG77" s="470"/>
      <c r="BH77" s="470"/>
      <c r="BI77" s="470"/>
      <c r="BJ77" s="470"/>
      <c r="BK77" s="470"/>
      <c r="BL77" s="470"/>
      <c r="BM77" s="470"/>
      <c r="BN77" s="470"/>
      <c r="BO77" s="470"/>
      <c r="BP77" s="470"/>
      <c r="BQ77" s="470"/>
      <c r="BR77" s="470"/>
      <c r="BS77" s="470"/>
      <c r="BT77" s="470"/>
      <c r="BU77" s="470"/>
      <c r="BV77" s="470"/>
      <c r="BW77" s="470"/>
      <c r="BX77" s="470"/>
      <c r="BY77" s="470"/>
      <c r="BZ77" s="470"/>
      <c r="CA77" s="470"/>
      <c r="CB77" s="470"/>
      <c r="CC77" s="470"/>
      <c r="CD77" s="470"/>
      <c r="CE77" s="470"/>
      <c r="CF77" s="470"/>
      <c r="CG77" s="470"/>
      <c r="CH77" s="470"/>
      <c r="CI77" s="470"/>
      <c r="CJ77" s="470"/>
      <c r="CK77" s="470"/>
      <c r="CL77" s="470"/>
      <c r="CM77" s="470"/>
      <c r="CN77" s="470"/>
      <c r="CO77" s="470"/>
      <c r="CP77" s="470"/>
    </row>
    <row r="78" spans="1:94" x14ac:dyDescent="0.2">
      <c r="A78" s="470"/>
      <c r="B78" s="470"/>
      <c r="C78" s="470"/>
      <c r="D78" s="470"/>
      <c r="E78" s="470"/>
      <c r="F78" s="470"/>
      <c r="G78" s="470"/>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0"/>
      <c r="AF78" s="470"/>
      <c r="AG78" s="470"/>
      <c r="AH78" s="470"/>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c r="BF78" s="470"/>
      <c r="BG78" s="470"/>
      <c r="BH78" s="470"/>
      <c r="BI78" s="470"/>
      <c r="BJ78" s="470"/>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0"/>
      <c r="CG78" s="470"/>
      <c r="CH78" s="470"/>
      <c r="CI78" s="470"/>
      <c r="CJ78" s="470"/>
      <c r="CK78" s="470"/>
      <c r="CL78" s="470"/>
      <c r="CM78" s="470"/>
      <c r="CN78" s="470"/>
      <c r="CO78" s="470"/>
      <c r="CP78" s="470"/>
    </row>
    <row r="79" spans="1:94" x14ac:dyDescent="0.2">
      <c r="A79" s="470"/>
      <c r="B79" s="470"/>
      <c r="C79" s="470"/>
      <c r="D79" s="470"/>
      <c r="E79" s="470"/>
      <c r="F79" s="470"/>
      <c r="G79" s="470"/>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0"/>
      <c r="AF79" s="470"/>
      <c r="AG79" s="470"/>
      <c r="AH79" s="470"/>
      <c r="AI79" s="470"/>
      <c r="AJ79" s="470"/>
      <c r="AK79" s="470"/>
      <c r="AL79" s="470"/>
      <c r="AM79" s="470"/>
      <c r="AN79" s="470"/>
      <c r="AO79" s="470"/>
      <c r="AP79" s="470"/>
      <c r="AQ79" s="470"/>
      <c r="AR79" s="470"/>
      <c r="AS79" s="470"/>
      <c r="AT79" s="470"/>
      <c r="AU79" s="470"/>
      <c r="AV79" s="470"/>
      <c r="AW79" s="470"/>
      <c r="AX79" s="470"/>
      <c r="AY79" s="470"/>
      <c r="AZ79" s="470"/>
      <c r="BA79" s="470"/>
      <c r="BB79" s="470"/>
      <c r="BC79" s="470"/>
      <c r="BD79" s="470"/>
      <c r="BE79" s="470"/>
      <c r="BF79" s="470"/>
      <c r="BG79" s="470"/>
      <c r="BH79" s="470"/>
      <c r="BI79" s="470"/>
      <c r="BJ79" s="470"/>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70"/>
      <c r="CL79" s="470"/>
      <c r="CM79" s="470"/>
      <c r="CN79" s="470"/>
      <c r="CO79" s="470"/>
      <c r="CP79" s="470"/>
    </row>
    <row r="80" spans="1:94" x14ac:dyDescent="0.2">
      <c r="A80" s="470"/>
      <c r="B80" s="470"/>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70"/>
      <c r="CM80" s="470"/>
      <c r="CN80" s="470"/>
      <c r="CO80" s="470"/>
      <c r="CP80" s="470"/>
    </row>
    <row r="81" spans="1:94" x14ac:dyDescent="0.2">
      <c r="A81" s="470"/>
      <c r="B81" s="470"/>
      <c r="C81" s="470"/>
      <c r="D81" s="470"/>
      <c r="E81" s="470"/>
      <c r="F81" s="470"/>
      <c r="G81" s="470"/>
      <c r="H81" s="470"/>
      <c r="I81" s="470"/>
      <c r="J81" s="470"/>
      <c r="K81" s="470"/>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0"/>
      <c r="CN81" s="470"/>
      <c r="CO81" s="470"/>
      <c r="CP81" s="470"/>
    </row>
    <row r="82" spans="1:94" x14ac:dyDescent="0.2">
      <c r="A82" s="470"/>
      <c r="B82" s="470"/>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70"/>
      <c r="CM82" s="470"/>
      <c r="CN82" s="470"/>
      <c r="CO82" s="470"/>
      <c r="CP82" s="470"/>
    </row>
    <row r="83" spans="1:94" x14ac:dyDescent="0.2">
      <c r="A83" s="470"/>
      <c r="B83" s="470"/>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70"/>
      <c r="CM83" s="470"/>
      <c r="CN83" s="470"/>
      <c r="CO83" s="470"/>
      <c r="CP83" s="470"/>
    </row>
    <row r="84" spans="1:94" x14ac:dyDescent="0.2">
      <c r="A84" s="470"/>
      <c r="B84" s="470"/>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c r="CO84" s="470"/>
      <c r="CP84" s="470"/>
    </row>
    <row r="85" spans="1:94" x14ac:dyDescent="0.2">
      <c r="A85" s="470"/>
      <c r="B85" s="470"/>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c r="CO85" s="470"/>
      <c r="CP85" s="470"/>
    </row>
    <row r="86" spans="1:94" x14ac:dyDescent="0.2">
      <c r="A86" s="470"/>
      <c r="B86" s="470"/>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70"/>
      <c r="CL86" s="470"/>
      <c r="CM86" s="470"/>
      <c r="CN86" s="470"/>
      <c r="CO86" s="470"/>
      <c r="CP86" s="470"/>
    </row>
    <row r="87" spans="1:94" x14ac:dyDescent="0.2">
      <c r="A87" s="470"/>
      <c r="B87" s="470"/>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70"/>
      <c r="CL87" s="470"/>
      <c r="CM87" s="470"/>
      <c r="CN87" s="470"/>
      <c r="CO87" s="470"/>
      <c r="CP87" s="470"/>
    </row>
    <row r="88" spans="1:94" x14ac:dyDescent="0.2">
      <c r="A88" s="470"/>
      <c r="B88" s="470"/>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70"/>
      <c r="CL88" s="470"/>
      <c r="CM88" s="470"/>
      <c r="CN88" s="470"/>
      <c r="CO88" s="470"/>
      <c r="CP88" s="470"/>
    </row>
    <row r="89" spans="1:94" x14ac:dyDescent="0.2">
      <c r="A89" s="470"/>
      <c r="B89" s="470"/>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70"/>
      <c r="CL89" s="470"/>
      <c r="CM89" s="470"/>
      <c r="CN89" s="470"/>
      <c r="CO89" s="470"/>
      <c r="CP89" s="470"/>
    </row>
    <row r="90" spans="1:94" x14ac:dyDescent="0.2">
      <c r="A90" s="470"/>
      <c r="B90" s="470"/>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70"/>
      <c r="CL90" s="470"/>
      <c r="CM90" s="470"/>
      <c r="CN90" s="470"/>
      <c r="CO90" s="470"/>
      <c r="CP90" s="470"/>
    </row>
    <row r="91" spans="1:94" x14ac:dyDescent="0.2">
      <c r="A91" s="470"/>
      <c r="B91" s="470"/>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70"/>
      <c r="CJ91" s="470"/>
      <c r="CK91" s="470"/>
      <c r="CL91" s="470"/>
      <c r="CM91" s="470"/>
      <c r="CN91" s="470"/>
      <c r="CO91" s="470"/>
      <c r="CP91" s="470"/>
    </row>
    <row r="92" spans="1:94" x14ac:dyDescent="0.2">
      <c r="A92" s="470"/>
      <c r="B92" s="470"/>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70"/>
      <c r="CJ92" s="470"/>
      <c r="CK92" s="470"/>
      <c r="CL92" s="470"/>
      <c r="CM92" s="470"/>
      <c r="CN92" s="470"/>
      <c r="CO92" s="470"/>
      <c r="CP92" s="470"/>
    </row>
    <row r="93" spans="1:94" x14ac:dyDescent="0.2">
      <c r="A93" s="470"/>
      <c r="B93" s="470"/>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70"/>
      <c r="CJ93" s="470"/>
      <c r="CK93" s="470"/>
      <c r="CL93" s="470"/>
      <c r="CM93" s="470"/>
      <c r="CN93" s="470"/>
      <c r="CO93" s="470"/>
      <c r="CP93" s="470"/>
    </row>
    <row r="94" spans="1:94" x14ac:dyDescent="0.2">
      <c r="A94" s="470"/>
      <c r="B94" s="470"/>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70"/>
      <c r="CJ94" s="470"/>
      <c r="CK94" s="470"/>
      <c r="CL94" s="470"/>
      <c r="CM94" s="470"/>
      <c r="CN94" s="470"/>
      <c r="CO94" s="470"/>
      <c r="CP94" s="470"/>
    </row>
    <row r="95" spans="1:94" x14ac:dyDescent="0.2">
      <c r="A95" s="470"/>
      <c r="B95" s="470"/>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70"/>
      <c r="CJ95" s="470"/>
      <c r="CK95" s="470"/>
      <c r="CL95" s="470"/>
      <c r="CM95" s="470"/>
      <c r="CN95" s="470"/>
      <c r="CO95" s="470"/>
      <c r="CP95" s="470"/>
    </row>
    <row r="96" spans="1:94" x14ac:dyDescent="0.2">
      <c r="A96" s="470"/>
      <c r="B96" s="470"/>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70"/>
      <c r="CJ96" s="470"/>
      <c r="CK96" s="470"/>
      <c r="CL96" s="470"/>
      <c r="CM96" s="470"/>
      <c r="CN96" s="470"/>
      <c r="CO96" s="470"/>
      <c r="CP96" s="470"/>
    </row>
    <row r="97" spans="1:94" x14ac:dyDescent="0.2">
      <c r="A97" s="470"/>
      <c r="B97" s="470"/>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70"/>
      <c r="CJ97" s="470"/>
      <c r="CK97" s="470"/>
      <c r="CL97" s="470"/>
      <c r="CM97" s="470"/>
      <c r="CN97" s="470"/>
      <c r="CO97" s="470"/>
      <c r="CP97" s="470"/>
    </row>
    <row r="98" spans="1:94" x14ac:dyDescent="0.2">
      <c r="A98" s="470"/>
      <c r="B98" s="470"/>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70"/>
      <c r="CJ98" s="470"/>
      <c r="CK98" s="470"/>
      <c r="CL98" s="470"/>
      <c r="CM98" s="470"/>
      <c r="CN98" s="470"/>
      <c r="CO98" s="470"/>
      <c r="CP98" s="470"/>
    </row>
    <row r="99" spans="1:94" x14ac:dyDescent="0.2">
      <c r="A99" s="470"/>
      <c r="B99" s="470"/>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70"/>
      <c r="CL99" s="470"/>
      <c r="CM99" s="470"/>
      <c r="CN99" s="470"/>
      <c r="CO99" s="470"/>
      <c r="CP99" s="470"/>
    </row>
    <row r="100" spans="1:94" x14ac:dyDescent="0.2">
      <c r="A100" s="470"/>
      <c r="B100" s="470"/>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70"/>
      <c r="CJ100" s="470"/>
      <c r="CK100" s="470"/>
      <c r="CL100" s="470"/>
      <c r="CM100" s="470"/>
      <c r="CN100" s="470"/>
      <c r="CO100" s="470"/>
      <c r="CP100" s="470"/>
    </row>
    <row r="101" spans="1:94" x14ac:dyDescent="0.2">
      <c r="A101" s="470"/>
      <c r="B101" s="470"/>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70"/>
      <c r="CJ101" s="470"/>
      <c r="CK101" s="470"/>
      <c r="CL101" s="470"/>
      <c r="CM101" s="470"/>
      <c r="CN101" s="470"/>
      <c r="CO101" s="470"/>
      <c r="CP101" s="470"/>
    </row>
    <row r="102" spans="1:94" x14ac:dyDescent="0.2">
      <c r="A102" s="470"/>
      <c r="B102" s="470"/>
      <c r="C102" s="470"/>
      <c r="D102" s="470"/>
      <c r="E102" s="470"/>
      <c r="F102" s="470"/>
      <c r="G102" s="470"/>
      <c r="H102" s="513"/>
    </row>
    <row r="103" spans="1:94" x14ac:dyDescent="0.2">
      <c r="A103" s="470"/>
      <c r="B103" s="470"/>
      <c r="C103" s="470"/>
      <c r="D103" s="470"/>
      <c r="E103" s="470"/>
      <c r="F103" s="470"/>
      <c r="G103" s="470"/>
      <c r="H103" s="513"/>
    </row>
    <row r="104" spans="1:94" x14ac:dyDescent="0.2">
      <c r="A104" s="470"/>
      <c r="B104" s="470"/>
      <c r="C104" s="470"/>
      <c r="D104" s="470"/>
      <c r="E104" s="470"/>
      <c r="F104" s="470"/>
      <c r="G104" s="470"/>
      <c r="H104" s="513"/>
    </row>
    <row r="105" spans="1:94" x14ac:dyDescent="0.2">
      <c r="A105" s="470"/>
      <c r="B105" s="470"/>
      <c r="C105" s="470"/>
      <c r="D105" s="470"/>
      <c r="E105" s="470"/>
      <c r="F105" s="470"/>
      <c r="G105" s="470"/>
      <c r="H105" s="513"/>
    </row>
    <row r="106" spans="1:94" x14ac:dyDescent="0.2">
      <c r="A106" s="470"/>
      <c r="B106" s="470"/>
      <c r="C106" s="470"/>
      <c r="D106" s="470"/>
      <c r="E106" s="470"/>
      <c r="F106" s="470"/>
      <c r="G106" s="470"/>
      <c r="H106" s="513"/>
    </row>
    <row r="107" spans="1:94" x14ac:dyDescent="0.2">
      <c r="A107" s="470"/>
      <c r="B107" s="470"/>
      <c r="C107" s="470"/>
      <c r="D107" s="470"/>
      <c r="E107" s="470"/>
      <c r="F107" s="470"/>
      <c r="G107" s="470"/>
      <c r="H107" s="513"/>
    </row>
    <row r="108" spans="1:94" x14ac:dyDescent="0.2">
      <c r="A108" s="470"/>
      <c r="B108" s="470"/>
      <c r="C108" s="470"/>
      <c r="D108" s="470"/>
      <c r="E108" s="470"/>
      <c r="F108" s="470"/>
      <c r="G108" s="470"/>
      <c r="H108" s="513"/>
    </row>
    <row r="109" spans="1:94" x14ac:dyDescent="0.2">
      <c r="A109" s="470"/>
      <c r="B109" s="470"/>
      <c r="C109" s="470"/>
      <c r="D109" s="470"/>
      <c r="E109" s="470"/>
      <c r="F109" s="470"/>
      <c r="G109" s="470"/>
      <c r="H109" s="513"/>
    </row>
    <row r="110" spans="1:94" x14ac:dyDescent="0.2">
      <c r="A110" s="470"/>
      <c r="B110" s="470"/>
      <c r="C110" s="470"/>
      <c r="D110" s="470"/>
      <c r="E110" s="470"/>
      <c r="F110" s="470"/>
      <c r="G110" s="470"/>
      <c r="H110" s="513"/>
    </row>
    <row r="111" spans="1:94" x14ac:dyDescent="0.2">
      <c r="A111" s="470"/>
      <c r="B111" s="470"/>
      <c r="C111" s="470"/>
      <c r="D111" s="470"/>
      <c r="E111" s="470"/>
      <c r="F111" s="470"/>
      <c r="G111" s="470"/>
      <c r="H111" s="513"/>
    </row>
    <row r="112" spans="1:94" x14ac:dyDescent="0.2">
      <c r="A112" s="470"/>
      <c r="B112" s="470"/>
      <c r="C112" s="470"/>
      <c r="D112" s="470"/>
      <c r="E112" s="470"/>
      <c r="F112" s="470"/>
      <c r="G112" s="470"/>
      <c r="H112" s="513"/>
    </row>
    <row r="113" spans="1:8" x14ac:dyDescent="0.2">
      <c r="A113" s="470"/>
      <c r="B113" s="470"/>
      <c r="C113" s="470"/>
      <c r="D113" s="470"/>
      <c r="E113" s="470"/>
      <c r="F113" s="470"/>
      <c r="G113" s="470"/>
      <c r="H113" s="513"/>
    </row>
    <row r="114" spans="1:8" x14ac:dyDescent="0.2">
      <c r="A114" s="470"/>
      <c r="B114" s="470"/>
      <c r="C114" s="470"/>
      <c r="D114" s="470"/>
      <c r="E114" s="470"/>
      <c r="F114" s="470"/>
      <c r="G114" s="470"/>
      <c r="H114" s="513"/>
    </row>
    <row r="115" spans="1:8" x14ac:dyDescent="0.2">
      <c r="A115" s="470"/>
      <c r="B115" s="470"/>
      <c r="C115" s="470"/>
      <c r="D115" s="470"/>
      <c r="E115" s="470"/>
      <c r="F115" s="470"/>
      <c r="G115" s="470"/>
      <c r="H115" s="513"/>
    </row>
    <row r="116" spans="1:8" x14ac:dyDescent="0.2">
      <c r="A116" s="470"/>
      <c r="B116" s="470"/>
      <c r="C116" s="470"/>
      <c r="D116" s="470"/>
      <c r="E116" s="470"/>
      <c r="F116" s="470"/>
      <c r="G116" s="470"/>
      <c r="H116" s="513"/>
    </row>
    <row r="117" spans="1:8" x14ac:dyDescent="0.2">
      <c r="A117" s="470"/>
      <c r="B117" s="470"/>
      <c r="C117" s="470"/>
      <c r="D117" s="470"/>
      <c r="E117" s="470"/>
      <c r="F117" s="470"/>
      <c r="G117" s="470"/>
      <c r="H117" s="513"/>
    </row>
    <row r="118" spans="1:8" x14ac:dyDescent="0.2">
      <c r="A118" s="470"/>
      <c r="B118" s="470"/>
      <c r="C118" s="470"/>
      <c r="D118" s="470"/>
      <c r="E118" s="470"/>
      <c r="F118" s="470"/>
      <c r="G118" s="470"/>
      <c r="H118" s="513"/>
    </row>
    <row r="119" spans="1:8" x14ac:dyDescent="0.2">
      <c r="A119" s="470"/>
      <c r="B119" s="470"/>
      <c r="C119" s="470"/>
      <c r="D119" s="470"/>
      <c r="E119" s="470"/>
      <c r="F119" s="470"/>
      <c r="G119" s="470"/>
      <c r="H119" s="513"/>
    </row>
    <row r="120" spans="1:8" x14ac:dyDescent="0.2">
      <c r="A120" s="470"/>
      <c r="B120" s="470"/>
      <c r="C120" s="470"/>
      <c r="D120" s="470"/>
      <c r="E120" s="470"/>
      <c r="F120" s="470"/>
      <c r="G120" s="470"/>
      <c r="H120" s="513"/>
    </row>
    <row r="121" spans="1:8" x14ac:dyDescent="0.2">
      <c r="A121" s="470"/>
      <c r="B121" s="470"/>
      <c r="C121" s="470"/>
      <c r="D121" s="470"/>
      <c r="E121" s="470"/>
      <c r="F121" s="470"/>
      <c r="G121" s="470"/>
      <c r="H121" s="513"/>
    </row>
    <row r="122" spans="1:8" x14ac:dyDescent="0.2">
      <c r="A122" s="470"/>
      <c r="B122" s="470"/>
      <c r="C122" s="470"/>
      <c r="D122" s="470"/>
      <c r="E122" s="470"/>
      <c r="F122" s="470"/>
      <c r="G122" s="470"/>
      <c r="H122" s="513"/>
    </row>
    <row r="123" spans="1:8" x14ac:dyDescent="0.2">
      <c r="A123" s="470"/>
      <c r="B123" s="470"/>
      <c r="C123" s="470"/>
      <c r="D123" s="470"/>
      <c r="E123" s="470"/>
      <c r="F123" s="470"/>
      <c r="G123" s="470"/>
      <c r="H123" s="513"/>
    </row>
    <row r="124" spans="1:8" x14ac:dyDescent="0.2">
      <c r="A124" s="470"/>
      <c r="B124" s="470"/>
      <c r="C124" s="470"/>
      <c r="D124" s="470"/>
      <c r="E124" s="470"/>
      <c r="F124" s="470"/>
      <c r="G124" s="470"/>
      <c r="H124" s="513"/>
    </row>
    <row r="125" spans="1:8" x14ac:dyDescent="0.2">
      <c r="A125" s="470"/>
      <c r="B125" s="470"/>
      <c r="C125" s="470"/>
      <c r="D125" s="470"/>
      <c r="E125" s="470"/>
      <c r="F125" s="470"/>
      <c r="G125" s="470"/>
      <c r="H125" s="513"/>
    </row>
    <row r="126" spans="1:8" x14ac:dyDescent="0.2">
      <c r="A126" s="470"/>
      <c r="B126" s="470"/>
      <c r="C126" s="470"/>
      <c r="D126" s="470"/>
      <c r="E126" s="470"/>
      <c r="F126" s="470"/>
      <c r="G126" s="470"/>
      <c r="H126" s="513"/>
    </row>
    <row r="127" spans="1:8" x14ac:dyDescent="0.2">
      <c r="A127" s="470"/>
      <c r="B127" s="470"/>
      <c r="C127" s="470"/>
      <c r="D127" s="470"/>
      <c r="E127" s="470"/>
      <c r="F127" s="470"/>
      <c r="G127" s="470"/>
      <c r="H127" s="513"/>
    </row>
    <row r="128" spans="1:8" x14ac:dyDescent="0.2">
      <c r="A128" s="470"/>
      <c r="B128" s="470"/>
      <c r="C128" s="470"/>
      <c r="D128" s="470"/>
      <c r="E128" s="470"/>
      <c r="F128" s="470"/>
      <c r="G128" s="470"/>
      <c r="H128" s="513"/>
    </row>
    <row r="129" spans="1:8" x14ac:dyDescent="0.2">
      <c r="A129" s="470"/>
      <c r="B129" s="470"/>
      <c r="C129" s="470"/>
      <c r="D129" s="470"/>
      <c r="E129" s="470"/>
      <c r="F129" s="470"/>
      <c r="G129" s="470"/>
      <c r="H129" s="513"/>
    </row>
    <row r="130" spans="1:8" x14ac:dyDescent="0.2">
      <c r="A130" s="470"/>
      <c r="B130" s="470"/>
      <c r="C130" s="470"/>
      <c r="D130" s="470"/>
      <c r="E130" s="470"/>
      <c r="F130" s="470"/>
      <c r="G130" s="470"/>
      <c r="H130" s="513"/>
    </row>
    <row r="131" spans="1:8" x14ac:dyDescent="0.2">
      <c r="A131" s="470"/>
      <c r="B131" s="470"/>
      <c r="C131" s="470"/>
      <c r="D131" s="470"/>
      <c r="E131" s="470"/>
      <c r="F131" s="470"/>
      <c r="G131" s="470"/>
      <c r="H131" s="513"/>
    </row>
    <row r="132" spans="1:8" x14ac:dyDescent="0.2">
      <c r="A132" s="470"/>
      <c r="B132" s="470"/>
      <c r="C132" s="470"/>
      <c r="D132" s="470"/>
      <c r="E132" s="470"/>
      <c r="F132" s="470"/>
      <c r="G132" s="470"/>
      <c r="H132" s="513"/>
    </row>
    <row r="133" spans="1:8" x14ac:dyDescent="0.2">
      <c r="A133" s="470"/>
      <c r="B133" s="470"/>
      <c r="C133" s="470"/>
      <c r="D133" s="470"/>
      <c r="E133" s="470"/>
      <c r="F133" s="470"/>
      <c r="G133" s="470"/>
      <c r="H133" s="513"/>
    </row>
    <row r="134" spans="1:8" x14ac:dyDescent="0.2">
      <c r="A134" s="470"/>
      <c r="B134" s="470"/>
      <c r="C134" s="470"/>
      <c r="D134" s="470"/>
      <c r="E134" s="470"/>
      <c r="F134" s="470"/>
      <c r="G134" s="470"/>
      <c r="H134" s="513"/>
    </row>
    <row r="135" spans="1:8" x14ac:dyDescent="0.2">
      <c r="A135" s="470"/>
      <c r="B135" s="470"/>
      <c r="C135" s="470"/>
      <c r="D135" s="470"/>
      <c r="E135" s="470"/>
      <c r="F135" s="470"/>
      <c r="G135" s="470"/>
      <c r="H135" s="513"/>
    </row>
    <row r="136" spans="1:8" x14ac:dyDescent="0.2">
      <c r="A136" s="470"/>
      <c r="B136" s="470"/>
      <c r="C136" s="470"/>
      <c r="D136" s="470"/>
      <c r="E136" s="470"/>
      <c r="F136" s="470"/>
      <c r="G136" s="470"/>
      <c r="H136" s="513"/>
    </row>
    <row r="137" spans="1:8" x14ac:dyDescent="0.2">
      <c r="A137" s="470"/>
      <c r="B137" s="470"/>
      <c r="C137" s="470"/>
      <c r="D137" s="470"/>
      <c r="E137" s="470"/>
      <c r="F137" s="470"/>
      <c r="G137" s="470"/>
      <c r="H137" s="513"/>
    </row>
    <row r="138" spans="1:8" x14ac:dyDescent="0.2">
      <c r="A138" s="470"/>
      <c r="B138" s="470"/>
      <c r="C138" s="470"/>
      <c r="D138" s="470"/>
      <c r="E138" s="470"/>
      <c r="F138" s="470"/>
      <c r="G138" s="470"/>
      <c r="H138" s="513"/>
    </row>
    <row r="139" spans="1:8" x14ac:dyDescent="0.2">
      <c r="A139" s="470"/>
      <c r="B139" s="470"/>
      <c r="C139" s="470"/>
      <c r="D139" s="470"/>
      <c r="E139" s="470"/>
      <c r="F139" s="470"/>
      <c r="G139" s="470"/>
      <c r="H139" s="513"/>
    </row>
    <row r="140" spans="1:8" x14ac:dyDescent="0.2">
      <c r="A140" s="470"/>
      <c r="B140" s="470"/>
      <c r="C140" s="470"/>
      <c r="D140" s="470"/>
      <c r="E140" s="470"/>
      <c r="F140" s="470"/>
      <c r="G140" s="470"/>
      <c r="H140" s="513"/>
    </row>
    <row r="141" spans="1:8" x14ac:dyDescent="0.2">
      <c r="A141" s="470"/>
      <c r="B141" s="470"/>
      <c r="C141" s="470"/>
      <c r="D141" s="470"/>
      <c r="E141" s="470"/>
      <c r="F141" s="470"/>
      <c r="G141" s="470"/>
      <c r="H141" s="513"/>
    </row>
    <row r="142" spans="1:8" x14ac:dyDescent="0.2">
      <c r="A142" s="470"/>
      <c r="B142" s="470"/>
      <c r="C142" s="470"/>
      <c r="D142" s="470"/>
      <c r="E142" s="470"/>
      <c r="F142" s="470"/>
      <c r="G142" s="470"/>
      <c r="H142" s="513"/>
    </row>
    <row r="143" spans="1:8" x14ac:dyDescent="0.2">
      <c r="A143" s="470"/>
      <c r="B143" s="470"/>
      <c r="C143" s="470"/>
      <c r="D143" s="470"/>
      <c r="E143" s="470"/>
      <c r="F143" s="470"/>
      <c r="G143" s="470"/>
      <c r="H143" s="513"/>
    </row>
    <row r="144" spans="1:8" x14ac:dyDescent="0.2">
      <c r="A144" s="470"/>
      <c r="B144" s="470"/>
      <c r="C144" s="470"/>
      <c r="D144" s="470"/>
      <c r="E144" s="470"/>
      <c r="F144" s="470"/>
      <c r="G144" s="470"/>
      <c r="H144" s="513"/>
    </row>
    <row r="145" spans="1:8" x14ac:dyDescent="0.2">
      <c r="A145" s="470"/>
      <c r="B145" s="470"/>
      <c r="C145" s="470"/>
      <c r="D145" s="470"/>
      <c r="E145" s="470"/>
      <c r="F145" s="470"/>
      <c r="G145" s="470"/>
      <c r="H145" s="513"/>
    </row>
    <row r="146" spans="1:8" x14ac:dyDescent="0.2">
      <c r="A146" s="470"/>
      <c r="B146" s="470"/>
      <c r="C146" s="470"/>
      <c r="D146" s="470"/>
      <c r="E146" s="470"/>
      <c r="F146" s="470"/>
      <c r="G146" s="470"/>
      <c r="H146" s="513"/>
    </row>
    <row r="147" spans="1:8" x14ac:dyDescent="0.2">
      <c r="A147" s="470"/>
      <c r="B147" s="470"/>
      <c r="C147" s="470"/>
      <c r="D147" s="470"/>
      <c r="E147" s="470"/>
      <c r="F147" s="470"/>
      <c r="G147" s="470"/>
      <c r="H147" s="513"/>
    </row>
    <row r="148" spans="1:8" x14ac:dyDescent="0.2">
      <c r="A148" s="470"/>
      <c r="B148" s="470"/>
      <c r="C148" s="470"/>
      <c r="D148" s="470"/>
      <c r="E148" s="470"/>
      <c r="F148" s="470"/>
      <c r="G148" s="470"/>
      <c r="H148" s="513"/>
    </row>
    <row r="149" spans="1:8" x14ac:dyDescent="0.2">
      <c r="A149" s="470"/>
      <c r="B149" s="470"/>
      <c r="C149" s="470"/>
      <c r="D149" s="470"/>
      <c r="E149" s="470"/>
      <c r="F149" s="470"/>
      <c r="G149" s="470"/>
      <c r="H149" s="513"/>
    </row>
    <row r="150" spans="1:8" x14ac:dyDescent="0.2">
      <c r="A150" s="470"/>
      <c r="B150" s="470"/>
      <c r="C150" s="470"/>
      <c r="D150" s="470"/>
      <c r="E150" s="470"/>
      <c r="F150" s="470"/>
      <c r="G150" s="470"/>
      <c r="H150" s="513"/>
    </row>
    <row r="151" spans="1:8" x14ac:dyDescent="0.2">
      <c r="A151" s="470"/>
      <c r="B151" s="470"/>
      <c r="C151" s="470"/>
      <c r="D151" s="470"/>
      <c r="E151" s="470"/>
      <c r="F151" s="470"/>
      <c r="G151" s="470"/>
      <c r="H151" s="513"/>
    </row>
    <row r="152" spans="1:8" x14ac:dyDescent="0.2">
      <c r="A152" s="470"/>
      <c r="B152" s="470"/>
      <c r="C152" s="470"/>
      <c r="D152" s="470"/>
      <c r="E152" s="470"/>
      <c r="F152" s="470"/>
      <c r="G152" s="470"/>
      <c r="H152" s="513"/>
    </row>
    <row r="153" spans="1:8" x14ac:dyDescent="0.2">
      <c r="A153" s="470"/>
      <c r="B153" s="470"/>
      <c r="C153" s="470"/>
      <c r="D153" s="470"/>
      <c r="E153" s="470"/>
      <c r="F153" s="470"/>
      <c r="G153" s="470"/>
      <c r="H153" s="513"/>
    </row>
    <row r="154" spans="1:8" x14ac:dyDescent="0.2">
      <c r="A154" s="470"/>
      <c r="B154" s="470"/>
      <c r="C154" s="470"/>
      <c r="D154" s="470"/>
      <c r="E154" s="470"/>
      <c r="F154" s="470"/>
      <c r="G154" s="470"/>
      <c r="H154" s="513"/>
    </row>
    <row r="155" spans="1:8" x14ac:dyDescent="0.2">
      <c r="A155" s="470"/>
      <c r="B155" s="470"/>
      <c r="C155" s="470"/>
      <c r="D155" s="470"/>
      <c r="E155" s="470"/>
      <c r="F155" s="470"/>
      <c r="G155" s="470"/>
      <c r="H155" s="513"/>
    </row>
    <row r="156" spans="1:8" x14ac:dyDescent="0.2">
      <c r="A156" s="470"/>
      <c r="B156" s="470"/>
      <c r="C156" s="470"/>
      <c r="D156" s="470"/>
      <c r="E156" s="470"/>
      <c r="F156" s="470"/>
      <c r="G156" s="470"/>
      <c r="H156" s="513"/>
    </row>
    <row r="157" spans="1:8" x14ac:dyDescent="0.2">
      <c r="A157" s="470"/>
      <c r="B157" s="470"/>
      <c r="C157" s="470"/>
      <c r="D157" s="470"/>
      <c r="E157" s="470"/>
      <c r="F157" s="470"/>
      <c r="G157" s="470"/>
      <c r="H157" s="513"/>
    </row>
    <row r="158" spans="1:8" x14ac:dyDescent="0.2">
      <c r="A158" s="470"/>
      <c r="B158" s="470"/>
      <c r="C158" s="470"/>
      <c r="D158" s="470"/>
      <c r="E158" s="470"/>
      <c r="F158" s="470"/>
      <c r="G158" s="470"/>
      <c r="H158" s="513"/>
    </row>
    <row r="159" spans="1:8" x14ac:dyDescent="0.2">
      <c r="A159" s="470"/>
      <c r="B159" s="470"/>
      <c r="C159" s="470"/>
      <c r="D159" s="470"/>
      <c r="E159" s="470"/>
      <c r="F159" s="470"/>
      <c r="G159" s="470"/>
      <c r="H159" s="513"/>
    </row>
    <row r="160" spans="1:8" x14ac:dyDescent="0.2">
      <c r="A160" s="470"/>
      <c r="B160" s="470"/>
      <c r="C160" s="470"/>
      <c r="D160" s="470"/>
      <c r="E160" s="470"/>
      <c r="F160" s="470"/>
      <c r="G160" s="470"/>
      <c r="H160" s="513"/>
    </row>
    <row r="161" spans="1:8" x14ac:dyDescent="0.2">
      <c r="A161" s="470"/>
      <c r="B161" s="470"/>
      <c r="C161" s="470"/>
      <c r="D161" s="470"/>
      <c r="E161" s="470"/>
      <c r="F161" s="470"/>
      <c r="G161" s="470"/>
      <c r="H161" s="513"/>
    </row>
    <row r="162" spans="1:8" x14ac:dyDescent="0.2">
      <c r="A162" s="470"/>
      <c r="B162" s="470"/>
      <c r="C162" s="470"/>
      <c r="D162" s="470"/>
      <c r="E162" s="470"/>
      <c r="F162" s="470"/>
      <c r="G162" s="470"/>
      <c r="H162" s="513"/>
    </row>
    <row r="163" spans="1:8" x14ac:dyDescent="0.2">
      <c r="A163" s="470"/>
      <c r="B163" s="470"/>
      <c r="C163" s="470"/>
      <c r="D163" s="470"/>
      <c r="E163" s="470"/>
      <c r="F163" s="470"/>
      <c r="G163" s="470"/>
      <c r="H163" s="513"/>
    </row>
    <row r="164" spans="1:8" x14ac:dyDescent="0.2">
      <c r="A164" s="470"/>
      <c r="B164" s="470"/>
      <c r="C164" s="470"/>
      <c r="D164" s="470"/>
      <c r="E164" s="470"/>
      <c r="F164" s="470"/>
      <c r="G164" s="470"/>
      <c r="H164" s="513"/>
    </row>
    <row r="165" spans="1:8" x14ac:dyDescent="0.2">
      <c r="A165" s="470"/>
      <c r="B165" s="470"/>
      <c r="C165" s="470"/>
      <c r="D165" s="470"/>
      <c r="E165" s="470"/>
      <c r="F165" s="470"/>
      <c r="G165" s="470"/>
      <c r="H165" s="513"/>
    </row>
    <row r="166" spans="1:8" x14ac:dyDescent="0.2">
      <c r="A166" s="470"/>
      <c r="B166" s="470"/>
      <c r="C166" s="470"/>
      <c r="D166" s="470"/>
      <c r="E166" s="470"/>
      <c r="F166" s="470"/>
      <c r="G166" s="470"/>
      <c r="H166" s="513"/>
    </row>
    <row r="167" spans="1:8" x14ac:dyDescent="0.2">
      <c r="A167" s="470"/>
      <c r="B167" s="470"/>
      <c r="C167" s="470"/>
      <c r="D167" s="470"/>
      <c r="E167" s="470"/>
      <c r="F167" s="470"/>
      <c r="G167" s="470"/>
      <c r="H167" s="513"/>
    </row>
    <row r="168" spans="1:8" x14ac:dyDescent="0.2">
      <c r="A168" s="470"/>
      <c r="B168" s="470"/>
      <c r="C168" s="470"/>
      <c r="D168" s="470"/>
      <c r="E168" s="470"/>
      <c r="F168" s="470"/>
      <c r="G168" s="470"/>
      <c r="H168" s="513"/>
    </row>
    <row r="169" spans="1:8" x14ac:dyDescent="0.2">
      <c r="A169" s="470"/>
      <c r="B169" s="470"/>
      <c r="C169" s="470"/>
      <c r="D169" s="470"/>
      <c r="E169" s="470"/>
      <c r="F169" s="470"/>
      <c r="G169" s="470"/>
      <c r="H169" s="513"/>
    </row>
    <row r="170" spans="1:8" x14ac:dyDescent="0.2">
      <c r="A170" s="470"/>
      <c r="B170" s="470"/>
      <c r="C170" s="470"/>
      <c r="D170" s="470"/>
      <c r="E170" s="470"/>
      <c r="F170" s="470"/>
      <c r="G170" s="470"/>
      <c r="H170" s="513"/>
    </row>
    <row r="171" spans="1:8" x14ac:dyDescent="0.2">
      <c r="A171" s="470"/>
      <c r="B171" s="470"/>
      <c r="C171" s="470"/>
      <c r="D171" s="470"/>
      <c r="E171" s="470"/>
      <c r="F171" s="470"/>
      <c r="G171" s="470"/>
      <c r="H171" s="513"/>
    </row>
    <row r="172" spans="1:8" x14ac:dyDescent="0.2">
      <c r="A172" s="470"/>
      <c r="B172" s="470"/>
      <c r="C172" s="470"/>
      <c r="D172" s="470"/>
      <c r="E172" s="470"/>
      <c r="F172" s="470"/>
      <c r="G172" s="470"/>
      <c r="H172" s="513"/>
    </row>
    <row r="173" spans="1:8" x14ac:dyDescent="0.2">
      <c r="A173" s="470"/>
      <c r="B173" s="470"/>
      <c r="C173" s="470"/>
      <c r="D173" s="470"/>
      <c r="E173" s="470"/>
      <c r="F173" s="470"/>
      <c r="G173" s="470"/>
      <c r="H173" s="513"/>
    </row>
    <row r="174" spans="1:8" x14ac:dyDescent="0.2">
      <c r="A174" s="470"/>
      <c r="B174" s="470"/>
      <c r="C174" s="470"/>
      <c r="D174" s="470"/>
      <c r="E174" s="470"/>
      <c r="F174" s="470"/>
      <c r="G174" s="470"/>
      <c r="H174" s="513"/>
    </row>
    <row r="175" spans="1:8" x14ac:dyDescent="0.2">
      <c r="A175" s="470"/>
      <c r="B175" s="470"/>
      <c r="C175" s="470"/>
      <c r="D175" s="470"/>
      <c r="E175" s="470"/>
      <c r="F175" s="470"/>
      <c r="G175" s="470"/>
      <c r="H175" s="513"/>
    </row>
    <row r="176" spans="1:8" x14ac:dyDescent="0.2">
      <c r="A176" s="470"/>
      <c r="B176" s="470"/>
      <c r="C176" s="470"/>
      <c r="D176" s="470"/>
      <c r="E176" s="470"/>
      <c r="F176" s="470"/>
      <c r="G176" s="470"/>
      <c r="H176" s="513"/>
    </row>
    <row r="177" spans="1:11" x14ac:dyDescent="0.2">
      <c r="A177" s="470"/>
      <c r="B177" s="470"/>
      <c r="C177" s="470"/>
      <c r="D177" s="470"/>
      <c r="E177" s="470"/>
      <c r="F177" s="470"/>
      <c r="G177" s="470"/>
      <c r="H177" s="513"/>
    </row>
    <row r="178" spans="1:11" x14ac:dyDescent="0.2">
      <c r="A178" s="470"/>
      <c r="B178" s="470"/>
      <c r="C178" s="470"/>
      <c r="D178" s="470"/>
      <c r="E178" s="470"/>
      <c r="F178" s="470"/>
      <c r="G178" s="470"/>
      <c r="H178" s="513"/>
    </row>
    <row r="179" spans="1:11" x14ac:dyDescent="0.2">
      <c r="A179" s="470"/>
      <c r="B179" s="470"/>
      <c r="C179" s="470"/>
      <c r="D179" s="470"/>
      <c r="E179" s="470"/>
      <c r="F179" s="470"/>
      <c r="G179" s="470"/>
      <c r="H179" s="513"/>
    </row>
    <row r="180" spans="1:11" x14ac:dyDescent="0.2">
      <c r="A180" s="470"/>
      <c r="B180" s="470"/>
      <c r="C180" s="470"/>
      <c r="D180" s="470"/>
      <c r="E180" s="470"/>
      <c r="F180" s="470"/>
      <c r="G180" s="470"/>
      <c r="H180" s="513"/>
    </row>
    <row r="181" spans="1:11" x14ac:dyDescent="0.2">
      <c r="A181" s="470"/>
      <c r="B181" s="470"/>
      <c r="C181" s="470"/>
      <c r="D181" s="470"/>
      <c r="E181" s="470"/>
      <c r="F181" s="470"/>
      <c r="G181" s="470"/>
      <c r="H181" s="513"/>
    </row>
    <row r="182" spans="1:11" x14ac:dyDescent="0.2">
      <c r="A182" s="470"/>
      <c r="B182" s="470"/>
      <c r="C182" s="470"/>
      <c r="D182" s="470"/>
      <c r="E182" s="470"/>
      <c r="F182" s="470"/>
      <c r="G182" s="470"/>
      <c r="H182" s="513"/>
    </row>
    <row r="183" spans="1:11" x14ac:dyDescent="0.2">
      <c r="A183" s="470"/>
      <c r="B183" s="470"/>
      <c r="C183" s="470"/>
      <c r="D183" s="470"/>
      <c r="E183" s="470"/>
      <c r="F183" s="470"/>
      <c r="G183" s="470"/>
      <c r="H183" s="513"/>
    </row>
    <row r="184" spans="1:11" x14ac:dyDescent="0.2">
      <c r="A184" s="470"/>
      <c r="B184" s="470"/>
      <c r="C184" s="470"/>
      <c r="D184" s="470"/>
      <c r="E184" s="470"/>
      <c r="F184" s="470"/>
      <c r="G184" s="470"/>
      <c r="H184" s="514"/>
      <c r="I184" s="471"/>
      <c r="J184" s="471"/>
    </row>
    <row r="185" spans="1:11" x14ac:dyDescent="0.2">
      <c r="A185" s="470"/>
      <c r="B185" s="470"/>
      <c r="C185" s="470"/>
      <c r="D185" s="470"/>
      <c r="E185" s="470"/>
      <c r="F185" s="470"/>
      <c r="G185" s="470"/>
      <c r="H185" s="470"/>
      <c r="I185" s="470"/>
      <c r="J185" s="470"/>
      <c r="K185" s="513"/>
    </row>
    <row r="186" spans="1:11" x14ac:dyDescent="0.2">
      <c r="A186" s="470"/>
      <c r="B186" s="470"/>
      <c r="C186" s="470"/>
      <c r="D186" s="470"/>
      <c r="E186" s="470"/>
      <c r="F186" s="470"/>
      <c r="G186" s="470"/>
      <c r="H186" s="470"/>
      <c r="I186" s="470"/>
      <c r="J186" s="470"/>
      <c r="K186" s="513"/>
    </row>
    <row r="187" spans="1:11" x14ac:dyDescent="0.2">
      <c r="A187" s="470"/>
      <c r="B187" s="470"/>
      <c r="C187" s="470"/>
      <c r="D187" s="470"/>
      <c r="E187" s="470"/>
      <c r="F187" s="470"/>
      <c r="G187" s="470"/>
      <c r="H187" s="470"/>
      <c r="I187" s="470"/>
      <c r="J187" s="470"/>
      <c r="K187" s="513"/>
    </row>
    <row r="188" spans="1:11" x14ac:dyDescent="0.2">
      <c r="A188" s="470"/>
      <c r="B188" s="470"/>
      <c r="C188" s="470"/>
      <c r="D188" s="470"/>
      <c r="E188" s="470"/>
      <c r="F188" s="470"/>
      <c r="G188" s="470"/>
      <c r="H188" s="470"/>
      <c r="I188" s="470"/>
      <c r="J188" s="470"/>
      <c r="K188" s="513"/>
    </row>
    <row r="189" spans="1:11" x14ac:dyDescent="0.2">
      <c r="A189" s="470"/>
      <c r="B189" s="470"/>
      <c r="C189" s="470"/>
      <c r="D189" s="470"/>
      <c r="E189" s="470"/>
      <c r="F189" s="470"/>
      <c r="G189" s="470"/>
      <c r="H189" s="470"/>
      <c r="I189" s="470"/>
      <c r="J189" s="470"/>
      <c r="K189" s="513"/>
    </row>
    <row r="190" spans="1:11" x14ac:dyDescent="0.2">
      <c r="A190" s="470"/>
      <c r="B190" s="470"/>
      <c r="C190" s="470"/>
      <c r="D190" s="470"/>
      <c r="E190" s="470"/>
      <c r="F190" s="470"/>
      <c r="G190" s="470"/>
      <c r="H190" s="470"/>
      <c r="I190" s="470"/>
      <c r="J190" s="470"/>
      <c r="K190" s="513"/>
    </row>
    <row r="191" spans="1:11" x14ac:dyDescent="0.2">
      <c r="A191" s="470"/>
      <c r="B191" s="470"/>
      <c r="C191" s="470"/>
      <c r="D191" s="470"/>
      <c r="E191" s="470"/>
      <c r="F191" s="470"/>
      <c r="G191" s="470"/>
      <c r="H191" s="470"/>
      <c r="I191" s="470"/>
      <c r="J191" s="470"/>
      <c r="K191" s="513"/>
    </row>
    <row r="192" spans="1:11" x14ac:dyDescent="0.2">
      <c r="A192" s="470"/>
      <c r="B192" s="470"/>
      <c r="C192" s="470"/>
      <c r="D192" s="470"/>
      <c r="E192" s="470"/>
      <c r="F192" s="470"/>
      <c r="G192" s="470"/>
      <c r="H192" s="470"/>
      <c r="I192" s="470"/>
      <c r="J192" s="470"/>
      <c r="K192" s="513"/>
    </row>
    <row r="193" spans="1:11" x14ac:dyDescent="0.2">
      <c r="A193" s="470"/>
      <c r="B193" s="470"/>
      <c r="C193" s="470"/>
      <c r="D193" s="470"/>
      <c r="E193" s="470"/>
      <c r="F193" s="470"/>
      <c r="G193" s="470"/>
      <c r="H193" s="470"/>
      <c r="I193" s="470"/>
      <c r="J193" s="470"/>
      <c r="K193" s="513"/>
    </row>
    <row r="194" spans="1:11" x14ac:dyDescent="0.2">
      <c r="A194" s="470"/>
      <c r="B194" s="470"/>
      <c r="C194" s="470"/>
      <c r="D194" s="470"/>
      <c r="E194" s="470"/>
      <c r="F194" s="470"/>
      <c r="G194" s="470"/>
      <c r="H194" s="470"/>
      <c r="I194" s="470"/>
      <c r="J194" s="470"/>
      <c r="K194" s="513"/>
    </row>
    <row r="195" spans="1:11" x14ac:dyDescent="0.2">
      <c r="A195" s="470"/>
      <c r="B195" s="470"/>
      <c r="C195" s="470"/>
      <c r="D195" s="470"/>
      <c r="E195" s="470"/>
      <c r="F195" s="470"/>
      <c r="G195" s="470"/>
      <c r="H195" s="470"/>
      <c r="I195" s="470"/>
      <c r="J195" s="470"/>
      <c r="K195" s="513"/>
    </row>
    <row r="196" spans="1:11" x14ac:dyDescent="0.2">
      <c r="A196" s="470"/>
      <c r="B196" s="470"/>
      <c r="C196" s="470"/>
      <c r="D196" s="470"/>
      <c r="E196" s="470"/>
      <c r="F196" s="470"/>
      <c r="G196" s="470"/>
      <c r="H196" s="470"/>
      <c r="I196" s="470"/>
      <c r="J196" s="470"/>
      <c r="K196" s="513"/>
    </row>
    <row r="197" spans="1:11" x14ac:dyDescent="0.2">
      <c r="A197" s="470"/>
      <c r="B197" s="470"/>
      <c r="C197" s="470"/>
      <c r="D197" s="470"/>
      <c r="E197" s="470"/>
      <c r="F197" s="470"/>
      <c r="G197" s="470"/>
      <c r="H197" s="470"/>
      <c r="I197" s="470"/>
      <c r="J197" s="470"/>
      <c r="K197" s="513"/>
    </row>
    <row r="198" spans="1:11" x14ac:dyDescent="0.2">
      <c r="A198" s="470"/>
      <c r="B198" s="470"/>
      <c r="C198" s="470"/>
      <c r="D198" s="470"/>
      <c r="E198" s="470"/>
      <c r="F198" s="470"/>
      <c r="G198" s="470"/>
      <c r="H198" s="470"/>
      <c r="I198" s="470"/>
      <c r="J198" s="470"/>
      <c r="K198" s="513"/>
    </row>
    <row r="199" spans="1:11" x14ac:dyDescent="0.2">
      <c r="A199" s="470"/>
      <c r="B199" s="470"/>
      <c r="C199" s="470"/>
      <c r="D199" s="470"/>
      <c r="E199" s="470"/>
      <c r="F199" s="470"/>
      <c r="G199" s="470"/>
      <c r="H199" s="470"/>
      <c r="I199" s="470"/>
      <c r="J199" s="470"/>
      <c r="K199" s="513"/>
    </row>
    <row r="200" spans="1:11" x14ac:dyDescent="0.2">
      <c r="A200" s="470"/>
      <c r="B200" s="470"/>
      <c r="C200" s="470"/>
      <c r="D200" s="470"/>
      <c r="E200" s="470"/>
      <c r="F200" s="470"/>
      <c r="G200" s="470"/>
      <c r="H200" s="470"/>
      <c r="I200" s="470"/>
      <c r="J200" s="470"/>
      <c r="K200" s="513"/>
    </row>
    <row r="201" spans="1:11" x14ac:dyDescent="0.2">
      <c r="A201" s="470"/>
      <c r="B201" s="470"/>
      <c r="C201" s="470"/>
      <c r="D201" s="470"/>
      <c r="E201" s="470"/>
      <c r="F201" s="470"/>
      <c r="G201" s="470"/>
      <c r="H201" s="470"/>
      <c r="I201" s="470"/>
      <c r="J201" s="470"/>
      <c r="K201" s="513"/>
    </row>
    <row r="202" spans="1:11" x14ac:dyDescent="0.2">
      <c r="A202" s="470"/>
      <c r="B202" s="470"/>
      <c r="C202" s="470"/>
      <c r="D202" s="470"/>
      <c r="E202" s="470"/>
      <c r="F202" s="470"/>
      <c r="G202" s="470"/>
      <c r="H202" s="470"/>
      <c r="I202" s="470"/>
      <c r="J202" s="470"/>
      <c r="K202" s="513"/>
    </row>
    <row r="203" spans="1:11" x14ac:dyDescent="0.2">
      <c r="A203" s="470"/>
      <c r="B203" s="470"/>
      <c r="C203" s="470"/>
      <c r="D203" s="470"/>
      <c r="E203" s="470"/>
      <c r="F203" s="470"/>
      <c r="G203" s="470"/>
      <c r="H203" s="470"/>
      <c r="I203" s="470"/>
      <c r="J203" s="470"/>
      <c r="K203" s="513"/>
    </row>
    <row r="204" spans="1:11" x14ac:dyDescent="0.2">
      <c r="A204" s="470"/>
      <c r="B204" s="470"/>
      <c r="C204" s="470"/>
      <c r="D204" s="470"/>
      <c r="E204" s="470"/>
      <c r="F204" s="470"/>
      <c r="G204" s="470"/>
      <c r="H204" s="470"/>
      <c r="I204" s="470"/>
      <c r="J204" s="470"/>
      <c r="K204" s="513"/>
    </row>
    <row r="205" spans="1:11" x14ac:dyDescent="0.2">
      <c r="A205" s="470"/>
      <c r="B205" s="470"/>
      <c r="C205" s="470"/>
      <c r="D205" s="470"/>
      <c r="E205" s="470"/>
      <c r="F205" s="470"/>
      <c r="G205" s="470"/>
      <c r="H205" s="470"/>
      <c r="I205" s="470"/>
      <c r="J205" s="470"/>
      <c r="K205" s="513"/>
    </row>
    <row r="206" spans="1:11" x14ac:dyDescent="0.2">
      <c r="A206" s="470"/>
      <c r="B206" s="470"/>
      <c r="C206" s="470"/>
      <c r="D206" s="470"/>
      <c r="E206" s="470"/>
      <c r="F206" s="470"/>
      <c r="G206" s="470"/>
      <c r="H206" s="470"/>
      <c r="I206" s="470"/>
      <c r="J206" s="470"/>
      <c r="K206" s="513"/>
    </row>
    <row r="207" spans="1:11" x14ac:dyDescent="0.2">
      <c r="A207" s="470"/>
      <c r="B207" s="470"/>
      <c r="C207" s="470"/>
      <c r="D207" s="470"/>
      <c r="E207" s="470"/>
      <c r="F207" s="470"/>
      <c r="G207" s="470"/>
      <c r="H207" s="470"/>
      <c r="I207" s="470"/>
      <c r="J207" s="470"/>
      <c r="K207" s="513"/>
    </row>
    <row r="208" spans="1:11" x14ac:dyDescent="0.2">
      <c r="A208" s="470"/>
      <c r="B208" s="470"/>
      <c r="C208" s="470"/>
      <c r="D208" s="470"/>
      <c r="E208" s="470"/>
      <c r="F208" s="470"/>
      <c r="G208" s="470"/>
      <c r="H208" s="470"/>
      <c r="I208" s="470"/>
      <c r="J208" s="470"/>
      <c r="K208" s="513"/>
    </row>
    <row r="209" spans="1:11" x14ac:dyDescent="0.2">
      <c r="A209" s="470"/>
      <c r="B209" s="470"/>
      <c r="C209" s="470"/>
      <c r="D209" s="470"/>
      <c r="E209" s="470"/>
      <c r="F209" s="470"/>
      <c r="G209" s="470"/>
      <c r="H209" s="470"/>
      <c r="I209" s="470"/>
      <c r="J209" s="470"/>
      <c r="K209" s="513"/>
    </row>
    <row r="210" spans="1:11" x14ac:dyDescent="0.2">
      <c r="A210" s="470"/>
      <c r="B210" s="470"/>
      <c r="C210" s="470"/>
      <c r="D210" s="470"/>
      <c r="E210" s="470"/>
      <c r="F210" s="470"/>
      <c r="G210" s="470"/>
      <c r="H210" s="470"/>
      <c r="I210" s="470"/>
      <c r="J210" s="470"/>
      <c r="K210" s="513"/>
    </row>
    <row r="211" spans="1:11" x14ac:dyDescent="0.2">
      <c r="A211" s="470"/>
      <c r="B211" s="470"/>
      <c r="C211" s="470"/>
      <c r="D211" s="470"/>
      <c r="E211" s="470"/>
      <c r="F211" s="470"/>
      <c r="G211" s="470"/>
      <c r="H211" s="470"/>
      <c r="I211" s="470"/>
      <c r="J211" s="470"/>
      <c r="K211" s="513"/>
    </row>
    <row r="212" spans="1:11" x14ac:dyDescent="0.2">
      <c r="A212" s="470"/>
      <c r="B212" s="470"/>
      <c r="C212" s="470"/>
      <c r="D212" s="470"/>
      <c r="E212" s="470"/>
      <c r="F212" s="470"/>
      <c r="G212" s="470"/>
      <c r="H212" s="470"/>
      <c r="I212" s="470"/>
      <c r="J212" s="470"/>
      <c r="K212" s="513"/>
    </row>
    <row r="213" spans="1:11" x14ac:dyDescent="0.2">
      <c r="A213" s="470"/>
      <c r="B213" s="470"/>
      <c r="C213" s="470"/>
      <c r="D213" s="470"/>
      <c r="E213" s="470"/>
      <c r="F213" s="470"/>
      <c r="G213" s="470"/>
      <c r="H213" s="470"/>
      <c r="I213" s="470"/>
      <c r="J213" s="470"/>
      <c r="K213" s="513"/>
    </row>
    <row r="214" spans="1:11" x14ac:dyDescent="0.2">
      <c r="A214" s="470"/>
      <c r="B214" s="470"/>
      <c r="C214" s="470"/>
      <c r="D214" s="470"/>
      <c r="E214" s="470"/>
      <c r="F214" s="470"/>
      <c r="G214" s="470"/>
      <c r="H214" s="470"/>
      <c r="I214" s="470"/>
      <c r="J214" s="470"/>
      <c r="K214" s="513"/>
    </row>
    <row r="215" spans="1:11" x14ac:dyDescent="0.2">
      <c r="A215" s="470"/>
      <c r="B215" s="470"/>
      <c r="C215" s="470"/>
      <c r="D215" s="470"/>
      <c r="E215" s="470"/>
      <c r="F215" s="470"/>
      <c r="G215" s="470"/>
      <c r="H215" s="470"/>
      <c r="I215" s="470"/>
      <c r="J215" s="470"/>
      <c r="K215" s="513"/>
    </row>
    <row r="216" spans="1:11" x14ac:dyDescent="0.2">
      <c r="A216" s="470"/>
      <c r="B216" s="470"/>
      <c r="C216" s="470"/>
      <c r="D216" s="470"/>
      <c r="E216" s="470"/>
      <c r="F216" s="470"/>
      <c r="G216" s="470"/>
      <c r="H216" s="470"/>
      <c r="I216" s="470"/>
      <c r="J216" s="470"/>
      <c r="K216" s="513"/>
    </row>
    <row r="217" spans="1:11" x14ac:dyDescent="0.2">
      <c r="A217" s="470"/>
      <c r="B217" s="470"/>
      <c r="C217" s="470"/>
      <c r="D217" s="470"/>
      <c r="E217" s="470"/>
      <c r="F217" s="470"/>
      <c r="G217" s="470"/>
      <c r="H217" s="470"/>
      <c r="I217" s="470"/>
      <c r="J217" s="470"/>
      <c r="K217" s="513"/>
    </row>
    <row r="218" spans="1:11" x14ac:dyDescent="0.2">
      <c r="A218" s="470"/>
      <c r="B218" s="470"/>
      <c r="C218" s="470"/>
      <c r="D218" s="470"/>
      <c r="E218" s="470"/>
      <c r="F218" s="470"/>
      <c r="G218" s="470"/>
      <c r="H218" s="470"/>
      <c r="I218" s="470"/>
      <c r="J218" s="470"/>
      <c r="K218" s="513"/>
    </row>
    <row r="219" spans="1:11" x14ac:dyDescent="0.2">
      <c r="A219" s="470"/>
      <c r="B219" s="470"/>
      <c r="C219" s="470"/>
      <c r="D219" s="470"/>
      <c r="E219" s="470"/>
      <c r="F219" s="470"/>
      <c r="G219" s="470"/>
      <c r="H219" s="470"/>
      <c r="I219" s="470"/>
      <c r="J219" s="470"/>
      <c r="K219" s="513"/>
    </row>
    <row r="220" spans="1:11" x14ac:dyDescent="0.2">
      <c r="A220" s="470"/>
      <c r="B220" s="470"/>
      <c r="C220" s="470"/>
      <c r="D220" s="470"/>
      <c r="E220" s="470"/>
      <c r="F220" s="470"/>
      <c r="G220" s="470"/>
      <c r="H220" s="470"/>
      <c r="I220" s="470"/>
      <c r="J220" s="470"/>
      <c r="K220" s="513"/>
    </row>
    <row r="221" spans="1:11" x14ac:dyDescent="0.2">
      <c r="A221" s="470"/>
      <c r="B221" s="470"/>
      <c r="C221" s="470"/>
      <c r="D221" s="470"/>
      <c r="E221" s="470"/>
      <c r="F221" s="470"/>
      <c r="G221" s="470"/>
      <c r="H221" s="470"/>
      <c r="I221" s="470"/>
      <c r="J221" s="470"/>
      <c r="K221" s="513"/>
    </row>
    <row r="222" spans="1:11" x14ac:dyDescent="0.2">
      <c r="A222" s="470"/>
      <c r="B222" s="470"/>
      <c r="C222" s="470"/>
      <c r="D222" s="470"/>
      <c r="E222" s="470"/>
      <c r="F222" s="470"/>
      <c r="G222" s="470"/>
      <c r="H222" s="470"/>
      <c r="I222" s="470"/>
      <c r="J222" s="470"/>
      <c r="K222" s="513"/>
    </row>
    <row r="223" spans="1:11" x14ac:dyDescent="0.2">
      <c r="A223" s="470"/>
      <c r="B223" s="470"/>
      <c r="C223" s="470"/>
      <c r="D223" s="470"/>
      <c r="E223" s="470"/>
      <c r="F223" s="470"/>
      <c r="G223" s="470"/>
      <c r="H223" s="470"/>
      <c r="I223" s="470"/>
      <c r="J223" s="470"/>
      <c r="K223" s="513"/>
    </row>
    <row r="224" spans="1:11" x14ac:dyDescent="0.2">
      <c r="A224" s="470"/>
      <c r="B224" s="470"/>
      <c r="C224" s="470"/>
      <c r="D224" s="470"/>
      <c r="E224" s="470"/>
      <c r="F224" s="470"/>
      <c r="G224" s="470"/>
      <c r="H224" s="470"/>
      <c r="I224" s="470"/>
      <c r="J224" s="470"/>
      <c r="K224" s="513"/>
    </row>
    <row r="225" spans="1:11" x14ac:dyDescent="0.2">
      <c r="A225" s="470"/>
      <c r="B225" s="470"/>
      <c r="C225" s="470"/>
      <c r="D225" s="470"/>
      <c r="E225" s="470"/>
      <c r="F225" s="470"/>
      <c r="G225" s="470"/>
      <c r="H225" s="470"/>
      <c r="I225" s="470"/>
      <c r="J225" s="470"/>
      <c r="K225" s="513"/>
    </row>
    <row r="226" spans="1:11" x14ac:dyDescent="0.2">
      <c r="A226" s="470"/>
      <c r="B226" s="470"/>
      <c r="C226" s="470"/>
      <c r="D226" s="470"/>
      <c r="E226" s="470"/>
      <c r="F226" s="470"/>
      <c r="G226" s="470"/>
      <c r="H226" s="470"/>
      <c r="I226" s="470"/>
      <c r="J226" s="470"/>
      <c r="K226" s="513"/>
    </row>
    <row r="227" spans="1:11" x14ac:dyDescent="0.2">
      <c r="A227" s="470"/>
      <c r="B227" s="470"/>
      <c r="C227" s="470"/>
      <c r="D227" s="470"/>
      <c r="E227" s="470"/>
      <c r="F227" s="470"/>
      <c r="G227" s="470"/>
      <c r="H227" s="470"/>
      <c r="I227" s="470"/>
      <c r="J227" s="470"/>
      <c r="K227" s="513"/>
    </row>
    <row r="228" spans="1:11" x14ac:dyDescent="0.2">
      <c r="A228" s="470"/>
      <c r="B228" s="470"/>
      <c r="C228" s="470"/>
      <c r="D228" s="470"/>
      <c r="E228" s="470"/>
      <c r="F228" s="470"/>
      <c r="G228" s="470"/>
      <c r="H228" s="470"/>
      <c r="I228" s="470"/>
      <c r="J228" s="470"/>
      <c r="K228" s="513"/>
    </row>
    <row r="229" spans="1:11" x14ac:dyDescent="0.2">
      <c r="A229" s="470"/>
      <c r="B229" s="470"/>
      <c r="C229" s="470"/>
      <c r="D229" s="470"/>
      <c r="E229" s="470"/>
      <c r="F229" s="470"/>
      <c r="G229" s="470"/>
      <c r="H229" s="470"/>
      <c r="I229" s="470"/>
      <c r="J229" s="470"/>
      <c r="K229" s="513"/>
    </row>
    <row r="230" spans="1:11" x14ac:dyDescent="0.2">
      <c r="A230" s="470"/>
      <c r="B230" s="470"/>
      <c r="C230" s="470"/>
      <c r="D230" s="470"/>
      <c r="E230" s="470"/>
      <c r="F230" s="470"/>
      <c r="G230" s="470"/>
      <c r="H230" s="470"/>
      <c r="I230" s="470"/>
      <c r="J230" s="470"/>
      <c r="K230" s="513"/>
    </row>
    <row r="231" spans="1:11" x14ac:dyDescent="0.2">
      <c r="A231" s="470"/>
      <c r="B231" s="470"/>
      <c r="C231" s="470"/>
      <c r="D231" s="470"/>
      <c r="E231" s="470"/>
      <c r="F231" s="470"/>
      <c r="G231" s="470"/>
      <c r="H231" s="470"/>
      <c r="I231" s="470"/>
      <c r="J231" s="470"/>
      <c r="K231" s="513"/>
    </row>
    <row r="232" spans="1:11" x14ac:dyDescent="0.2">
      <c r="A232" s="470"/>
      <c r="B232" s="470"/>
      <c r="C232" s="470"/>
      <c r="D232" s="470"/>
      <c r="E232" s="470"/>
      <c r="F232" s="470"/>
      <c r="G232" s="470"/>
      <c r="H232" s="470"/>
      <c r="I232" s="470"/>
      <c r="J232" s="470"/>
      <c r="K232" s="513"/>
    </row>
    <row r="233" spans="1:11" x14ac:dyDescent="0.2">
      <c r="A233" s="470"/>
      <c r="B233" s="470"/>
      <c r="C233" s="470"/>
      <c r="D233" s="470"/>
      <c r="E233" s="470"/>
      <c r="F233" s="470"/>
      <c r="G233" s="470"/>
      <c r="H233" s="470"/>
      <c r="I233" s="470"/>
      <c r="J233" s="470"/>
      <c r="K233" s="513"/>
    </row>
    <row r="234" spans="1:11" x14ac:dyDescent="0.2">
      <c r="A234" s="470"/>
      <c r="B234" s="470"/>
      <c r="C234" s="470"/>
      <c r="D234" s="470"/>
      <c r="E234" s="470"/>
      <c r="F234" s="470"/>
      <c r="G234" s="470"/>
      <c r="H234" s="470"/>
      <c r="I234" s="470"/>
      <c r="J234" s="470"/>
      <c r="K234" s="513"/>
    </row>
    <row r="235" spans="1:11" x14ac:dyDescent="0.2">
      <c r="A235" s="470"/>
      <c r="B235" s="470"/>
      <c r="C235" s="470"/>
      <c r="D235" s="470"/>
      <c r="E235" s="470"/>
      <c r="F235" s="470"/>
      <c r="G235" s="470"/>
      <c r="H235" s="470"/>
      <c r="I235" s="470"/>
      <c r="J235" s="470"/>
      <c r="K235" s="513"/>
    </row>
    <row r="236" spans="1:11" x14ac:dyDescent="0.2">
      <c r="A236" s="470"/>
      <c r="B236" s="470"/>
      <c r="C236" s="470"/>
      <c r="D236" s="470"/>
      <c r="E236" s="470"/>
      <c r="F236" s="470"/>
      <c r="G236" s="470"/>
      <c r="H236" s="470"/>
      <c r="I236" s="470"/>
      <c r="J236" s="470"/>
      <c r="K236" s="513"/>
    </row>
    <row r="237" spans="1:11" x14ac:dyDescent="0.2">
      <c r="A237" s="470"/>
      <c r="B237" s="470"/>
      <c r="C237" s="470"/>
      <c r="D237" s="470"/>
      <c r="E237" s="470"/>
      <c r="F237" s="470"/>
      <c r="G237" s="470"/>
      <c r="H237" s="470"/>
      <c r="I237" s="470"/>
      <c r="J237" s="470"/>
      <c r="K237" s="513"/>
    </row>
    <row r="238" spans="1:11" x14ac:dyDescent="0.2">
      <c r="A238" s="470"/>
      <c r="B238" s="470"/>
      <c r="C238" s="470"/>
      <c r="D238" s="470"/>
      <c r="E238" s="470"/>
      <c r="F238" s="470"/>
      <c r="G238" s="470"/>
      <c r="H238" s="470"/>
      <c r="I238" s="470"/>
      <c r="J238" s="470"/>
      <c r="K238" s="513"/>
    </row>
    <row r="239" spans="1:11" x14ac:dyDescent="0.2">
      <c r="A239" s="470"/>
      <c r="B239" s="470"/>
      <c r="C239" s="470"/>
      <c r="D239" s="470"/>
      <c r="E239" s="470"/>
      <c r="F239" s="470"/>
      <c r="G239" s="470"/>
      <c r="H239" s="470"/>
      <c r="I239" s="470"/>
      <c r="J239" s="470"/>
      <c r="K239" s="513"/>
    </row>
    <row r="240" spans="1:11" x14ac:dyDescent="0.2">
      <c r="A240" s="470"/>
      <c r="B240" s="470"/>
      <c r="C240" s="470"/>
      <c r="D240" s="470"/>
      <c r="E240" s="470"/>
      <c r="F240" s="470"/>
      <c r="G240" s="470"/>
      <c r="H240" s="470"/>
      <c r="I240" s="470"/>
      <c r="J240" s="470"/>
      <c r="K240" s="513"/>
    </row>
    <row r="241" spans="1:11" x14ac:dyDescent="0.2">
      <c r="A241" s="470"/>
      <c r="B241" s="470"/>
      <c r="C241" s="470"/>
      <c r="D241" s="470"/>
      <c r="E241" s="470"/>
      <c r="F241" s="470"/>
      <c r="G241" s="470"/>
      <c r="H241" s="470"/>
      <c r="I241" s="470"/>
      <c r="J241" s="470"/>
      <c r="K241" s="513"/>
    </row>
    <row r="242" spans="1:11" x14ac:dyDescent="0.2">
      <c r="A242" s="470"/>
      <c r="B242" s="470"/>
      <c r="C242" s="470"/>
      <c r="D242" s="470"/>
      <c r="E242" s="470"/>
      <c r="F242" s="470"/>
      <c r="G242" s="470"/>
      <c r="H242" s="470"/>
      <c r="I242" s="470"/>
      <c r="J242" s="470"/>
      <c r="K242" s="513"/>
    </row>
    <row r="243" spans="1:11" x14ac:dyDescent="0.2">
      <c r="A243" s="470"/>
      <c r="B243" s="470"/>
      <c r="C243" s="470"/>
      <c r="D243" s="470"/>
      <c r="E243" s="470"/>
      <c r="F243" s="470"/>
      <c r="G243" s="470"/>
      <c r="H243" s="470"/>
      <c r="I243" s="470"/>
      <c r="J243" s="470"/>
      <c r="K243" s="513"/>
    </row>
    <row r="244" spans="1:11" x14ac:dyDescent="0.2">
      <c r="A244" s="470"/>
      <c r="B244" s="470"/>
      <c r="C244" s="470"/>
      <c r="D244" s="470"/>
      <c r="E244" s="470"/>
      <c r="F244" s="470"/>
      <c r="G244" s="470"/>
      <c r="H244" s="470"/>
      <c r="I244" s="470"/>
      <c r="J244" s="470"/>
      <c r="K244" s="513"/>
    </row>
    <row r="245" spans="1:11" x14ac:dyDescent="0.2">
      <c r="A245" s="470"/>
      <c r="B245" s="470"/>
      <c r="C245" s="470"/>
      <c r="D245" s="470"/>
      <c r="E245" s="470"/>
      <c r="F245" s="470"/>
      <c r="G245" s="470"/>
      <c r="H245" s="470"/>
      <c r="I245" s="470"/>
      <c r="J245" s="470"/>
      <c r="K245" s="513"/>
    </row>
    <row r="246" spans="1:11" x14ac:dyDescent="0.2">
      <c r="A246" s="470"/>
      <c r="B246" s="470"/>
      <c r="C246" s="470"/>
      <c r="D246" s="470"/>
      <c r="E246" s="470"/>
      <c r="F246" s="470"/>
      <c r="G246" s="470"/>
      <c r="H246" s="470"/>
      <c r="I246" s="470"/>
      <c r="J246" s="470"/>
      <c r="K246" s="513"/>
    </row>
    <row r="247" spans="1:11" x14ac:dyDescent="0.2">
      <c r="A247" s="470"/>
      <c r="B247" s="470"/>
      <c r="C247" s="470"/>
      <c r="D247" s="470"/>
      <c r="E247" s="470"/>
      <c r="F247" s="470"/>
      <c r="G247" s="470"/>
      <c r="H247" s="470"/>
      <c r="I247" s="470"/>
      <c r="J247" s="470"/>
      <c r="K247" s="513"/>
    </row>
    <row r="248" spans="1:11" x14ac:dyDescent="0.2">
      <c r="A248" s="470"/>
      <c r="B248" s="470"/>
      <c r="C248" s="470"/>
      <c r="D248" s="470"/>
      <c r="E248" s="470"/>
      <c r="F248" s="470"/>
      <c r="G248" s="470"/>
      <c r="H248" s="470"/>
      <c r="I248" s="470"/>
      <c r="J248" s="470"/>
      <c r="K248" s="513"/>
    </row>
    <row r="249" spans="1:11" x14ac:dyDescent="0.2">
      <c r="A249" s="470"/>
      <c r="B249" s="470"/>
      <c r="C249" s="470"/>
      <c r="D249" s="470"/>
      <c r="E249" s="470"/>
      <c r="F249" s="470"/>
      <c r="G249" s="470"/>
      <c r="H249" s="470"/>
      <c r="I249" s="470"/>
      <c r="J249" s="470"/>
      <c r="K249" s="513"/>
    </row>
    <row r="250" spans="1:11" x14ac:dyDescent="0.2">
      <c r="A250" s="470"/>
      <c r="B250" s="470"/>
      <c r="C250" s="470"/>
      <c r="D250" s="470"/>
      <c r="E250" s="470"/>
      <c r="F250" s="470"/>
      <c r="G250" s="470"/>
      <c r="H250" s="470"/>
      <c r="I250" s="470"/>
      <c r="J250" s="470"/>
      <c r="K250" s="513"/>
    </row>
    <row r="251" spans="1:11" x14ac:dyDescent="0.2">
      <c r="A251" s="470"/>
      <c r="B251" s="470"/>
      <c r="C251" s="470"/>
      <c r="D251" s="470"/>
      <c r="E251" s="470"/>
      <c r="F251" s="470"/>
      <c r="G251" s="470"/>
      <c r="H251" s="470"/>
      <c r="I251" s="470"/>
      <c r="J251" s="470"/>
      <c r="K251" s="513"/>
    </row>
    <row r="252" spans="1:11" x14ac:dyDescent="0.2">
      <c r="A252" s="470"/>
      <c r="B252" s="470"/>
      <c r="C252" s="470"/>
      <c r="D252" s="470"/>
      <c r="E252" s="470"/>
      <c r="F252" s="470"/>
      <c r="G252" s="470"/>
      <c r="H252" s="470"/>
      <c r="I252" s="470"/>
      <c r="J252" s="470"/>
      <c r="K252" s="513"/>
    </row>
    <row r="253" spans="1:11" x14ac:dyDescent="0.2">
      <c r="A253" s="470"/>
      <c r="B253" s="470"/>
      <c r="C253" s="470"/>
      <c r="D253" s="470"/>
      <c r="E253" s="470"/>
      <c r="F253" s="470"/>
      <c r="G253" s="470"/>
      <c r="H253" s="470"/>
      <c r="I253" s="470"/>
      <c r="J253" s="470"/>
      <c r="K253" s="513"/>
    </row>
    <row r="254" spans="1:11" x14ac:dyDescent="0.2">
      <c r="A254" s="470"/>
      <c r="B254" s="470"/>
      <c r="C254" s="470"/>
      <c r="D254" s="470"/>
      <c r="E254" s="470"/>
      <c r="F254" s="470"/>
      <c r="G254" s="470"/>
      <c r="H254" s="470"/>
      <c r="I254" s="470"/>
      <c r="J254" s="470"/>
      <c r="K254" s="513"/>
    </row>
    <row r="255" spans="1:11" x14ac:dyDescent="0.2">
      <c r="A255" s="470"/>
      <c r="B255" s="470"/>
      <c r="C255" s="470"/>
      <c r="D255" s="470"/>
      <c r="E255" s="470"/>
      <c r="F255" s="470"/>
      <c r="G255" s="470"/>
      <c r="H255" s="470"/>
      <c r="I255" s="470"/>
      <c r="J255" s="470"/>
      <c r="K255" s="513"/>
    </row>
    <row r="256" spans="1:11" x14ac:dyDescent="0.2">
      <c r="A256" s="470"/>
      <c r="B256" s="470"/>
      <c r="C256" s="470"/>
      <c r="D256" s="470"/>
      <c r="E256" s="470"/>
      <c r="F256" s="470"/>
      <c r="G256" s="470"/>
      <c r="H256" s="470"/>
      <c r="I256" s="470"/>
      <c r="J256" s="470"/>
      <c r="K256" s="513"/>
    </row>
    <row r="257" spans="1:11" x14ac:dyDescent="0.2">
      <c r="A257" s="470"/>
      <c r="B257" s="470"/>
      <c r="C257" s="470"/>
      <c r="D257" s="470"/>
      <c r="E257" s="470"/>
      <c r="F257" s="470"/>
      <c r="G257" s="470"/>
      <c r="H257" s="470"/>
      <c r="I257" s="470"/>
      <c r="J257" s="470"/>
      <c r="K257" s="513"/>
    </row>
    <row r="258" spans="1:11" x14ac:dyDescent="0.2">
      <c r="A258" s="470"/>
      <c r="B258" s="470"/>
      <c r="C258" s="470"/>
      <c r="D258" s="470"/>
      <c r="E258" s="470"/>
      <c r="F258" s="470"/>
      <c r="G258" s="470"/>
      <c r="H258" s="470"/>
      <c r="I258" s="470"/>
      <c r="J258" s="470"/>
      <c r="K258" s="513"/>
    </row>
    <row r="259" spans="1:11" x14ac:dyDescent="0.2">
      <c r="A259" s="470"/>
      <c r="B259" s="470"/>
      <c r="C259" s="470"/>
      <c r="D259" s="470"/>
      <c r="E259" s="470"/>
      <c r="F259" s="470"/>
      <c r="G259" s="470"/>
      <c r="H259" s="470"/>
      <c r="I259" s="470"/>
      <c r="J259" s="470"/>
      <c r="K259" s="513"/>
    </row>
    <row r="260" spans="1:11" x14ac:dyDescent="0.2">
      <c r="A260" s="470"/>
      <c r="B260" s="470"/>
      <c r="C260" s="470"/>
      <c r="D260" s="470"/>
      <c r="E260" s="470"/>
      <c r="F260" s="470"/>
      <c r="G260" s="470"/>
      <c r="H260" s="470"/>
      <c r="I260" s="470"/>
      <c r="J260" s="470"/>
      <c r="K260" s="513"/>
    </row>
    <row r="261" spans="1:11" x14ac:dyDescent="0.2">
      <c r="A261" s="470"/>
      <c r="B261" s="470"/>
      <c r="C261" s="470"/>
      <c r="D261" s="470"/>
      <c r="E261" s="470"/>
      <c r="F261" s="470"/>
      <c r="G261" s="470"/>
      <c r="H261" s="470"/>
      <c r="I261" s="470"/>
      <c r="J261" s="470"/>
      <c r="K261" s="513"/>
    </row>
    <row r="262" spans="1:11" x14ac:dyDescent="0.2">
      <c r="A262" s="470"/>
      <c r="B262" s="470"/>
      <c r="C262" s="470"/>
      <c r="D262" s="470"/>
      <c r="E262" s="470"/>
      <c r="F262" s="470"/>
      <c r="G262" s="470"/>
      <c r="H262" s="470"/>
      <c r="I262" s="470"/>
      <c r="J262" s="470"/>
      <c r="K262" s="513"/>
    </row>
    <row r="263" spans="1:11" x14ac:dyDescent="0.2">
      <c r="A263" s="470"/>
      <c r="B263" s="470"/>
      <c r="C263" s="470"/>
      <c r="D263" s="470"/>
      <c r="E263" s="470"/>
      <c r="F263" s="470"/>
      <c r="G263" s="470"/>
      <c r="H263" s="470"/>
      <c r="I263" s="470"/>
      <c r="J263" s="470"/>
      <c r="K263" s="513"/>
    </row>
    <row r="264" spans="1:11" x14ac:dyDescent="0.2">
      <c r="A264" s="470"/>
      <c r="B264" s="470"/>
      <c r="C264" s="470"/>
      <c r="D264" s="470"/>
      <c r="E264" s="470"/>
      <c r="F264" s="470"/>
      <c r="G264" s="470"/>
      <c r="H264" s="470"/>
      <c r="I264" s="470"/>
      <c r="J264" s="470"/>
      <c r="K264" s="513"/>
    </row>
    <row r="265" spans="1:11" x14ac:dyDescent="0.2">
      <c r="A265" s="470"/>
      <c r="B265" s="470"/>
      <c r="C265" s="470"/>
      <c r="D265" s="470"/>
      <c r="E265" s="470"/>
      <c r="F265" s="470"/>
      <c r="G265" s="470"/>
      <c r="H265" s="470"/>
      <c r="I265" s="470"/>
      <c r="J265" s="470"/>
      <c r="K265" s="513"/>
    </row>
    <row r="266" spans="1:11" x14ac:dyDescent="0.2">
      <c r="A266" s="470"/>
      <c r="B266" s="470"/>
      <c r="C266" s="470"/>
      <c r="D266" s="470"/>
      <c r="E266" s="470"/>
      <c r="F266" s="470"/>
      <c r="G266" s="470"/>
      <c r="H266" s="470"/>
      <c r="I266" s="470"/>
      <c r="J266" s="470"/>
      <c r="K266" s="513"/>
    </row>
    <row r="267" spans="1:11" x14ac:dyDescent="0.2">
      <c r="A267" s="470"/>
      <c r="B267" s="470"/>
      <c r="C267" s="470"/>
      <c r="D267" s="470"/>
      <c r="E267" s="470"/>
      <c r="F267" s="470"/>
      <c r="G267" s="470"/>
      <c r="H267" s="470"/>
      <c r="I267" s="470"/>
      <c r="J267" s="470"/>
      <c r="K267" s="513"/>
    </row>
    <row r="268" spans="1:11" x14ac:dyDescent="0.2">
      <c r="A268" s="470"/>
      <c r="B268" s="470"/>
      <c r="C268" s="470"/>
      <c r="D268" s="470"/>
      <c r="E268" s="470"/>
      <c r="F268" s="470"/>
      <c r="G268" s="470"/>
      <c r="H268" s="470"/>
      <c r="I268" s="470"/>
      <c r="J268" s="470"/>
      <c r="K268" s="513"/>
    </row>
    <row r="269" spans="1:11" x14ac:dyDescent="0.2">
      <c r="A269" s="470"/>
      <c r="B269" s="470"/>
      <c r="C269" s="470"/>
      <c r="D269" s="470"/>
      <c r="E269" s="470"/>
      <c r="F269" s="470"/>
      <c r="G269" s="470"/>
      <c r="H269" s="470"/>
      <c r="I269" s="470"/>
      <c r="J269" s="470"/>
      <c r="K269" s="513"/>
    </row>
    <row r="270" spans="1:11" x14ac:dyDescent="0.2">
      <c r="A270" s="470"/>
      <c r="B270" s="470"/>
      <c r="C270" s="470"/>
      <c r="D270" s="470"/>
      <c r="E270" s="470"/>
      <c r="F270" s="470"/>
      <c r="G270" s="470"/>
      <c r="H270" s="470"/>
      <c r="I270" s="470"/>
      <c r="J270" s="470"/>
      <c r="K270" s="513"/>
    </row>
    <row r="271" spans="1:11" x14ac:dyDescent="0.2">
      <c r="A271" s="470"/>
      <c r="B271" s="470"/>
      <c r="C271" s="470"/>
      <c r="D271" s="470"/>
      <c r="E271" s="470"/>
      <c r="F271" s="470"/>
      <c r="G271" s="470"/>
      <c r="H271" s="470"/>
      <c r="I271" s="470"/>
      <c r="J271" s="470"/>
      <c r="K271" s="513"/>
    </row>
    <row r="272" spans="1:11" x14ac:dyDescent="0.2">
      <c r="A272" s="470"/>
      <c r="B272" s="470"/>
      <c r="C272" s="470"/>
      <c r="D272" s="470"/>
      <c r="E272" s="470"/>
      <c r="F272" s="470"/>
      <c r="G272" s="470"/>
      <c r="H272" s="470"/>
      <c r="I272" s="470"/>
      <c r="J272" s="470"/>
      <c r="K272" s="513"/>
    </row>
    <row r="273" spans="1:11" x14ac:dyDescent="0.2">
      <c r="A273" s="470"/>
      <c r="B273" s="470"/>
      <c r="C273" s="470"/>
      <c r="D273" s="470"/>
      <c r="E273" s="470"/>
      <c r="F273" s="470"/>
      <c r="G273" s="470"/>
      <c r="H273" s="470"/>
      <c r="I273" s="470"/>
      <c r="J273" s="470"/>
      <c r="K273" s="513"/>
    </row>
    <row r="274" spans="1:11" x14ac:dyDescent="0.2">
      <c r="A274" s="470"/>
      <c r="B274" s="470"/>
      <c r="C274" s="470"/>
      <c r="D274" s="470"/>
      <c r="E274" s="470"/>
      <c r="F274" s="470"/>
      <c r="G274" s="470"/>
      <c r="H274" s="470"/>
      <c r="I274" s="470"/>
      <c r="J274" s="470"/>
      <c r="K274" s="513"/>
    </row>
    <row r="275" spans="1:11" x14ac:dyDescent="0.2">
      <c r="A275" s="470"/>
      <c r="B275" s="470"/>
      <c r="C275" s="470"/>
      <c r="D275" s="470"/>
      <c r="E275" s="470"/>
      <c r="F275" s="470"/>
      <c r="G275" s="470"/>
      <c r="H275" s="470"/>
      <c r="I275" s="470"/>
      <c r="J275" s="470"/>
      <c r="K275" s="513"/>
    </row>
    <row r="276" spans="1:11" x14ac:dyDescent="0.2">
      <c r="A276" s="470"/>
      <c r="B276" s="470"/>
      <c r="C276" s="470"/>
      <c r="D276" s="470"/>
      <c r="E276" s="470"/>
      <c r="F276" s="470"/>
      <c r="G276" s="470"/>
      <c r="H276" s="470"/>
      <c r="I276" s="470"/>
      <c r="J276" s="470"/>
      <c r="K276" s="513"/>
    </row>
    <row r="277" spans="1:11" x14ac:dyDescent="0.2">
      <c r="A277" s="470"/>
      <c r="B277" s="470"/>
      <c r="C277" s="470"/>
      <c r="D277" s="470"/>
      <c r="E277" s="470"/>
      <c r="F277" s="470"/>
      <c r="G277" s="470"/>
      <c r="H277" s="470"/>
      <c r="I277" s="470"/>
      <c r="J277" s="470"/>
      <c r="K277" s="513"/>
    </row>
    <row r="278" spans="1:11" x14ac:dyDescent="0.2">
      <c r="A278" s="470"/>
      <c r="B278" s="470"/>
      <c r="C278" s="470"/>
      <c r="D278" s="470"/>
      <c r="E278" s="470"/>
      <c r="F278" s="470"/>
      <c r="G278" s="470"/>
      <c r="H278" s="470"/>
      <c r="I278" s="470"/>
      <c r="J278" s="470"/>
      <c r="K278" s="513"/>
    </row>
    <row r="279" spans="1:11" x14ac:dyDescent="0.2">
      <c r="A279" s="470"/>
      <c r="B279" s="470"/>
      <c r="C279" s="470"/>
      <c r="D279" s="470"/>
      <c r="E279" s="470"/>
      <c r="F279" s="470"/>
      <c r="G279" s="470"/>
      <c r="H279" s="470"/>
      <c r="I279" s="470"/>
      <c r="J279" s="470"/>
      <c r="K279" s="513"/>
    </row>
    <row r="280" spans="1:11" x14ac:dyDescent="0.2">
      <c r="A280" s="470"/>
      <c r="B280" s="470"/>
      <c r="C280" s="470"/>
      <c r="D280" s="470"/>
      <c r="E280" s="470"/>
      <c r="F280" s="470"/>
      <c r="G280" s="470"/>
      <c r="H280" s="470"/>
      <c r="I280" s="470"/>
      <c r="J280" s="470"/>
      <c r="K280" s="513"/>
    </row>
    <row r="281" spans="1:11" x14ac:dyDescent="0.2">
      <c r="A281" s="470"/>
      <c r="B281" s="470"/>
      <c r="C281" s="470"/>
      <c r="D281" s="470"/>
      <c r="E281" s="470"/>
      <c r="F281" s="470"/>
      <c r="G281" s="470"/>
      <c r="H281" s="470"/>
      <c r="I281" s="470"/>
      <c r="J281" s="470"/>
      <c r="K281" s="513"/>
    </row>
    <row r="282" spans="1:11" x14ac:dyDescent="0.2">
      <c r="A282" s="470"/>
      <c r="B282" s="470"/>
      <c r="C282" s="470"/>
      <c r="D282" s="470"/>
      <c r="E282" s="470"/>
      <c r="F282" s="470"/>
      <c r="G282" s="470"/>
      <c r="H282" s="470"/>
      <c r="I282" s="470"/>
      <c r="J282" s="470"/>
      <c r="K282" s="513"/>
    </row>
    <row r="283" spans="1:11" x14ac:dyDescent="0.2">
      <c r="A283" s="470"/>
      <c r="B283" s="470"/>
      <c r="C283" s="470"/>
      <c r="D283" s="470"/>
      <c r="E283" s="470"/>
      <c r="F283" s="470"/>
      <c r="G283" s="470"/>
      <c r="H283" s="470"/>
      <c r="I283" s="470"/>
      <c r="J283" s="470"/>
      <c r="K283" s="513"/>
    </row>
    <row r="284" spans="1:11" x14ac:dyDescent="0.2">
      <c r="A284" s="470"/>
      <c r="B284" s="470"/>
      <c r="C284" s="470"/>
      <c r="D284" s="470"/>
      <c r="E284" s="470"/>
      <c r="F284" s="470"/>
      <c r="G284" s="470"/>
      <c r="H284" s="470"/>
      <c r="I284" s="470"/>
      <c r="J284" s="470"/>
      <c r="K284" s="513"/>
    </row>
    <row r="285" spans="1:11" x14ac:dyDescent="0.2">
      <c r="A285" s="470"/>
      <c r="B285" s="470"/>
      <c r="C285" s="470"/>
      <c r="D285" s="470"/>
      <c r="E285" s="470"/>
      <c r="F285" s="470"/>
      <c r="G285" s="470"/>
      <c r="H285" s="470"/>
      <c r="I285" s="470"/>
      <c r="J285" s="470"/>
      <c r="K285" s="513"/>
    </row>
    <row r="286" spans="1:11" x14ac:dyDescent="0.2">
      <c r="A286" s="470"/>
      <c r="B286" s="470"/>
      <c r="C286" s="470"/>
      <c r="D286" s="470"/>
      <c r="E286" s="470"/>
      <c r="F286" s="470"/>
      <c r="G286" s="470"/>
      <c r="H286" s="470"/>
      <c r="I286" s="470"/>
      <c r="J286" s="470"/>
      <c r="K286" s="513"/>
    </row>
    <row r="287" spans="1:11" x14ac:dyDescent="0.2">
      <c r="A287" s="470"/>
      <c r="B287" s="470"/>
      <c r="C287" s="470"/>
      <c r="D287" s="470"/>
      <c r="E287" s="470"/>
      <c r="F287" s="470"/>
      <c r="G287" s="470"/>
      <c r="H287" s="470"/>
      <c r="I287" s="470"/>
      <c r="J287" s="470"/>
      <c r="K287" s="513"/>
    </row>
    <row r="288" spans="1:11" x14ac:dyDescent="0.2">
      <c r="A288" s="470"/>
      <c r="B288" s="470"/>
      <c r="C288" s="470"/>
      <c r="D288" s="470"/>
      <c r="E288" s="470"/>
      <c r="F288" s="470"/>
      <c r="G288" s="470"/>
      <c r="H288" s="470"/>
      <c r="I288" s="470"/>
      <c r="J288" s="470"/>
      <c r="K288" s="513"/>
    </row>
    <row r="289" spans="1:11" x14ac:dyDescent="0.2">
      <c r="A289" s="470"/>
      <c r="B289" s="470"/>
      <c r="C289" s="470"/>
      <c r="D289" s="470"/>
      <c r="E289" s="470"/>
      <c r="F289" s="470"/>
      <c r="G289" s="470"/>
      <c r="H289" s="470"/>
      <c r="I289" s="470"/>
      <c r="J289" s="470"/>
      <c r="K289" s="513"/>
    </row>
    <row r="290" spans="1:11" x14ac:dyDescent="0.2">
      <c r="A290" s="470"/>
      <c r="B290" s="470"/>
      <c r="C290" s="470"/>
      <c r="D290" s="470"/>
      <c r="E290" s="470"/>
      <c r="F290" s="470"/>
      <c r="G290" s="470"/>
      <c r="H290" s="470"/>
      <c r="I290" s="470"/>
      <c r="J290" s="470"/>
      <c r="K290" s="513"/>
    </row>
    <row r="291" spans="1:11" x14ac:dyDescent="0.2">
      <c r="A291" s="470"/>
      <c r="B291" s="470"/>
      <c r="C291" s="470"/>
      <c r="D291" s="470"/>
      <c r="E291" s="470"/>
      <c r="F291" s="470"/>
      <c r="G291" s="470"/>
      <c r="H291" s="470"/>
      <c r="I291" s="470"/>
      <c r="J291" s="470"/>
      <c r="K291" s="513"/>
    </row>
    <row r="292" spans="1:11" x14ac:dyDescent="0.2">
      <c r="A292" s="470"/>
      <c r="B292" s="470"/>
      <c r="C292" s="470"/>
      <c r="D292" s="470"/>
      <c r="E292" s="470"/>
      <c r="F292" s="470"/>
      <c r="G292" s="470"/>
      <c r="H292" s="470"/>
      <c r="I292" s="470"/>
      <c r="J292" s="470"/>
      <c r="K292" s="513"/>
    </row>
    <row r="293" spans="1:11" x14ac:dyDescent="0.2">
      <c r="A293" s="470"/>
      <c r="B293" s="470"/>
      <c r="C293" s="470"/>
      <c r="D293" s="470"/>
      <c r="E293" s="470"/>
      <c r="F293" s="470"/>
      <c r="G293" s="470"/>
      <c r="H293" s="470"/>
      <c r="I293" s="470"/>
      <c r="J293" s="470"/>
      <c r="K293" s="513"/>
    </row>
    <row r="294" spans="1:11" x14ac:dyDescent="0.2">
      <c r="A294" s="470"/>
      <c r="B294" s="470"/>
      <c r="C294" s="470"/>
      <c r="D294" s="470"/>
      <c r="E294" s="470"/>
      <c r="F294" s="470"/>
      <c r="G294" s="470"/>
      <c r="H294" s="470"/>
      <c r="I294" s="470"/>
      <c r="J294" s="470"/>
      <c r="K294" s="513"/>
    </row>
    <row r="295" spans="1:11" x14ac:dyDescent="0.2">
      <c r="A295" s="470"/>
      <c r="B295" s="470"/>
      <c r="C295" s="470"/>
      <c r="D295" s="470"/>
      <c r="E295" s="470"/>
      <c r="F295" s="470"/>
      <c r="G295" s="470"/>
      <c r="H295" s="470"/>
      <c r="I295" s="470"/>
      <c r="J295" s="470"/>
      <c r="K295" s="513"/>
    </row>
    <row r="296" spans="1:11" x14ac:dyDescent="0.2">
      <c r="A296" s="470"/>
      <c r="B296" s="470"/>
      <c r="C296" s="470"/>
      <c r="D296" s="470"/>
      <c r="E296" s="470"/>
      <c r="F296" s="470"/>
      <c r="G296" s="470"/>
      <c r="H296" s="470"/>
      <c r="I296" s="470"/>
      <c r="J296" s="470"/>
      <c r="K296" s="513"/>
    </row>
    <row r="297" spans="1:11" x14ac:dyDescent="0.2">
      <c r="A297" s="470"/>
      <c r="B297" s="470"/>
      <c r="C297" s="470"/>
      <c r="D297" s="470"/>
      <c r="E297" s="470"/>
      <c r="F297" s="470"/>
      <c r="G297" s="470"/>
      <c r="H297" s="470"/>
      <c r="I297" s="470"/>
      <c r="J297" s="470"/>
      <c r="K297" s="513"/>
    </row>
    <row r="298" spans="1:11" x14ac:dyDescent="0.2">
      <c r="A298" s="470"/>
      <c r="B298" s="470"/>
      <c r="C298" s="470"/>
      <c r="D298" s="470"/>
      <c r="E298" s="470"/>
      <c r="F298" s="470"/>
      <c r="G298" s="470"/>
      <c r="H298" s="470"/>
      <c r="I298" s="470"/>
      <c r="J298" s="470"/>
      <c r="K298" s="513"/>
    </row>
    <row r="299" spans="1:11" x14ac:dyDescent="0.2">
      <c r="A299" s="470"/>
      <c r="B299" s="470"/>
      <c r="C299" s="470"/>
      <c r="D299" s="470"/>
      <c r="E299" s="470"/>
      <c r="F299" s="470"/>
      <c r="G299" s="470"/>
      <c r="H299" s="470"/>
      <c r="I299" s="470"/>
      <c r="J299" s="470"/>
      <c r="K299" s="513"/>
    </row>
    <row r="300" spans="1:11" x14ac:dyDescent="0.2">
      <c r="A300" s="470"/>
      <c r="B300" s="470"/>
      <c r="C300" s="470"/>
      <c r="D300" s="470"/>
      <c r="E300" s="470"/>
      <c r="F300" s="470"/>
      <c r="G300" s="470"/>
      <c r="H300" s="470"/>
      <c r="I300" s="470"/>
      <c r="J300" s="470"/>
      <c r="K300" s="513"/>
    </row>
    <row r="301" spans="1:11" x14ac:dyDescent="0.2">
      <c r="A301" s="470"/>
      <c r="B301" s="470"/>
      <c r="C301" s="470"/>
      <c r="D301" s="470"/>
      <c r="E301" s="470"/>
      <c r="F301" s="470"/>
      <c r="G301" s="470"/>
      <c r="H301" s="470"/>
      <c r="I301" s="470"/>
      <c r="J301" s="470"/>
      <c r="K301" s="513"/>
    </row>
    <row r="302" spans="1:11" x14ac:dyDescent="0.2">
      <c r="A302" s="470"/>
      <c r="B302" s="470"/>
      <c r="C302" s="470"/>
      <c r="D302" s="470"/>
      <c r="E302" s="470"/>
      <c r="F302" s="470"/>
      <c r="G302" s="470"/>
      <c r="H302" s="470"/>
      <c r="I302" s="470"/>
      <c r="J302" s="470"/>
      <c r="K302" s="513"/>
    </row>
    <row r="303" spans="1:11" x14ac:dyDescent="0.2">
      <c r="A303" s="470"/>
      <c r="B303" s="470"/>
      <c r="C303" s="470"/>
      <c r="D303" s="470"/>
      <c r="E303" s="470"/>
      <c r="F303" s="470"/>
      <c r="G303" s="470"/>
      <c r="H303" s="470"/>
      <c r="I303" s="470"/>
      <c r="J303" s="470"/>
      <c r="K303" s="513"/>
    </row>
    <row r="304" spans="1:11" x14ac:dyDescent="0.2">
      <c r="A304" s="470"/>
      <c r="B304" s="470"/>
      <c r="C304" s="470"/>
      <c r="D304" s="470"/>
      <c r="E304" s="470"/>
      <c r="F304" s="470"/>
      <c r="G304" s="470"/>
      <c r="H304" s="470"/>
      <c r="I304" s="470"/>
      <c r="J304" s="470"/>
      <c r="K304" s="513"/>
    </row>
    <row r="305" spans="1:11" x14ac:dyDescent="0.2">
      <c r="A305" s="470"/>
      <c r="B305" s="470"/>
      <c r="C305" s="470"/>
      <c r="D305" s="470"/>
      <c r="E305" s="470"/>
      <c r="F305" s="470"/>
      <c r="G305" s="470"/>
      <c r="H305" s="470"/>
      <c r="I305" s="470"/>
      <c r="J305" s="470"/>
      <c r="K305" s="513"/>
    </row>
    <row r="306" spans="1:11" x14ac:dyDescent="0.2">
      <c r="A306" s="470"/>
      <c r="B306" s="470"/>
      <c r="C306" s="470"/>
      <c r="D306" s="470"/>
      <c r="E306" s="470"/>
      <c r="F306" s="470"/>
      <c r="G306" s="470"/>
      <c r="H306" s="470"/>
      <c r="I306" s="470"/>
      <c r="J306" s="470"/>
      <c r="K306" s="513"/>
    </row>
    <row r="307" spans="1:11" x14ac:dyDescent="0.2">
      <c r="A307" s="470"/>
      <c r="B307" s="470"/>
      <c r="C307" s="470"/>
      <c r="D307" s="470"/>
      <c r="E307" s="470"/>
      <c r="F307" s="470"/>
      <c r="G307" s="470"/>
      <c r="H307" s="470"/>
      <c r="I307" s="470"/>
      <c r="J307" s="470"/>
      <c r="K307" s="513"/>
    </row>
    <row r="308" spans="1:11" x14ac:dyDescent="0.2">
      <c r="A308" s="470"/>
      <c r="B308" s="470"/>
      <c r="C308" s="470"/>
      <c r="D308" s="470"/>
      <c r="E308" s="470"/>
      <c r="F308" s="470"/>
      <c r="G308" s="470"/>
      <c r="H308" s="470"/>
      <c r="I308" s="470"/>
      <c r="J308" s="470"/>
      <c r="K308" s="513"/>
    </row>
    <row r="309" spans="1:11" x14ac:dyDescent="0.2">
      <c r="A309" s="470"/>
      <c r="B309" s="470"/>
      <c r="C309" s="470"/>
      <c r="D309" s="470"/>
      <c r="E309" s="470"/>
      <c r="F309" s="470"/>
      <c r="G309" s="470"/>
      <c r="H309" s="470"/>
      <c r="I309" s="470"/>
      <c r="J309" s="470"/>
      <c r="K309" s="513"/>
    </row>
    <row r="310" spans="1:11" x14ac:dyDescent="0.2">
      <c r="A310" s="470"/>
      <c r="B310" s="470"/>
      <c r="C310" s="470"/>
      <c r="D310" s="470"/>
      <c r="E310" s="470"/>
      <c r="F310" s="470"/>
      <c r="G310" s="470"/>
      <c r="H310" s="470"/>
      <c r="I310" s="470"/>
      <c r="J310" s="470"/>
      <c r="K310" s="513"/>
    </row>
    <row r="311" spans="1:11" x14ac:dyDescent="0.2">
      <c r="A311" s="470"/>
      <c r="B311" s="470"/>
      <c r="C311" s="470"/>
      <c r="D311" s="470"/>
      <c r="E311" s="470"/>
      <c r="F311" s="470"/>
      <c r="G311" s="470"/>
      <c r="H311" s="470"/>
      <c r="I311" s="470"/>
      <c r="J311" s="470"/>
      <c r="K311" s="513"/>
    </row>
    <row r="312" spans="1:11" x14ac:dyDescent="0.2">
      <c r="A312" s="470"/>
      <c r="B312" s="470"/>
      <c r="C312" s="470"/>
      <c r="D312" s="470"/>
      <c r="E312" s="470"/>
      <c r="F312" s="470"/>
      <c r="G312" s="470"/>
      <c r="H312" s="470"/>
      <c r="I312" s="470"/>
      <c r="J312" s="470"/>
      <c r="K312" s="513"/>
    </row>
    <row r="313" spans="1:11" x14ac:dyDescent="0.2">
      <c r="A313" s="470"/>
      <c r="B313" s="470"/>
      <c r="C313" s="470"/>
      <c r="D313" s="470"/>
      <c r="E313" s="470"/>
      <c r="F313" s="470"/>
      <c r="G313" s="470"/>
      <c r="H313" s="470"/>
      <c r="I313" s="470"/>
      <c r="J313" s="470"/>
      <c r="K313" s="513"/>
    </row>
    <row r="314" spans="1:11" x14ac:dyDescent="0.2">
      <c r="A314" s="470"/>
      <c r="B314" s="470"/>
      <c r="C314" s="470"/>
      <c r="D314" s="470"/>
      <c r="E314" s="470"/>
      <c r="F314" s="470"/>
      <c r="G314" s="470"/>
      <c r="H314" s="470"/>
      <c r="I314" s="470"/>
      <c r="J314" s="470"/>
      <c r="K314" s="513"/>
    </row>
    <row r="315" spans="1:11" x14ac:dyDescent="0.2">
      <c r="A315" s="470"/>
      <c r="B315" s="470"/>
      <c r="C315" s="470"/>
      <c r="D315" s="470"/>
      <c r="E315" s="470"/>
      <c r="F315" s="470"/>
      <c r="G315" s="470"/>
      <c r="H315" s="470"/>
      <c r="I315" s="470"/>
      <c r="J315" s="470"/>
      <c r="K315" s="513"/>
    </row>
    <row r="316" spans="1:11" x14ac:dyDescent="0.2">
      <c r="A316" s="470"/>
      <c r="B316" s="470"/>
      <c r="C316" s="470"/>
      <c r="D316" s="470"/>
      <c r="E316" s="470"/>
      <c r="F316" s="470"/>
      <c r="G316" s="470"/>
      <c r="H316" s="470"/>
      <c r="I316" s="470"/>
      <c r="J316" s="470"/>
      <c r="K316" s="513"/>
    </row>
    <row r="317" spans="1:11" x14ac:dyDescent="0.2">
      <c r="A317" s="470"/>
      <c r="B317" s="470"/>
      <c r="C317" s="470"/>
      <c r="D317" s="470"/>
      <c r="E317" s="470"/>
      <c r="F317" s="470"/>
      <c r="G317" s="470"/>
      <c r="H317" s="470"/>
      <c r="I317" s="470"/>
      <c r="J317" s="470"/>
      <c r="K317" s="513"/>
    </row>
    <row r="318" spans="1:11" x14ac:dyDescent="0.2">
      <c r="A318" s="470"/>
      <c r="B318" s="470"/>
      <c r="C318" s="470"/>
      <c r="D318" s="470"/>
      <c r="E318" s="470"/>
      <c r="F318" s="470"/>
      <c r="G318" s="470"/>
      <c r="H318" s="470"/>
      <c r="I318" s="470"/>
      <c r="J318" s="470"/>
      <c r="K318" s="513"/>
    </row>
    <row r="319" spans="1:11" x14ac:dyDescent="0.2">
      <c r="A319" s="470"/>
      <c r="B319" s="470"/>
      <c r="C319" s="470"/>
      <c r="D319" s="470"/>
      <c r="E319" s="470"/>
      <c r="F319" s="470"/>
      <c r="G319" s="470"/>
      <c r="H319" s="470"/>
      <c r="I319" s="470"/>
      <c r="J319" s="470"/>
      <c r="K319" s="513"/>
    </row>
    <row r="320" spans="1:11" x14ac:dyDescent="0.2">
      <c r="A320" s="470"/>
      <c r="B320" s="470"/>
      <c r="C320" s="470"/>
      <c r="D320" s="470"/>
      <c r="E320" s="470"/>
      <c r="F320" s="470"/>
      <c r="G320" s="470"/>
      <c r="H320" s="470"/>
      <c r="I320" s="470"/>
      <c r="J320" s="470"/>
      <c r="K320" s="513"/>
    </row>
    <row r="321" spans="1:11" x14ac:dyDescent="0.2">
      <c r="A321" s="470"/>
      <c r="B321" s="470"/>
      <c r="C321" s="470"/>
      <c r="D321" s="470"/>
      <c r="E321" s="470"/>
      <c r="F321" s="470"/>
      <c r="G321" s="470"/>
      <c r="H321" s="470"/>
      <c r="I321" s="470"/>
      <c r="J321" s="470"/>
      <c r="K321" s="513"/>
    </row>
    <row r="322" spans="1:11" x14ac:dyDescent="0.2">
      <c r="A322" s="470"/>
      <c r="B322" s="470"/>
      <c r="C322" s="470"/>
      <c r="D322" s="470"/>
      <c r="E322" s="470"/>
      <c r="F322" s="470"/>
      <c r="G322" s="470"/>
      <c r="H322" s="470"/>
      <c r="I322" s="470"/>
      <c r="J322" s="470"/>
      <c r="K322" s="513"/>
    </row>
    <row r="323" spans="1:11" x14ac:dyDescent="0.2">
      <c r="A323" s="470"/>
      <c r="B323" s="470"/>
      <c r="C323" s="470"/>
      <c r="D323" s="470"/>
      <c r="E323" s="470"/>
      <c r="F323" s="470"/>
      <c r="G323" s="470"/>
      <c r="H323" s="470"/>
      <c r="I323" s="470"/>
      <c r="J323" s="470"/>
      <c r="K323" s="513"/>
    </row>
    <row r="324" spans="1:11" x14ac:dyDescent="0.2">
      <c r="A324" s="470"/>
      <c r="B324" s="470"/>
      <c r="C324" s="470"/>
      <c r="D324" s="470"/>
      <c r="E324" s="470"/>
      <c r="F324" s="470"/>
      <c r="G324" s="470"/>
      <c r="H324" s="470"/>
      <c r="I324" s="470"/>
      <c r="J324" s="470"/>
      <c r="K324" s="513"/>
    </row>
    <row r="325" spans="1:11" x14ac:dyDescent="0.2">
      <c r="A325" s="470"/>
      <c r="B325" s="470"/>
      <c r="C325" s="470"/>
      <c r="D325" s="470"/>
      <c r="E325" s="470"/>
      <c r="F325" s="470"/>
      <c r="G325" s="470"/>
      <c r="H325" s="470"/>
      <c r="I325" s="470"/>
      <c r="J325" s="470"/>
      <c r="K325" s="513"/>
    </row>
    <row r="326" spans="1:11" x14ac:dyDescent="0.2">
      <c r="A326" s="470"/>
      <c r="B326" s="470"/>
      <c r="C326" s="470"/>
      <c r="D326" s="470"/>
      <c r="E326" s="470"/>
      <c r="F326" s="470"/>
      <c r="G326" s="470"/>
      <c r="H326" s="470"/>
      <c r="I326" s="470"/>
      <c r="J326" s="470"/>
      <c r="K326" s="513"/>
    </row>
    <row r="327" spans="1:11" x14ac:dyDescent="0.2">
      <c r="A327" s="470"/>
      <c r="B327" s="470"/>
      <c r="C327" s="470"/>
      <c r="D327" s="470"/>
      <c r="E327" s="470"/>
      <c r="F327" s="470"/>
      <c r="G327" s="470"/>
      <c r="H327" s="470"/>
      <c r="I327" s="470"/>
      <c r="J327" s="470"/>
      <c r="K327" s="513"/>
    </row>
    <row r="328" spans="1:11" x14ac:dyDescent="0.2">
      <c r="A328" s="470"/>
      <c r="B328" s="470"/>
      <c r="C328" s="470"/>
      <c r="D328" s="470"/>
      <c r="E328" s="470"/>
      <c r="F328" s="470"/>
      <c r="G328" s="470"/>
      <c r="H328" s="470"/>
      <c r="I328" s="470"/>
      <c r="J328" s="470"/>
      <c r="K328" s="513"/>
    </row>
    <row r="329" spans="1:11" x14ac:dyDescent="0.2">
      <c r="A329" s="470"/>
      <c r="B329" s="470"/>
      <c r="C329" s="470"/>
      <c r="D329" s="470"/>
      <c r="E329" s="470"/>
      <c r="F329" s="470"/>
      <c r="G329" s="470"/>
      <c r="H329" s="470"/>
      <c r="I329" s="470"/>
      <c r="J329" s="470"/>
      <c r="K329" s="513"/>
    </row>
    <row r="330" spans="1:11" x14ac:dyDescent="0.2">
      <c r="A330" s="470"/>
      <c r="B330" s="470"/>
      <c r="C330" s="470"/>
      <c r="D330" s="470"/>
      <c r="E330" s="470"/>
      <c r="F330" s="470"/>
      <c r="G330" s="470"/>
      <c r="H330" s="470"/>
      <c r="I330" s="470"/>
      <c r="J330" s="470"/>
      <c r="K330" s="513"/>
    </row>
    <row r="331" spans="1:11" x14ac:dyDescent="0.2">
      <c r="A331" s="470"/>
      <c r="B331" s="470"/>
      <c r="C331" s="470"/>
      <c r="D331" s="470"/>
      <c r="E331" s="470"/>
      <c r="F331" s="470"/>
      <c r="G331" s="470"/>
      <c r="H331" s="470"/>
      <c r="I331" s="470"/>
      <c r="J331" s="470"/>
      <c r="K331" s="513"/>
    </row>
    <row r="332" spans="1:11" x14ac:dyDescent="0.2">
      <c r="A332" s="470"/>
      <c r="B332" s="470"/>
      <c r="C332" s="470"/>
      <c r="D332" s="470"/>
      <c r="E332" s="470"/>
      <c r="F332" s="470"/>
      <c r="G332" s="470"/>
      <c r="H332" s="470"/>
      <c r="I332" s="470"/>
      <c r="J332" s="470"/>
      <c r="K332" s="513"/>
    </row>
    <row r="333" spans="1:11" x14ac:dyDescent="0.2">
      <c r="A333" s="470"/>
      <c r="B333" s="470"/>
      <c r="C333" s="470"/>
      <c r="D333" s="470"/>
      <c r="E333" s="470"/>
      <c r="F333" s="470"/>
      <c r="G333" s="470"/>
      <c r="H333" s="470"/>
      <c r="I333" s="470"/>
      <c r="J333" s="470"/>
      <c r="K333" s="513"/>
    </row>
    <row r="334" spans="1:11" x14ac:dyDescent="0.2">
      <c r="A334" s="470"/>
      <c r="B334" s="470"/>
      <c r="C334" s="470"/>
      <c r="D334" s="470"/>
      <c r="E334" s="470"/>
      <c r="F334" s="470"/>
      <c r="G334" s="470"/>
      <c r="H334" s="470"/>
      <c r="I334" s="470"/>
      <c r="J334" s="470"/>
      <c r="K334" s="513"/>
    </row>
    <row r="335" spans="1:11" x14ac:dyDescent="0.2">
      <c r="A335" s="470"/>
      <c r="B335" s="470"/>
      <c r="C335" s="470"/>
      <c r="D335" s="470"/>
      <c r="E335" s="470"/>
      <c r="F335" s="470"/>
      <c r="G335" s="470"/>
      <c r="H335" s="470"/>
      <c r="I335" s="470"/>
      <c r="J335" s="470"/>
      <c r="K335" s="513"/>
    </row>
    <row r="336" spans="1:11" x14ac:dyDescent="0.2">
      <c r="A336" s="470"/>
      <c r="B336" s="470"/>
      <c r="C336" s="470"/>
      <c r="D336" s="470"/>
      <c r="E336" s="470"/>
      <c r="F336" s="470"/>
      <c r="G336" s="470"/>
      <c r="H336" s="470"/>
      <c r="I336" s="470"/>
      <c r="J336" s="470"/>
      <c r="K336" s="513"/>
    </row>
    <row r="337" spans="1:11" x14ac:dyDescent="0.2">
      <c r="A337" s="470"/>
      <c r="B337" s="470"/>
      <c r="C337" s="470"/>
      <c r="D337" s="470"/>
      <c r="E337" s="470"/>
      <c r="F337" s="470"/>
      <c r="G337" s="470"/>
      <c r="H337" s="470"/>
      <c r="I337" s="470"/>
      <c r="J337" s="470"/>
      <c r="K337" s="513"/>
    </row>
    <row r="338" spans="1:11" x14ac:dyDescent="0.2">
      <c r="A338" s="470"/>
      <c r="B338" s="470"/>
      <c r="C338" s="470"/>
      <c r="D338" s="470"/>
      <c r="E338" s="470"/>
      <c r="F338" s="470"/>
      <c r="G338" s="470"/>
      <c r="H338" s="470"/>
      <c r="I338" s="470"/>
      <c r="J338" s="470"/>
      <c r="K338" s="513"/>
    </row>
    <row r="339" spans="1:11" x14ac:dyDescent="0.2">
      <c r="A339" s="470"/>
      <c r="B339" s="470"/>
      <c r="C339" s="470"/>
      <c r="D339" s="470"/>
      <c r="E339" s="470"/>
      <c r="F339" s="470"/>
      <c r="G339" s="470"/>
      <c r="H339" s="470"/>
      <c r="I339" s="470"/>
      <c r="J339" s="470"/>
      <c r="K339" s="513"/>
    </row>
    <row r="340" spans="1:11" x14ac:dyDescent="0.2">
      <c r="A340" s="470"/>
      <c r="B340" s="470"/>
      <c r="C340" s="470"/>
      <c r="D340" s="470"/>
      <c r="E340" s="470"/>
      <c r="F340" s="470"/>
      <c r="G340" s="470"/>
      <c r="H340" s="470"/>
      <c r="I340" s="470"/>
      <c r="J340" s="470"/>
      <c r="K340" s="513"/>
    </row>
    <row r="341" spans="1:11" x14ac:dyDescent="0.2">
      <c r="A341" s="470"/>
      <c r="B341" s="470"/>
      <c r="C341" s="470"/>
      <c r="D341" s="470"/>
      <c r="E341" s="470"/>
      <c r="F341" s="470"/>
      <c r="G341" s="470"/>
      <c r="H341" s="470"/>
      <c r="I341" s="470"/>
      <c r="J341" s="470"/>
      <c r="K341" s="513"/>
    </row>
    <row r="342" spans="1:11" x14ac:dyDescent="0.2">
      <c r="A342" s="470"/>
      <c r="B342" s="470"/>
      <c r="C342" s="470"/>
      <c r="D342" s="470"/>
      <c r="E342" s="470"/>
      <c r="F342" s="470"/>
      <c r="G342" s="470"/>
      <c r="H342" s="470"/>
      <c r="I342" s="470"/>
      <c r="J342" s="470"/>
      <c r="K342" s="513"/>
    </row>
    <row r="343" spans="1:11" x14ac:dyDescent="0.2">
      <c r="A343" s="470"/>
      <c r="B343" s="470"/>
      <c r="C343" s="470"/>
      <c r="D343" s="470"/>
      <c r="E343" s="470"/>
      <c r="F343" s="470"/>
      <c r="G343" s="470"/>
      <c r="H343" s="470"/>
      <c r="I343" s="470"/>
      <c r="J343" s="470"/>
      <c r="K343" s="513"/>
    </row>
    <row r="344" spans="1:11" x14ac:dyDescent="0.2">
      <c r="A344" s="470"/>
      <c r="B344" s="470"/>
      <c r="C344" s="470"/>
      <c r="D344" s="470"/>
      <c r="E344" s="470"/>
      <c r="F344" s="470"/>
      <c r="G344" s="470"/>
      <c r="H344" s="470"/>
      <c r="I344" s="470"/>
      <c r="J344" s="470"/>
      <c r="K344" s="513"/>
    </row>
    <row r="345" spans="1:11" x14ac:dyDescent="0.2">
      <c r="A345" s="470"/>
      <c r="B345" s="470"/>
      <c r="C345" s="470"/>
      <c r="D345" s="470"/>
      <c r="E345" s="470"/>
      <c r="F345" s="470"/>
      <c r="G345" s="470"/>
      <c r="H345" s="470"/>
      <c r="I345" s="470"/>
      <c r="J345" s="470"/>
      <c r="K345" s="513"/>
    </row>
    <row r="346" spans="1:11" x14ac:dyDescent="0.2">
      <c r="A346" s="470"/>
      <c r="B346" s="470"/>
      <c r="C346" s="470"/>
      <c r="D346" s="470"/>
      <c r="E346" s="470"/>
      <c r="F346" s="470"/>
      <c r="G346" s="470"/>
      <c r="H346" s="470"/>
      <c r="I346" s="470"/>
      <c r="J346" s="470"/>
      <c r="K346" s="513"/>
    </row>
    <row r="347" spans="1:11" x14ac:dyDescent="0.2">
      <c r="A347" s="470"/>
      <c r="B347" s="470"/>
      <c r="C347" s="470"/>
      <c r="D347" s="470"/>
      <c r="E347" s="470"/>
      <c r="F347" s="470"/>
      <c r="G347" s="470"/>
      <c r="H347" s="470"/>
      <c r="I347" s="470"/>
      <c r="J347" s="470"/>
      <c r="K347" s="513"/>
    </row>
    <row r="348" spans="1:11" x14ac:dyDescent="0.2">
      <c r="A348" s="470"/>
      <c r="B348" s="470"/>
      <c r="C348" s="470"/>
      <c r="D348" s="470"/>
      <c r="E348" s="470"/>
      <c r="F348" s="470"/>
      <c r="G348" s="470"/>
      <c r="H348" s="470"/>
      <c r="I348" s="470"/>
      <c r="J348" s="470"/>
      <c r="K348" s="513"/>
    </row>
    <row r="349" spans="1:11" x14ac:dyDescent="0.2">
      <c r="A349" s="470"/>
      <c r="B349" s="470"/>
      <c r="C349" s="470"/>
      <c r="D349" s="470"/>
      <c r="E349" s="470"/>
      <c r="F349" s="470"/>
      <c r="G349" s="470"/>
      <c r="H349" s="470"/>
      <c r="I349" s="470"/>
      <c r="J349" s="470"/>
      <c r="K349" s="513"/>
    </row>
    <row r="350" spans="1:11" x14ac:dyDescent="0.2">
      <c r="A350" s="470"/>
      <c r="B350" s="470"/>
      <c r="C350" s="470"/>
      <c r="D350" s="470"/>
      <c r="E350" s="470"/>
      <c r="F350" s="470"/>
      <c r="G350" s="470"/>
      <c r="H350" s="470"/>
      <c r="I350" s="470"/>
      <c r="J350" s="470"/>
      <c r="K350" s="513"/>
    </row>
    <row r="351" spans="1:11" x14ac:dyDescent="0.2">
      <c r="A351" s="470"/>
      <c r="B351" s="470"/>
      <c r="C351" s="470"/>
      <c r="D351" s="470"/>
      <c r="E351" s="470"/>
      <c r="F351" s="470"/>
      <c r="G351" s="470"/>
      <c r="H351" s="470"/>
      <c r="I351" s="470"/>
      <c r="J351" s="470"/>
      <c r="K351" s="513"/>
    </row>
    <row r="352" spans="1:11" x14ac:dyDescent="0.2">
      <c r="A352" s="470"/>
      <c r="B352" s="470"/>
      <c r="C352" s="470"/>
      <c r="D352" s="470"/>
      <c r="E352" s="470"/>
      <c r="F352" s="470"/>
      <c r="G352" s="470"/>
      <c r="H352" s="470"/>
      <c r="I352" s="470"/>
      <c r="J352" s="470"/>
      <c r="K352" s="513"/>
    </row>
    <row r="353" spans="1:11" x14ac:dyDescent="0.2">
      <c r="A353" s="470"/>
      <c r="B353" s="470"/>
      <c r="C353" s="470"/>
      <c r="D353" s="470"/>
      <c r="E353" s="470"/>
      <c r="F353" s="470"/>
      <c r="G353" s="470"/>
      <c r="H353" s="470"/>
      <c r="I353" s="470"/>
      <c r="J353" s="470"/>
      <c r="K353" s="513"/>
    </row>
    <row r="354" spans="1:11" x14ac:dyDescent="0.2">
      <c r="A354" s="470"/>
      <c r="B354" s="470"/>
      <c r="C354" s="470"/>
      <c r="D354" s="470"/>
      <c r="E354" s="470"/>
      <c r="F354" s="470"/>
      <c r="G354" s="470"/>
      <c r="H354" s="470"/>
      <c r="I354" s="470"/>
      <c r="J354" s="470"/>
      <c r="K354" s="513"/>
    </row>
    <row r="355" spans="1:11" x14ac:dyDescent="0.2">
      <c r="A355" s="470"/>
      <c r="B355" s="470"/>
      <c r="C355" s="470"/>
      <c r="D355" s="470"/>
      <c r="E355" s="470"/>
      <c r="F355" s="470"/>
      <c r="G355" s="470"/>
      <c r="H355" s="470"/>
      <c r="I355" s="470"/>
      <c r="J355" s="470"/>
      <c r="K355" s="513"/>
    </row>
    <row r="356" spans="1:11" x14ac:dyDescent="0.2">
      <c r="A356" s="470"/>
      <c r="B356" s="470"/>
      <c r="C356" s="470"/>
      <c r="D356" s="470"/>
      <c r="E356" s="470"/>
      <c r="F356" s="470"/>
      <c r="G356" s="470"/>
      <c r="H356" s="470"/>
      <c r="I356" s="470"/>
      <c r="J356" s="470"/>
      <c r="K356" s="513"/>
    </row>
    <row r="357" spans="1:11" x14ac:dyDescent="0.2">
      <c r="A357" s="470"/>
      <c r="B357" s="470"/>
      <c r="C357" s="470"/>
      <c r="D357" s="470"/>
      <c r="E357" s="470"/>
      <c r="F357" s="470"/>
      <c r="G357" s="470"/>
      <c r="H357" s="470"/>
      <c r="I357" s="470"/>
      <c r="J357" s="470"/>
      <c r="K357" s="513"/>
    </row>
    <row r="358" spans="1:11" x14ac:dyDescent="0.2">
      <c r="A358" s="470"/>
      <c r="B358" s="470"/>
      <c r="C358" s="470"/>
      <c r="D358" s="470"/>
      <c r="E358" s="470"/>
      <c r="F358" s="470"/>
      <c r="G358" s="470"/>
      <c r="H358" s="470"/>
      <c r="I358" s="470"/>
      <c r="J358" s="470"/>
      <c r="K358" s="513"/>
    </row>
    <row r="359" spans="1:11" x14ac:dyDescent="0.2">
      <c r="A359" s="470"/>
      <c r="B359" s="470"/>
      <c r="C359" s="470"/>
      <c r="D359" s="470"/>
      <c r="E359" s="470"/>
      <c r="F359" s="470"/>
      <c r="G359" s="470"/>
      <c r="H359" s="470"/>
      <c r="I359" s="470"/>
      <c r="J359" s="470"/>
      <c r="K359" s="513"/>
    </row>
    <row r="360" spans="1:11" x14ac:dyDescent="0.2">
      <c r="A360" s="470"/>
      <c r="B360" s="470"/>
      <c r="C360" s="470"/>
      <c r="D360" s="470"/>
      <c r="E360" s="470"/>
      <c r="F360" s="470"/>
      <c r="G360" s="470"/>
      <c r="H360" s="470"/>
      <c r="I360" s="470"/>
      <c r="J360" s="470"/>
      <c r="K360" s="513"/>
    </row>
    <row r="361" spans="1:11" x14ac:dyDescent="0.2">
      <c r="A361" s="470"/>
      <c r="B361" s="470"/>
      <c r="C361" s="470"/>
      <c r="D361" s="470"/>
      <c r="E361" s="470"/>
      <c r="F361" s="470"/>
      <c r="G361" s="470"/>
      <c r="H361" s="470"/>
      <c r="I361" s="470"/>
      <c r="J361" s="470"/>
      <c r="K361" s="513"/>
    </row>
    <row r="362" spans="1:11" x14ac:dyDescent="0.2">
      <c r="A362" s="470"/>
      <c r="B362" s="470"/>
      <c r="C362" s="470"/>
      <c r="D362" s="470"/>
      <c r="E362" s="470"/>
      <c r="F362" s="470"/>
      <c r="G362" s="470"/>
      <c r="H362" s="470"/>
      <c r="I362" s="470"/>
      <c r="J362" s="470"/>
      <c r="K362" s="513"/>
    </row>
    <row r="363" spans="1:11" x14ac:dyDescent="0.2">
      <c r="A363" s="470"/>
      <c r="B363" s="470"/>
      <c r="C363" s="470"/>
      <c r="D363" s="470"/>
      <c r="E363" s="470"/>
      <c r="F363" s="470"/>
      <c r="G363" s="470"/>
      <c r="H363" s="470"/>
      <c r="I363" s="470"/>
      <c r="J363" s="470"/>
      <c r="K363" s="513"/>
    </row>
    <row r="364" spans="1:11" x14ac:dyDescent="0.2">
      <c r="A364" s="470"/>
      <c r="B364" s="470"/>
      <c r="C364" s="470"/>
      <c r="D364" s="470"/>
      <c r="E364" s="470"/>
      <c r="F364" s="470"/>
      <c r="G364" s="470"/>
      <c r="H364" s="470"/>
      <c r="I364" s="470"/>
      <c r="J364" s="470"/>
      <c r="K364" s="513"/>
    </row>
    <row r="365" spans="1:11" x14ac:dyDescent="0.2">
      <c r="A365" s="470"/>
      <c r="B365" s="470"/>
      <c r="C365" s="470"/>
      <c r="D365" s="470"/>
      <c r="E365" s="470"/>
      <c r="F365" s="470"/>
      <c r="G365" s="470"/>
      <c r="H365" s="470"/>
      <c r="I365" s="470"/>
      <c r="J365" s="470"/>
      <c r="K365" s="513"/>
    </row>
    <row r="366" spans="1:11" x14ac:dyDescent="0.2">
      <c r="A366" s="470"/>
      <c r="B366" s="470"/>
      <c r="C366" s="470"/>
      <c r="D366" s="470"/>
      <c r="E366" s="470"/>
      <c r="F366" s="470"/>
      <c r="G366" s="470"/>
      <c r="H366" s="470"/>
      <c r="I366" s="470"/>
      <c r="J366" s="470"/>
      <c r="K366" s="513"/>
    </row>
    <row r="367" spans="1:11" x14ac:dyDescent="0.2">
      <c r="A367" s="470"/>
      <c r="B367" s="470"/>
      <c r="C367" s="470"/>
      <c r="D367" s="470"/>
      <c r="E367" s="470"/>
      <c r="F367" s="470"/>
      <c r="G367" s="470"/>
      <c r="H367" s="470"/>
      <c r="I367" s="470"/>
      <c r="J367" s="470"/>
      <c r="K367" s="513"/>
    </row>
    <row r="368" spans="1:11" x14ac:dyDescent="0.2">
      <c r="A368" s="470"/>
      <c r="B368" s="470"/>
      <c r="C368" s="470"/>
      <c r="D368" s="470"/>
      <c r="E368" s="470"/>
      <c r="F368" s="470"/>
      <c r="G368" s="470"/>
      <c r="H368" s="470"/>
      <c r="I368" s="470"/>
      <c r="J368" s="470"/>
      <c r="K368" s="513"/>
    </row>
    <row r="369" spans="1:11" x14ac:dyDescent="0.2">
      <c r="A369" s="470"/>
      <c r="B369" s="470"/>
      <c r="C369" s="470"/>
      <c r="D369" s="470"/>
      <c r="E369" s="470"/>
      <c r="F369" s="470"/>
      <c r="G369" s="470"/>
      <c r="H369" s="470"/>
      <c r="I369" s="470"/>
      <c r="J369" s="470"/>
      <c r="K369" s="513"/>
    </row>
    <row r="370" spans="1:11" x14ac:dyDescent="0.2">
      <c r="A370" s="470"/>
      <c r="B370" s="470"/>
      <c r="C370" s="470"/>
      <c r="D370" s="470"/>
      <c r="E370" s="470"/>
      <c r="F370" s="470"/>
      <c r="G370" s="470"/>
      <c r="H370" s="470"/>
      <c r="I370" s="470"/>
      <c r="J370" s="470"/>
      <c r="K370" s="513"/>
    </row>
    <row r="371" spans="1:11" x14ac:dyDescent="0.2">
      <c r="A371" s="470"/>
      <c r="B371" s="470"/>
      <c r="C371" s="470"/>
      <c r="D371" s="470"/>
      <c r="E371" s="470"/>
      <c r="F371" s="470"/>
      <c r="G371" s="470"/>
      <c r="H371" s="470"/>
      <c r="I371" s="470"/>
      <c r="J371" s="470"/>
      <c r="K371" s="513"/>
    </row>
    <row r="372" spans="1:11" x14ac:dyDescent="0.2">
      <c r="A372" s="470"/>
      <c r="B372" s="470"/>
      <c r="C372" s="470"/>
      <c r="D372" s="470"/>
      <c r="E372" s="470"/>
      <c r="F372" s="470"/>
      <c r="G372" s="470"/>
      <c r="H372" s="470"/>
      <c r="I372" s="470"/>
      <c r="J372" s="470"/>
      <c r="K372" s="513"/>
    </row>
    <row r="373" spans="1:11" x14ac:dyDescent="0.2">
      <c r="A373" s="470"/>
      <c r="B373" s="470"/>
      <c r="C373" s="470"/>
      <c r="D373" s="470"/>
      <c r="E373" s="470"/>
      <c r="F373" s="470"/>
      <c r="G373" s="470"/>
      <c r="H373" s="470"/>
      <c r="I373" s="470"/>
      <c r="J373" s="470"/>
      <c r="K373" s="513"/>
    </row>
    <row r="374" spans="1:11" x14ac:dyDescent="0.2">
      <c r="A374" s="470"/>
      <c r="B374" s="470"/>
      <c r="C374" s="470"/>
      <c r="D374" s="470"/>
      <c r="E374" s="470"/>
      <c r="F374" s="470"/>
      <c r="G374" s="470"/>
      <c r="H374" s="470"/>
      <c r="I374" s="470"/>
      <c r="J374" s="470"/>
      <c r="K374" s="513"/>
    </row>
    <row r="375" spans="1:11" x14ac:dyDescent="0.2">
      <c r="A375" s="470"/>
      <c r="B375" s="470"/>
      <c r="C375" s="470"/>
      <c r="D375" s="470"/>
      <c r="E375" s="470"/>
      <c r="F375" s="470"/>
      <c r="G375" s="470"/>
      <c r="H375" s="470"/>
      <c r="I375" s="470"/>
      <c r="J375" s="470"/>
      <c r="K375" s="513"/>
    </row>
    <row r="376" spans="1:11" x14ac:dyDescent="0.2">
      <c r="A376" s="470"/>
      <c r="B376" s="470"/>
      <c r="C376" s="470"/>
      <c r="D376" s="470"/>
      <c r="E376" s="470"/>
      <c r="F376" s="470"/>
      <c r="G376" s="470"/>
      <c r="H376" s="470"/>
      <c r="I376" s="470"/>
      <c r="J376" s="470"/>
      <c r="K376" s="513"/>
    </row>
    <row r="377" spans="1:11" x14ac:dyDescent="0.2">
      <c r="A377" s="470"/>
      <c r="B377" s="470"/>
      <c r="C377" s="470"/>
      <c r="D377" s="470"/>
      <c r="E377" s="470"/>
      <c r="F377" s="470"/>
      <c r="G377" s="470"/>
      <c r="H377" s="470"/>
      <c r="I377" s="470"/>
      <c r="J377" s="470"/>
      <c r="K377" s="513"/>
    </row>
    <row r="378" spans="1:11" x14ac:dyDescent="0.2">
      <c r="A378" s="470"/>
      <c r="B378" s="470"/>
      <c r="C378" s="470"/>
      <c r="D378" s="470"/>
      <c r="E378" s="470"/>
      <c r="F378" s="470"/>
      <c r="G378" s="470"/>
      <c r="H378" s="470"/>
      <c r="I378" s="470"/>
      <c r="J378" s="470"/>
      <c r="K378" s="513"/>
    </row>
    <row r="379" spans="1:11" x14ac:dyDescent="0.2">
      <c r="A379" s="470"/>
      <c r="B379" s="470"/>
      <c r="C379" s="470"/>
      <c r="D379" s="470"/>
      <c r="E379" s="470"/>
      <c r="F379" s="470"/>
      <c r="G379" s="470"/>
      <c r="H379" s="470"/>
      <c r="I379" s="470"/>
      <c r="J379" s="470"/>
      <c r="K379" s="513"/>
    </row>
    <row r="380" spans="1:11" x14ac:dyDescent="0.2">
      <c r="A380" s="470"/>
      <c r="B380" s="470"/>
      <c r="C380" s="470"/>
      <c r="D380" s="470"/>
      <c r="E380" s="470"/>
      <c r="F380" s="470"/>
      <c r="G380" s="470"/>
      <c r="H380" s="470"/>
      <c r="I380" s="470"/>
      <c r="J380" s="470"/>
      <c r="K380" s="513"/>
    </row>
    <row r="381" spans="1:11" x14ac:dyDescent="0.2">
      <c r="A381" s="470"/>
      <c r="B381" s="470"/>
      <c r="C381" s="470"/>
      <c r="D381" s="470"/>
      <c r="E381" s="470"/>
      <c r="F381" s="470"/>
      <c r="G381" s="470"/>
      <c r="H381" s="470"/>
      <c r="I381" s="470"/>
      <c r="J381" s="470"/>
      <c r="K381" s="513"/>
    </row>
    <row r="382" spans="1:11" x14ac:dyDescent="0.2">
      <c r="A382" s="470"/>
      <c r="B382" s="470"/>
      <c r="C382" s="470"/>
      <c r="D382" s="470"/>
      <c r="E382" s="470"/>
      <c r="F382" s="470"/>
      <c r="G382" s="470"/>
      <c r="H382" s="470"/>
      <c r="I382" s="470"/>
      <c r="J382" s="470"/>
      <c r="K382" s="513"/>
    </row>
    <row r="383" spans="1:11" x14ac:dyDescent="0.2">
      <c r="A383" s="470"/>
      <c r="B383" s="470"/>
      <c r="C383" s="470"/>
      <c r="D383" s="470"/>
      <c r="E383" s="470"/>
      <c r="F383" s="470"/>
      <c r="G383" s="470"/>
      <c r="H383" s="470"/>
      <c r="I383" s="470"/>
      <c r="J383" s="470"/>
      <c r="K383" s="513"/>
    </row>
    <row r="384" spans="1:11" x14ac:dyDescent="0.2">
      <c r="A384" s="470"/>
      <c r="B384" s="470"/>
      <c r="C384" s="470"/>
      <c r="D384" s="470"/>
      <c r="E384" s="470"/>
      <c r="F384" s="470"/>
      <c r="G384" s="470"/>
      <c r="H384" s="470"/>
      <c r="I384" s="470"/>
      <c r="J384" s="470"/>
      <c r="K384" s="513"/>
    </row>
    <row r="385" spans="1:11" x14ac:dyDescent="0.2">
      <c r="A385" s="470"/>
      <c r="B385" s="470"/>
      <c r="C385" s="470"/>
      <c r="D385" s="470"/>
      <c r="E385" s="470"/>
      <c r="F385" s="470"/>
      <c r="G385" s="470"/>
      <c r="H385" s="470"/>
      <c r="I385" s="470"/>
      <c r="J385" s="470"/>
      <c r="K385" s="513"/>
    </row>
    <row r="386" spans="1:11" x14ac:dyDescent="0.2">
      <c r="A386" s="470"/>
      <c r="B386" s="470"/>
      <c r="C386" s="470"/>
      <c r="D386" s="470"/>
      <c r="E386" s="470"/>
      <c r="F386" s="470"/>
      <c r="G386" s="470"/>
      <c r="H386" s="470"/>
      <c r="I386" s="470"/>
      <c r="J386" s="470"/>
      <c r="K386" s="513"/>
    </row>
    <row r="387" spans="1:11" x14ac:dyDescent="0.2">
      <c r="A387" s="470"/>
      <c r="B387" s="470"/>
      <c r="C387" s="470"/>
      <c r="D387" s="470"/>
      <c r="E387" s="470"/>
      <c r="F387" s="470"/>
      <c r="G387" s="470"/>
      <c r="H387" s="470"/>
      <c r="I387" s="470"/>
      <c r="J387" s="470"/>
      <c r="K387" s="513"/>
    </row>
    <row r="388" spans="1:11" x14ac:dyDescent="0.2">
      <c r="A388" s="470"/>
      <c r="B388" s="470"/>
      <c r="C388" s="470"/>
      <c r="D388" s="470"/>
      <c r="E388" s="470"/>
      <c r="F388" s="470"/>
      <c r="G388" s="470"/>
      <c r="H388" s="470"/>
      <c r="I388" s="470"/>
      <c r="J388" s="470"/>
      <c r="K388" s="513"/>
    </row>
    <row r="389" spans="1:11" x14ac:dyDescent="0.2">
      <c r="A389" s="470"/>
      <c r="B389" s="470"/>
      <c r="C389" s="470"/>
      <c r="D389" s="470"/>
      <c r="E389" s="470"/>
      <c r="F389" s="470"/>
      <c r="G389" s="470"/>
      <c r="H389" s="470"/>
      <c r="I389" s="470"/>
      <c r="J389" s="470"/>
      <c r="K389" s="513"/>
    </row>
    <row r="390" spans="1:11" x14ac:dyDescent="0.2">
      <c r="A390" s="470"/>
      <c r="B390" s="470"/>
      <c r="C390" s="470"/>
      <c r="D390" s="470"/>
      <c r="E390" s="470"/>
      <c r="F390" s="470"/>
      <c r="G390" s="470"/>
      <c r="H390" s="470"/>
      <c r="I390" s="470"/>
      <c r="J390" s="470"/>
      <c r="K390" s="513"/>
    </row>
    <row r="391" spans="1:11" x14ac:dyDescent="0.2">
      <c r="A391" s="470"/>
      <c r="B391" s="470"/>
      <c r="C391" s="470"/>
      <c r="D391" s="470"/>
      <c r="E391" s="470"/>
      <c r="F391" s="470"/>
      <c r="G391" s="470"/>
      <c r="H391" s="470"/>
      <c r="I391" s="470"/>
      <c r="J391" s="470"/>
      <c r="K391" s="513"/>
    </row>
    <row r="392" spans="1:11" x14ac:dyDescent="0.2">
      <c r="A392" s="470"/>
      <c r="B392" s="470"/>
      <c r="C392" s="470"/>
      <c r="D392" s="470"/>
      <c r="E392" s="470"/>
      <c r="F392" s="470"/>
      <c r="G392" s="470"/>
      <c r="H392" s="470"/>
      <c r="I392" s="470"/>
      <c r="J392" s="470"/>
      <c r="K392" s="513"/>
    </row>
    <row r="393" spans="1:11" x14ac:dyDescent="0.2">
      <c r="A393" s="470"/>
      <c r="B393" s="470"/>
      <c r="C393" s="470"/>
      <c r="D393" s="470"/>
      <c r="E393" s="470"/>
      <c r="F393" s="470"/>
      <c r="G393" s="470"/>
      <c r="H393" s="470"/>
      <c r="I393" s="470"/>
      <c r="J393" s="470"/>
      <c r="K393" s="513"/>
    </row>
    <row r="394" spans="1:11" x14ac:dyDescent="0.2">
      <c r="A394" s="470"/>
      <c r="B394" s="470"/>
      <c r="C394" s="470"/>
      <c r="D394" s="470"/>
      <c r="E394" s="470"/>
      <c r="F394" s="470"/>
      <c r="G394" s="470"/>
      <c r="H394" s="470"/>
      <c r="I394" s="470"/>
      <c r="J394" s="470"/>
      <c r="K394" s="513"/>
    </row>
    <row r="395" spans="1:11" x14ac:dyDescent="0.2">
      <c r="A395" s="470"/>
      <c r="B395" s="470"/>
      <c r="C395" s="470"/>
      <c r="D395" s="470"/>
      <c r="E395" s="470"/>
      <c r="F395" s="470"/>
      <c r="G395" s="470"/>
      <c r="H395" s="470"/>
      <c r="I395" s="470"/>
      <c r="J395" s="470"/>
      <c r="K395" s="513"/>
    </row>
    <row r="396" spans="1:11" x14ac:dyDescent="0.2">
      <c r="A396" s="470"/>
      <c r="B396" s="470"/>
      <c r="C396" s="470"/>
      <c r="D396" s="470"/>
      <c r="E396" s="470"/>
      <c r="F396" s="470"/>
      <c r="G396" s="470"/>
      <c r="H396" s="470"/>
      <c r="I396" s="470"/>
      <c r="J396" s="470"/>
      <c r="K396" s="513"/>
    </row>
    <row r="397" spans="1:11" x14ac:dyDescent="0.2">
      <c r="A397" s="470"/>
      <c r="B397" s="470"/>
      <c r="C397" s="470"/>
      <c r="D397" s="470"/>
      <c r="E397" s="470"/>
      <c r="F397" s="470"/>
      <c r="G397" s="470"/>
      <c r="H397" s="470"/>
      <c r="I397" s="470"/>
      <c r="J397" s="470"/>
      <c r="K397" s="513"/>
    </row>
    <row r="398" spans="1:11" x14ac:dyDescent="0.2">
      <c r="A398" s="470"/>
      <c r="B398" s="470"/>
      <c r="C398" s="470"/>
      <c r="D398" s="470"/>
      <c r="E398" s="470"/>
      <c r="F398" s="470"/>
      <c r="G398" s="470"/>
      <c r="H398" s="470"/>
      <c r="I398" s="470"/>
      <c r="J398" s="470"/>
      <c r="K398" s="513"/>
    </row>
    <row r="399" spans="1:11" x14ac:dyDescent="0.2">
      <c r="A399" s="470"/>
      <c r="B399" s="470"/>
      <c r="C399" s="470"/>
      <c r="D399" s="470"/>
      <c r="E399" s="470"/>
      <c r="F399" s="470"/>
      <c r="G399" s="470"/>
      <c r="H399" s="470"/>
      <c r="I399" s="470"/>
      <c r="J399" s="470"/>
      <c r="K399" s="513"/>
    </row>
    <row r="400" spans="1:11" x14ac:dyDescent="0.2">
      <c r="A400" s="470"/>
      <c r="B400" s="470"/>
      <c r="C400" s="470"/>
      <c r="D400" s="470"/>
      <c r="E400" s="470"/>
      <c r="F400" s="470"/>
      <c r="G400" s="470"/>
      <c r="H400" s="470"/>
      <c r="I400" s="470"/>
      <c r="J400" s="470"/>
      <c r="K400" s="513"/>
    </row>
    <row r="401" spans="1:11" x14ac:dyDescent="0.2">
      <c r="A401" s="470"/>
      <c r="B401" s="470"/>
      <c r="C401" s="470"/>
      <c r="D401" s="470"/>
      <c r="E401" s="470"/>
      <c r="F401" s="470"/>
      <c r="G401" s="470"/>
      <c r="H401" s="470"/>
      <c r="I401" s="470"/>
      <c r="J401" s="470"/>
      <c r="K401" s="513"/>
    </row>
    <row r="402" spans="1:11" x14ac:dyDescent="0.2">
      <c r="A402" s="470"/>
      <c r="B402" s="470"/>
      <c r="C402" s="470"/>
      <c r="D402" s="470"/>
      <c r="E402" s="470"/>
      <c r="F402" s="470"/>
      <c r="G402" s="470"/>
      <c r="H402" s="470"/>
      <c r="I402" s="470"/>
      <c r="J402" s="470"/>
      <c r="K402" s="513"/>
    </row>
    <row r="403" spans="1:11" x14ac:dyDescent="0.2">
      <c r="A403" s="470"/>
      <c r="B403" s="470"/>
      <c r="C403" s="470"/>
      <c r="D403" s="470"/>
      <c r="E403" s="470"/>
      <c r="F403" s="470"/>
      <c r="G403" s="470"/>
      <c r="H403" s="470"/>
      <c r="I403" s="470"/>
      <c r="J403" s="470"/>
      <c r="K403" s="513"/>
    </row>
    <row r="404" spans="1:11" x14ac:dyDescent="0.2">
      <c r="A404" s="470"/>
      <c r="B404" s="470"/>
      <c r="C404" s="470"/>
      <c r="D404" s="470"/>
      <c r="E404" s="470"/>
      <c r="F404" s="470"/>
      <c r="G404" s="470"/>
      <c r="H404" s="470"/>
      <c r="I404" s="470"/>
      <c r="J404" s="470"/>
      <c r="K404" s="513"/>
    </row>
    <row r="405" spans="1:11" x14ac:dyDescent="0.2">
      <c r="A405" s="470"/>
      <c r="B405" s="470"/>
      <c r="C405" s="470"/>
      <c r="D405" s="470"/>
      <c r="E405" s="470"/>
      <c r="F405" s="470"/>
      <c r="G405" s="470"/>
      <c r="H405" s="470"/>
      <c r="I405" s="470"/>
      <c r="J405" s="470"/>
      <c r="K405" s="513"/>
    </row>
    <row r="406" spans="1:11" x14ac:dyDescent="0.2">
      <c r="A406" s="470"/>
      <c r="B406" s="470"/>
      <c r="C406" s="470"/>
      <c r="D406" s="470"/>
      <c r="E406" s="470"/>
      <c r="F406" s="470"/>
      <c r="G406" s="470"/>
      <c r="H406" s="470"/>
      <c r="I406" s="470"/>
      <c r="J406" s="470"/>
      <c r="K406" s="513"/>
    </row>
    <row r="407" spans="1:11" x14ac:dyDescent="0.2">
      <c r="A407" s="470"/>
      <c r="B407" s="470"/>
      <c r="C407" s="470"/>
      <c r="D407" s="470"/>
      <c r="E407" s="470"/>
      <c r="F407" s="470"/>
      <c r="G407" s="470"/>
      <c r="H407" s="470"/>
      <c r="I407" s="470"/>
      <c r="J407" s="470"/>
      <c r="K407" s="513"/>
    </row>
    <row r="408" spans="1:11" x14ac:dyDescent="0.2">
      <c r="A408" s="470"/>
      <c r="B408" s="470"/>
      <c r="C408" s="470"/>
      <c r="D408" s="470"/>
      <c r="E408" s="470"/>
      <c r="F408" s="470"/>
      <c r="G408" s="470"/>
      <c r="H408" s="470"/>
      <c r="I408" s="470"/>
      <c r="J408" s="470"/>
      <c r="K408" s="513"/>
    </row>
    <row r="409" spans="1:11" x14ac:dyDescent="0.2">
      <c r="A409" s="470"/>
      <c r="B409" s="470"/>
      <c r="C409" s="470"/>
      <c r="D409" s="470"/>
      <c r="E409" s="470"/>
      <c r="F409" s="470"/>
      <c r="G409" s="470"/>
      <c r="H409" s="470"/>
      <c r="I409" s="470"/>
      <c r="J409" s="470"/>
      <c r="K409" s="513"/>
    </row>
    <row r="410" spans="1:11" x14ac:dyDescent="0.2">
      <c r="A410" s="470"/>
      <c r="B410" s="470"/>
      <c r="C410" s="470"/>
      <c r="D410" s="470"/>
      <c r="E410" s="470"/>
      <c r="F410" s="470"/>
      <c r="G410" s="470"/>
      <c r="H410" s="470"/>
      <c r="I410" s="470"/>
      <c r="J410" s="470"/>
      <c r="K410" s="513"/>
    </row>
    <row r="411" spans="1:11" x14ac:dyDescent="0.2">
      <c r="A411" s="470"/>
      <c r="B411" s="470"/>
      <c r="C411" s="470"/>
      <c r="D411" s="470"/>
      <c r="E411" s="470"/>
      <c r="F411" s="470"/>
      <c r="G411" s="470"/>
      <c r="H411" s="470"/>
      <c r="I411" s="470"/>
      <c r="J411" s="470"/>
      <c r="K411" s="513"/>
    </row>
    <row r="412" spans="1:11" x14ac:dyDescent="0.2">
      <c r="A412" s="470"/>
      <c r="B412" s="470"/>
      <c r="C412" s="470"/>
      <c r="D412" s="470"/>
      <c r="E412" s="470"/>
      <c r="F412" s="470"/>
      <c r="G412" s="470"/>
      <c r="H412" s="470"/>
      <c r="I412" s="470"/>
      <c r="J412" s="470"/>
      <c r="K412" s="513"/>
    </row>
    <row r="413" spans="1:11" x14ac:dyDescent="0.2">
      <c r="A413" s="470"/>
      <c r="B413" s="470"/>
      <c r="C413" s="470"/>
      <c r="D413" s="470"/>
      <c r="E413" s="470"/>
      <c r="F413" s="470"/>
      <c r="G413" s="470"/>
      <c r="H413" s="470"/>
      <c r="I413" s="470"/>
      <c r="J413" s="470"/>
      <c r="K413" s="513"/>
    </row>
    <row r="414" spans="1:11" x14ac:dyDescent="0.2">
      <c r="A414" s="470"/>
      <c r="B414" s="470"/>
      <c r="C414" s="470"/>
      <c r="D414" s="470"/>
      <c r="E414" s="470"/>
      <c r="F414" s="470"/>
      <c r="G414" s="470"/>
      <c r="H414" s="470"/>
      <c r="I414" s="470"/>
      <c r="J414" s="470"/>
      <c r="K414" s="513"/>
    </row>
    <row r="415" spans="1:11" x14ac:dyDescent="0.2">
      <c r="A415" s="470"/>
      <c r="B415" s="470"/>
      <c r="C415" s="470"/>
      <c r="D415" s="470"/>
      <c r="E415" s="470"/>
      <c r="F415" s="470"/>
      <c r="G415" s="470"/>
      <c r="H415" s="470"/>
      <c r="I415" s="470"/>
      <c r="J415" s="470"/>
      <c r="K415" s="513"/>
    </row>
    <row r="416" spans="1:11" x14ac:dyDescent="0.2">
      <c r="A416" s="470"/>
      <c r="B416" s="470"/>
      <c r="C416" s="470"/>
      <c r="D416" s="470"/>
      <c r="E416" s="470"/>
      <c r="F416" s="470"/>
      <c r="G416" s="470"/>
      <c r="H416" s="470"/>
      <c r="I416" s="470"/>
      <c r="J416" s="470"/>
      <c r="K416" s="513"/>
    </row>
    <row r="417" spans="1:11" x14ac:dyDescent="0.2">
      <c r="A417" s="470"/>
      <c r="B417" s="470"/>
      <c r="C417" s="470"/>
      <c r="D417" s="470"/>
      <c r="E417" s="470"/>
      <c r="F417" s="470"/>
      <c r="G417" s="470"/>
      <c r="H417" s="470"/>
      <c r="I417" s="470"/>
      <c r="J417" s="470"/>
      <c r="K417" s="513"/>
    </row>
    <row r="418" spans="1:11" x14ac:dyDescent="0.2">
      <c r="A418" s="470"/>
      <c r="B418" s="470"/>
      <c r="C418" s="470"/>
      <c r="D418" s="470"/>
      <c r="E418" s="470"/>
      <c r="F418" s="470"/>
      <c r="G418" s="470"/>
      <c r="H418" s="470"/>
      <c r="I418" s="470"/>
      <c r="J418" s="470"/>
      <c r="K418" s="513"/>
    </row>
    <row r="419" spans="1:11" x14ac:dyDescent="0.2">
      <c r="A419" s="470"/>
      <c r="B419" s="470"/>
      <c r="C419" s="470"/>
      <c r="D419" s="470"/>
      <c r="E419" s="470"/>
      <c r="F419" s="470"/>
      <c r="G419" s="470"/>
      <c r="H419" s="470"/>
      <c r="I419" s="470"/>
      <c r="J419" s="470"/>
      <c r="K419" s="513"/>
    </row>
    <row r="420" spans="1:11" x14ac:dyDescent="0.2">
      <c r="A420" s="470"/>
      <c r="B420" s="470"/>
      <c r="C420" s="470"/>
      <c r="D420" s="470"/>
      <c r="E420" s="470"/>
      <c r="F420" s="470"/>
      <c r="G420" s="470"/>
      <c r="H420" s="470"/>
      <c r="I420" s="470"/>
      <c r="J420" s="470"/>
      <c r="K420" s="513"/>
    </row>
    <row r="421" spans="1:11" x14ac:dyDescent="0.2">
      <c r="A421" s="470"/>
      <c r="B421" s="470"/>
      <c r="C421" s="470"/>
      <c r="D421" s="470"/>
      <c r="E421" s="470"/>
      <c r="F421" s="470"/>
      <c r="G421" s="470"/>
      <c r="H421" s="470"/>
      <c r="I421" s="470"/>
      <c r="J421" s="470"/>
      <c r="K421" s="513"/>
    </row>
    <row r="422" spans="1:11" x14ac:dyDescent="0.2">
      <c r="A422" s="470"/>
      <c r="B422" s="470"/>
      <c r="C422" s="470"/>
      <c r="D422" s="470"/>
      <c r="E422" s="470"/>
      <c r="F422" s="470"/>
      <c r="G422" s="470"/>
      <c r="H422" s="470"/>
      <c r="I422" s="470"/>
      <c r="J422" s="470"/>
      <c r="K422" s="513"/>
    </row>
    <row r="423" spans="1:11" x14ac:dyDescent="0.2">
      <c r="A423" s="470"/>
      <c r="B423" s="470"/>
      <c r="C423" s="470"/>
      <c r="D423" s="470"/>
      <c r="E423" s="470"/>
      <c r="F423" s="470"/>
      <c r="G423" s="470"/>
      <c r="H423" s="470"/>
      <c r="I423" s="470"/>
      <c r="J423" s="470"/>
      <c r="K423" s="513"/>
    </row>
    <row r="424" spans="1:11" x14ac:dyDescent="0.2">
      <c r="A424" s="470"/>
      <c r="B424" s="470"/>
      <c r="C424" s="470"/>
      <c r="D424" s="470"/>
      <c r="E424" s="470"/>
      <c r="F424" s="470"/>
      <c r="G424" s="470"/>
      <c r="H424" s="470"/>
      <c r="I424" s="470"/>
      <c r="J424" s="470"/>
      <c r="K424" s="513"/>
    </row>
    <row r="425" spans="1:11" x14ac:dyDescent="0.2">
      <c r="A425" s="470"/>
      <c r="B425" s="470"/>
      <c r="C425" s="470"/>
      <c r="D425" s="470"/>
      <c r="E425" s="470"/>
      <c r="F425" s="470"/>
      <c r="G425" s="470"/>
      <c r="H425" s="470"/>
      <c r="I425" s="470"/>
      <c r="J425" s="470"/>
      <c r="K425" s="513"/>
    </row>
    <row r="426" spans="1:11" x14ac:dyDescent="0.2">
      <c r="A426" s="470"/>
      <c r="B426" s="470"/>
      <c r="C426" s="470"/>
      <c r="D426" s="470"/>
      <c r="E426" s="470"/>
      <c r="F426" s="470"/>
      <c r="G426" s="470"/>
      <c r="H426" s="470"/>
      <c r="I426" s="470"/>
      <c r="J426" s="470"/>
      <c r="K426" s="513"/>
    </row>
    <row r="427" spans="1:11" x14ac:dyDescent="0.2">
      <c r="A427" s="470"/>
      <c r="B427" s="470"/>
      <c r="C427" s="470"/>
      <c r="D427" s="470"/>
      <c r="E427" s="470"/>
      <c r="F427" s="470"/>
      <c r="G427" s="470"/>
      <c r="H427" s="470"/>
      <c r="I427" s="470"/>
      <c r="J427" s="470"/>
      <c r="K427" s="513"/>
    </row>
    <row r="428" spans="1:11" x14ac:dyDescent="0.2">
      <c r="A428" s="470"/>
      <c r="B428" s="470"/>
      <c r="C428" s="470"/>
      <c r="D428" s="470"/>
      <c r="E428" s="470"/>
      <c r="F428" s="470"/>
      <c r="G428" s="470"/>
      <c r="H428" s="470"/>
      <c r="I428" s="470"/>
      <c r="J428" s="470"/>
      <c r="K428" s="513"/>
    </row>
    <row r="429" spans="1:11" x14ac:dyDescent="0.2">
      <c r="A429" s="470"/>
      <c r="B429" s="470"/>
      <c r="C429" s="470"/>
      <c r="D429" s="470"/>
      <c r="E429" s="470"/>
      <c r="F429" s="470"/>
      <c r="G429" s="470"/>
      <c r="H429" s="470"/>
      <c r="I429" s="470"/>
      <c r="J429" s="470"/>
      <c r="K429" s="513"/>
    </row>
    <row r="430" spans="1:11" x14ac:dyDescent="0.2">
      <c r="A430" s="470"/>
      <c r="B430" s="470"/>
      <c r="C430" s="470"/>
      <c r="D430" s="470"/>
      <c r="E430" s="470"/>
      <c r="F430" s="470"/>
      <c r="G430" s="470"/>
      <c r="H430" s="470"/>
      <c r="I430" s="470"/>
      <c r="J430" s="470"/>
      <c r="K430" s="513"/>
    </row>
    <row r="431" spans="1:11" x14ac:dyDescent="0.2">
      <c r="A431" s="470"/>
      <c r="B431" s="470"/>
      <c r="C431" s="470"/>
      <c r="D431" s="470"/>
      <c r="E431" s="470"/>
      <c r="F431" s="470"/>
      <c r="G431" s="470"/>
      <c r="H431" s="470"/>
      <c r="I431" s="470"/>
      <c r="J431" s="470"/>
      <c r="K431" s="513"/>
    </row>
    <row r="432" spans="1:11" x14ac:dyDescent="0.2">
      <c r="A432" s="470"/>
      <c r="B432" s="470"/>
      <c r="C432" s="470"/>
      <c r="D432" s="470"/>
      <c r="E432" s="470"/>
      <c r="F432" s="470"/>
      <c r="G432" s="470"/>
      <c r="H432" s="470"/>
      <c r="I432" s="470"/>
      <c r="J432" s="470"/>
      <c r="K432" s="513"/>
    </row>
    <row r="433" spans="1:11" x14ac:dyDescent="0.2">
      <c r="A433" s="470"/>
      <c r="B433" s="470"/>
      <c r="C433" s="470"/>
      <c r="D433" s="470"/>
      <c r="E433" s="470"/>
      <c r="F433" s="470"/>
      <c r="G433" s="470"/>
      <c r="H433" s="470"/>
      <c r="I433" s="470"/>
      <c r="J433" s="470"/>
      <c r="K433" s="513"/>
    </row>
    <row r="434" spans="1:11" x14ac:dyDescent="0.2">
      <c r="A434" s="470"/>
      <c r="B434" s="470"/>
      <c r="C434" s="470"/>
      <c r="D434" s="470"/>
      <c r="E434" s="470"/>
      <c r="F434" s="470"/>
      <c r="G434" s="470"/>
      <c r="H434" s="470"/>
      <c r="I434" s="470"/>
      <c r="J434" s="470"/>
      <c r="K434" s="513"/>
    </row>
    <row r="435" spans="1:11" x14ac:dyDescent="0.2">
      <c r="A435" s="470"/>
      <c r="B435" s="470"/>
      <c r="C435" s="470"/>
      <c r="D435" s="470"/>
      <c r="E435" s="470"/>
      <c r="F435" s="470"/>
      <c r="G435" s="470"/>
      <c r="H435" s="470"/>
      <c r="I435" s="470"/>
      <c r="J435" s="470"/>
      <c r="K435" s="513"/>
    </row>
    <row r="436" spans="1:11" x14ac:dyDescent="0.2">
      <c r="A436" s="470"/>
      <c r="B436" s="470"/>
      <c r="C436" s="470"/>
      <c r="D436" s="470"/>
      <c r="E436" s="470"/>
      <c r="F436" s="470"/>
      <c r="G436" s="470"/>
      <c r="H436" s="470"/>
      <c r="I436" s="470"/>
      <c r="J436" s="470"/>
      <c r="K436" s="513"/>
    </row>
    <row r="437" spans="1:11" x14ac:dyDescent="0.2">
      <c r="A437" s="470"/>
      <c r="B437" s="470"/>
      <c r="C437" s="470"/>
      <c r="D437" s="470"/>
      <c r="E437" s="470"/>
      <c r="F437" s="470"/>
      <c r="G437" s="470"/>
      <c r="H437" s="470"/>
      <c r="I437" s="470"/>
      <c r="J437" s="470"/>
      <c r="K437" s="513"/>
    </row>
    <row r="438" spans="1:11" x14ac:dyDescent="0.2">
      <c r="A438" s="470"/>
      <c r="B438" s="470"/>
      <c r="C438" s="470"/>
      <c r="D438" s="470"/>
      <c r="E438" s="470"/>
      <c r="F438" s="470"/>
      <c r="G438" s="470"/>
      <c r="H438" s="470"/>
      <c r="I438" s="470"/>
      <c r="J438" s="470"/>
      <c r="K438" s="513"/>
    </row>
    <row r="439" spans="1:11" x14ac:dyDescent="0.2">
      <c r="A439" s="470"/>
      <c r="B439" s="470"/>
      <c r="C439" s="470"/>
      <c r="D439" s="470"/>
      <c r="E439" s="470"/>
      <c r="F439" s="470"/>
      <c r="G439" s="470"/>
      <c r="H439" s="470"/>
      <c r="I439" s="470"/>
      <c r="J439" s="470"/>
      <c r="K439" s="513"/>
    </row>
    <row r="440" spans="1:11" x14ac:dyDescent="0.2">
      <c r="A440" s="470"/>
      <c r="B440" s="470"/>
      <c r="C440" s="470"/>
      <c r="D440" s="470"/>
      <c r="E440" s="470"/>
      <c r="F440" s="470"/>
      <c r="G440" s="470"/>
      <c r="H440" s="470"/>
      <c r="I440" s="470"/>
      <c r="J440" s="470"/>
      <c r="K440" s="513"/>
    </row>
    <row r="441" spans="1:11" x14ac:dyDescent="0.2">
      <c r="A441" s="470"/>
      <c r="B441" s="470"/>
      <c r="C441" s="470"/>
      <c r="D441" s="470"/>
      <c r="E441" s="470"/>
      <c r="F441" s="470"/>
      <c r="G441" s="470"/>
      <c r="H441" s="470"/>
      <c r="I441" s="470"/>
      <c r="J441" s="470"/>
      <c r="K441" s="513"/>
    </row>
    <row r="442" spans="1:11" x14ac:dyDescent="0.2">
      <c r="A442" s="470"/>
      <c r="B442" s="470"/>
      <c r="C442" s="470"/>
      <c r="D442" s="470"/>
      <c r="E442" s="470"/>
      <c r="F442" s="470"/>
      <c r="G442" s="470"/>
      <c r="H442" s="470"/>
      <c r="I442" s="470"/>
      <c r="J442" s="470"/>
      <c r="K442" s="513"/>
    </row>
    <row r="443" spans="1:11" x14ac:dyDescent="0.2">
      <c r="A443" s="470"/>
      <c r="B443" s="470"/>
      <c r="C443" s="470"/>
      <c r="D443" s="470"/>
      <c r="E443" s="470"/>
      <c r="F443" s="470"/>
      <c r="G443" s="470"/>
      <c r="H443" s="470"/>
      <c r="I443" s="470"/>
      <c r="J443" s="470"/>
      <c r="K443" s="513"/>
    </row>
    <row r="444" spans="1:11" x14ac:dyDescent="0.2">
      <c r="A444" s="470"/>
      <c r="B444" s="470"/>
      <c r="C444" s="470"/>
      <c r="D444" s="470"/>
      <c r="E444" s="470"/>
      <c r="F444" s="470"/>
      <c r="G444" s="470"/>
      <c r="H444" s="470"/>
      <c r="I444" s="470"/>
      <c r="J444" s="470"/>
      <c r="K444" s="513"/>
    </row>
    <row r="445" spans="1:11" x14ac:dyDescent="0.2">
      <c r="A445" s="470"/>
      <c r="B445" s="470"/>
      <c r="C445" s="470"/>
      <c r="D445" s="470"/>
      <c r="E445" s="470"/>
      <c r="F445" s="470"/>
      <c r="G445" s="470"/>
      <c r="H445" s="470"/>
      <c r="I445" s="470"/>
      <c r="J445" s="470"/>
      <c r="K445" s="513"/>
    </row>
    <row r="446" spans="1:11" x14ac:dyDescent="0.2">
      <c r="A446" s="470"/>
      <c r="B446" s="470"/>
      <c r="C446" s="470"/>
      <c r="D446" s="470"/>
      <c r="E446" s="470"/>
      <c r="F446" s="470"/>
      <c r="G446" s="470"/>
      <c r="H446" s="470"/>
      <c r="I446" s="470"/>
      <c r="J446" s="470"/>
      <c r="K446" s="513"/>
    </row>
    <row r="447" spans="1:11" x14ac:dyDescent="0.2">
      <c r="A447" s="470"/>
      <c r="B447" s="470"/>
      <c r="C447" s="470"/>
      <c r="D447" s="470"/>
      <c r="E447" s="470"/>
      <c r="F447" s="470"/>
      <c r="G447" s="470"/>
      <c r="H447" s="470"/>
      <c r="I447" s="470"/>
      <c r="J447" s="470"/>
      <c r="K447" s="513"/>
    </row>
    <row r="448" spans="1:11" x14ac:dyDescent="0.2">
      <c r="A448" s="470"/>
      <c r="B448" s="470"/>
      <c r="C448" s="470"/>
      <c r="D448" s="470"/>
      <c r="E448" s="470"/>
      <c r="F448" s="470"/>
      <c r="G448" s="470"/>
      <c r="H448" s="470"/>
      <c r="I448" s="470"/>
      <c r="J448" s="470"/>
      <c r="K448" s="513"/>
    </row>
    <row r="449" spans="1:11" x14ac:dyDescent="0.2">
      <c r="A449" s="470"/>
      <c r="B449" s="470"/>
      <c r="C449" s="470"/>
      <c r="D449" s="470"/>
      <c r="E449" s="470"/>
      <c r="F449" s="470"/>
      <c r="G449" s="470"/>
      <c r="H449" s="470"/>
      <c r="I449" s="470"/>
      <c r="J449" s="470"/>
      <c r="K449" s="513"/>
    </row>
    <row r="450" spans="1:11" x14ac:dyDescent="0.2">
      <c r="A450" s="470"/>
      <c r="B450" s="470"/>
      <c r="C450" s="470"/>
      <c r="D450" s="470"/>
      <c r="E450" s="470"/>
      <c r="F450" s="470"/>
      <c r="G450" s="470"/>
      <c r="H450" s="470"/>
      <c r="I450" s="470"/>
      <c r="J450" s="470"/>
      <c r="K450" s="513"/>
    </row>
    <row r="451" spans="1:11" x14ac:dyDescent="0.2">
      <c r="A451" s="470"/>
      <c r="B451" s="470"/>
      <c r="C451" s="470"/>
      <c r="D451" s="470"/>
      <c r="E451" s="470"/>
      <c r="F451" s="470"/>
      <c r="G451" s="470"/>
      <c r="H451" s="470"/>
      <c r="I451" s="470"/>
      <c r="J451" s="470"/>
      <c r="K451" s="513"/>
    </row>
    <row r="452" spans="1:11" x14ac:dyDescent="0.2">
      <c r="A452" s="470"/>
      <c r="B452" s="470"/>
      <c r="C452" s="470"/>
      <c r="D452" s="470"/>
      <c r="E452" s="470"/>
      <c r="F452" s="470"/>
      <c r="G452" s="470"/>
      <c r="H452" s="470"/>
      <c r="I452" s="470"/>
      <c r="J452" s="470"/>
      <c r="K452" s="513"/>
    </row>
    <row r="453" spans="1:11" x14ac:dyDescent="0.2">
      <c r="A453" s="470"/>
      <c r="B453" s="470"/>
      <c r="C453" s="470"/>
      <c r="D453" s="470"/>
      <c r="E453" s="470"/>
      <c r="F453" s="470"/>
      <c r="G453" s="470"/>
      <c r="H453" s="470"/>
      <c r="I453" s="470"/>
      <c r="J453" s="470"/>
      <c r="K453" s="513"/>
    </row>
    <row r="454" spans="1:11" x14ac:dyDescent="0.2">
      <c r="A454" s="470"/>
      <c r="B454" s="470"/>
      <c r="C454" s="470"/>
      <c r="D454" s="470"/>
      <c r="E454" s="470"/>
      <c r="F454" s="470"/>
      <c r="G454" s="470"/>
      <c r="H454" s="470"/>
      <c r="I454" s="470"/>
      <c r="J454" s="470"/>
      <c r="K454" s="513"/>
    </row>
    <row r="455" spans="1:11" x14ac:dyDescent="0.2">
      <c r="A455" s="470"/>
      <c r="B455" s="470"/>
      <c r="C455" s="470"/>
      <c r="D455" s="470"/>
      <c r="E455" s="470"/>
      <c r="F455" s="470"/>
      <c r="G455" s="470"/>
      <c r="H455" s="470"/>
      <c r="I455" s="470"/>
      <c r="J455" s="470"/>
      <c r="K455" s="513"/>
    </row>
    <row r="456" spans="1:11" x14ac:dyDescent="0.2">
      <c r="A456" s="470"/>
      <c r="B456" s="470"/>
      <c r="C456" s="470"/>
      <c r="D456" s="470"/>
      <c r="E456" s="470"/>
      <c r="F456" s="470"/>
      <c r="G456" s="470"/>
      <c r="H456" s="470"/>
      <c r="I456" s="470"/>
      <c r="J456" s="470"/>
      <c r="K456" s="513"/>
    </row>
    <row r="457" spans="1:11" x14ac:dyDescent="0.2">
      <c r="A457" s="470"/>
      <c r="B457" s="470"/>
      <c r="C457" s="470"/>
      <c r="D457" s="470"/>
      <c r="E457" s="470"/>
      <c r="F457" s="470"/>
      <c r="G457" s="470"/>
      <c r="H457" s="470"/>
      <c r="I457" s="470"/>
      <c r="J457" s="470"/>
      <c r="K457" s="513"/>
    </row>
    <row r="458" spans="1:11" x14ac:dyDescent="0.2">
      <c r="A458" s="470"/>
      <c r="B458" s="470"/>
      <c r="C458" s="470"/>
      <c r="D458" s="470"/>
      <c r="E458" s="470"/>
      <c r="F458" s="470"/>
      <c r="G458" s="470"/>
      <c r="H458" s="470"/>
      <c r="I458" s="470"/>
      <c r="J458" s="470"/>
      <c r="K458" s="513"/>
    </row>
    <row r="459" spans="1:11" x14ac:dyDescent="0.2">
      <c r="A459" s="470"/>
      <c r="B459" s="470"/>
      <c r="C459" s="470"/>
      <c r="D459" s="470"/>
      <c r="E459" s="470"/>
      <c r="F459" s="470"/>
      <c r="G459" s="470"/>
      <c r="H459" s="470"/>
      <c r="I459" s="470"/>
      <c r="J459" s="470"/>
      <c r="K459" s="513"/>
    </row>
    <row r="460" spans="1:11" x14ac:dyDescent="0.2">
      <c r="A460" s="470"/>
      <c r="B460" s="470"/>
      <c r="C460" s="470"/>
      <c r="D460" s="470"/>
      <c r="E460" s="470"/>
      <c r="F460" s="470"/>
      <c r="G460" s="470"/>
      <c r="H460" s="470"/>
      <c r="I460" s="470"/>
      <c r="J460" s="470"/>
      <c r="K460" s="513"/>
    </row>
    <row r="461" spans="1:11" x14ac:dyDescent="0.2">
      <c r="A461" s="470"/>
      <c r="B461" s="470"/>
      <c r="C461" s="470"/>
      <c r="D461" s="470"/>
      <c r="E461" s="470"/>
      <c r="F461" s="470"/>
      <c r="G461" s="470"/>
      <c r="H461" s="470"/>
      <c r="I461" s="470"/>
      <c r="J461" s="470"/>
      <c r="K461" s="513"/>
    </row>
    <row r="462" spans="1:11" x14ac:dyDescent="0.2">
      <c r="A462" s="470"/>
      <c r="B462" s="470"/>
      <c r="C462" s="470"/>
      <c r="D462" s="470"/>
      <c r="E462" s="470"/>
      <c r="F462" s="470"/>
      <c r="G462" s="470"/>
      <c r="H462" s="470"/>
      <c r="I462" s="470"/>
      <c r="J462" s="470"/>
      <c r="K462" s="513"/>
    </row>
    <row r="463" spans="1:11" x14ac:dyDescent="0.2">
      <c r="A463" s="470"/>
      <c r="B463" s="470"/>
      <c r="C463" s="470"/>
      <c r="D463" s="470"/>
      <c r="E463" s="470"/>
      <c r="F463" s="470"/>
      <c r="G463" s="470"/>
      <c r="H463" s="470"/>
      <c r="I463" s="470"/>
      <c r="J463" s="470"/>
      <c r="K463" s="513"/>
    </row>
    <row r="464" spans="1:11" x14ac:dyDescent="0.2">
      <c r="A464" s="470"/>
      <c r="B464" s="470"/>
      <c r="C464" s="470"/>
      <c r="D464" s="470"/>
      <c r="E464" s="470"/>
      <c r="F464" s="470"/>
      <c r="G464" s="470"/>
      <c r="H464" s="470"/>
      <c r="I464" s="470"/>
      <c r="J464" s="470"/>
      <c r="K464" s="513"/>
    </row>
    <row r="465" spans="1:11" x14ac:dyDescent="0.2">
      <c r="A465" s="470"/>
      <c r="B465" s="470"/>
      <c r="C465" s="470"/>
      <c r="D465" s="470"/>
      <c r="E465" s="470"/>
      <c r="F465" s="470"/>
      <c r="G465" s="470"/>
      <c r="H465" s="470"/>
      <c r="I465" s="470"/>
      <c r="J465" s="470"/>
      <c r="K465" s="513"/>
    </row>
    <row r="466" spans="1:11" x14ac:dyDescent="0.2">
      <c r="A466" s="470"/>
      <c r="B466" s="470"/>
      <c r="C466" s="470"/>
      <c r="D466" s="470"/>
      <c r="E466" s="470"/>
      <c r="F466" s="470"/>
      <c r="G466" s="470"/>
      <c r="H466" s="470"/>
      <c r="I466" s="470"/>
      <c r="J466" s="470"/>
      <c r="K466" s="513"/>
    </row>
    <row r="467" spans="1:11" x14ac:dyDescent="0.2">
      <c r="A467" s="470"/>
      <c r="B467" s="470"/>
      <c r="C467" s="470"/>
      <c r="D467" s="470"/>
      <c r="E467" s="470"/>
      <c r="F467" s="470"/>
      <c r="G467" s="470"/>
      <c r="H467" s="470"/>
      <c r="I467" s="470"/>
      <c r="J467" s="470"/>
      <c r="K467" s="513"/>
    </row>
    <row r="468" spans="1:11" x14ac:dyDescent="0.2">
      <c r="A468" s="470"/>
      <c r="B468" s="470"/>
      <c r="C468" s="470"/>
      <c r="D468" s="470"/>
      <c r="E468" s="470"/>
      <c r="F468" s="470"/>
      <c r="G468" s="470"/>
      <c r="H468" s="470"/>
      <c r="I468" s="470"/>
      <c r="J468" s="470"/>
      <c r="K468" s="513"/>
    </row>
    <row r="469" spans="1:11" x14ac:dyDescent="0.2">
      <c r="A469" s="470"/>
      <c r="B469" s="470"/>
      <c r="C469" s="470"/>
      <c r="D469" s="470"/>
      <c r="E469" s="470"/>
      <c r="F469" s="470"/>
      <c r="G469" s="470"/>
      <c r="H469" s="470"/>
      <c r="I469" s="470"/>
      <c r="J469" s="470"/>
      <c r="K469" s="513"/>
    </row>
    <row r="470" spans="1:11" x14ac:dyDescent="0.2">
      <c r="A470" s="470"/>
      <c r="B470" s="470"/>
      <c r="C470" s="470"/>
      <c r="D470" s="470"/>
      <c r="E470" s="470"/>
      <c r="F470" s="470"/>
      <c r="G470" s="470"/>
      <c r="H470" s="470"/>
      <c r="I470" s="470"/>
      <c r="J470" s="470"/>
      <c r="K470" s="513"/>
    </row>
    <row r="471" spans="1:11" x14ac:dyDescent="0.2">
      <c r="A471" s="470"/>
      <c r="B471" s="470"/>
      <c r="C471" s="470"/>
      <c r="D471" s="470"/>
      <c r="E471" s="470"/>
      <c r="F471" s="470"/>
      <c r="G471" s="470"/>
      <c r="H471" s="470"/>
      <c r="I471" s="470"/>
      <c r="J471" s="470"/>
      <c r="K471" s="513"/>
    </row>
    <row r="472" spans="1:11" x14ac:dyDescent="0.2">
      <c r="A472" s="470"/>
      <c r="B472" s="470"/>
      <c r="C472" s="470"/>
      <c r="D472" s="470"/>
      <c r="E472" s="470"/>
      <c r="F472" s="470"/>
      <c r="G472" s="470"/>
      <c r="H472" s="470"/>
      <c r="I472" s="470"/>
      <c r="J472" s="470"/>
      <c r="K472" s="513"/>
    </row>
    <row r="473" spans="1:11" x14ac:dyDescent="0.2">
      <c r="A473" s="470"/>
      <c r="B473" s="470"/>
      <c r="C473" s="470"/>
      <c r="D473" s="470"/>
      <c r="E473" s="470"/>
      <c r="F473" s="470"/>
      <c r="G473" s="470"/>
      <c r="H473" s="470"/>
      <c r="I473" s="470"/>
      <c r="J473" s="470"/>
      <c r="K473" s="513"/>
    </row>
    <row r="474" spans="1:11" x14ac:dyDescent="0.2">
      <c r="A474" s="470"/>
      <c r="B474" s="470"/>
      <c r="C474" s="470"/>
      <c r="D474" s="470"/>
      <c r="E474" s="470"/>
      <c r="F474" s="470"/>
      <c r="G474" s="470"/>
      <c r="H474" s="470"/>
      <c r="I474" s="470"/>
      <c r="J474" s="470"/>
      <c r="K474" s="513"/>
    </row>
    <row r="475" spans="1:11" x14ac:dyDescent="0.2">
      <c r="A475" s="470"/>
      <c r="B475" s="470"/>
      <c r="C475" s="470"/>
      <c r="D475" s="470"/>
      <c r="E475" s="470"/>
      <c r="F475" s="470"/>
      <c r="G475" s="470"/>
      <c r="H475" s="470"/>
      <c r="I475" s="470"/>
      <c r="J475" s="470"/>
      <c r="K475" s="513"/>
    </row>
    <row r="476" spans="1:11" x14ac:dyDescent="0.2">
      <c r="A476" s="470"/>
      <c r="B476" s="470"/>
      <c r="C476" s="470"/>
      <c r="D476" s="470"/>
      <c r="E476" s="470"/>
      <c r="F476" s="470"/>
      <c r="G476" s="470"/>
      <c r="H476" s="470"/>
      <c r="I476" s="470"/>
      <c r="J476" s="470"/>
      <c r="K476" s="513"/>
    </row>
    <row r="477" spans="1:11" x14ac:dyDescent="0.2">
      <c r="A477" s="470"/>
      <c r="B477" s="470"/>
      <c r="C477" s="470"/>
      <c r="D477" s="470"/>
      <c r="E477" s="470"/>
      <c r="F477" s="470"/>
      <c r="G477" s="470"/>
      <c r="H477" s="470"/>
      <c r="I477" s="470"/>
      <c r="J477" s="470"/>
      <c r="K477" s="513"/>
    </row>
    <row r="478" spans="1:11" x14ac:dyDescent="0.2">
      <c r="A478" s="470"/>
      <c r="B478" s="470"/>
      <c r="C478" s="470"/>
      <c r="D478" s="470"/>
      <c r="E478" s="470"/>
      <c r="F478" s="470"/>
      <c r="G478" s="470"/>
      <c r="H478" s="470"/>
      <c r="I478" s="470"/>
      <c r="J478" s="470"/>
      <c r="K478" s="513"/>
    </row>
    <row r="479" spans="1:11" x14ac:dyDescent="0.2">
      <c r="A479" s="470"/>
      <c r="B479" s="470"/>
      <c r="C479" s="470"/>
      <c r="D479" s="470"/>
      <c r="E479" s="470"/>
      <c r="F479" s="470"/>
      <c r="G479" s="470"/>
      <c r="H479" s="470"/>
      <c r="I479" s="470"/>
      <c r="J479" s="470"/>
      <c r="K479" s="513"/>
    </row>
    <row r="480" spans="1:11" x14ac:dyDescent="0.2">
      <c r="A480" s="470"/>
      <c r="B480" s="470"/>
      <c r="C480" s="470"/>
      <c r="D480" s="470"/>
      <c r="E480" s="470"/>
      <c r="F480" s="470"/>
      <c r="G480" s="470"/>
      <c r="H480" s="470"/>
      <c r="I480" s="470"/>
      <c r="J480" s="470"/>
      <c r="K480" s="513"/>
    </row>
    <row r="481" spans="1:11" x14ac:dyDescent="0.2">
      <c r="A481" s="470"/>
      <c r="B481" s="470"/>
      <c r="C481" s="470"/>
      <c r="D481" s="470"/>
      <c r="E481" s="470"/>
      <c r="F481" s="470"/>
      <c r="G481" s="470"/>
      <c r="H481" s="470"/>
      <c r="I481" s="470"/>
      <c r="J481" s="470"/>
      <c r="K481" s="513"/>
    </row>
    <row r="482" spans="1:11" x14ac:dyDescent="0.2">
      <c r="A482" s="470"/>
      <c r="B482" s="470"/>
      <c r="C482" s="470"/>
      <c r="D482" s="470"/>
      <c r="E482" s="470"/>
      <c r="F482" s="470"/>
      <c r="G482" s="470"/>
      <c r="H482" s="470"/>
      <c r="I482" s="470"/>
      <c r="J482" s="470"/>
      <c r="K482" s="513"/>
    </row>
    <row r="483" spans="1:11" x14ac:dyDescent="0.2">
      <c r="A483" s="470"/>
      <c r="B483" s="470"/>
      <c r="C483" s="470"/>
      <c r="D483" s="470"/>
      <c r="E483" s="470"/>
      <c r="F483" s="470"/>
      <c r="G483" s="470"/>
      <c r="H483" s="470"/>
      <c r="I483" s="470"/>
      <c r="J483" s="470"/>
      <c r="K483" s="513"/>
    </row>
    <row r="484" spans="1:11" x14ac:dyDescent="0.2">
      <c r="A484" s="470"/>
      <c r="B484" s="470"/>
      <c r="C484" s="470"/>
      <c r="D484" s="470"/>
      <c r="E484" s="470"/>
      <c r="F484" s="470"/>
      <c r="G484" s="470"/>
      <c r="H484" s="470"/>
      <c r="I484" s="470"/>
      <c r="J484" s="470"/>
      <c r="K484" s="513"/>
    </row>
    <row r="485" spans="1:11" x14ac:dyDescent="0.2">
      <c r="A485" s="470"/>
      <c r="B485" s="470"/>
      <c r="C485" s="470"/>
      <c r="D485" s="470"/>
      <c r="E485" s="470"/>
      <c r="F485" s="470"/>
      <c r="G485" s="470"/>
      <c r="H485" s="470"/>
      <c r="I485" s="470"/>
      <c r="J485" s="470"/>
      <c r="K485" s="513"/>
    </row>
    <row r="486" spans="1:11" x14ac:dyDescent="0.2">
      <c r="A486" s="470"/>
      <c r="B486" s="470"/>
      <c r="C486" s="470"/>
      <c r="D486" s="470"/>
      <c r="E486" s="470"/>
      <c r="F486" s="470"/>
      <c r="G486" s="470"/>
      <c r="H486" s="470"/>
      <c r="I486" s="470"/>
      <c r="J486" s="470"/>
      <c r="K486" s="513"/>
    </row>
    <row r="487" spans="1:11" x14ac:dyDescent="0.2">
      <c r="A487" s="470"/>
      <c r="B487" s="470"/>
      <c r="C487" s="470"/>
      <c r="D487" s="470"/>
      <c r="E487" s="470"/>
      <c r="F487" s="470"/>
      <c r="G487" s="470"/>
      <c r="H487" s="470"/>
      <c r="I487" s="470"/>
      <c r="J487" s="470"/>
      <c r="K487" s="513"/>
    </row>
    <row r="488" spans="1:11" x14ac:dyDescent="0.2">
      <c r="A488" s="470"/>
      <c r="B488" s="470"/>
      <c r="C488" s="470"/>
      <c r="D488" s="470"/>
      <c r="E488" s="470"/>
      <c r="F488" s="470"/>
      <c r="G488" s="470"/>
      <c r="H488" s="470"/>
      <c r="I488" s="470"/>
      <c r="J488" s="470"/>
      <c r="K488" s="513"/>
    </row>
    <row r="489" spans="1:11" x14ac:dyDescent="0.2">
      <c r="A489" s="470"/>
      <c r="B489" s="470"/>
      <c r="C489" s="470"/>
      <c r="D489" s="470"/>
      <c r="E489" s="470"/>
      <c r="F489" s="470"/>
      <c r="G489" s="470"/>
      <c r="H489" s="470"/>
      <c r="I489" s="470"/>
      <c r="J489" s="470"/>
      <c r="K489" s="513"/>
    </row>
    <row r="490" spans="1:11" x14ac:dyDescent="0.2">
      <c r="A490" s="470"/>
      <c r="B490" s="470"/>
      <c r="C490" s="470"/>
      <c r="D490" s="470"/>
      <c r="E490" s="470"/>
      <c r="F490" s="470"/>
      <c r="G490" s="470"/>
      <c r="H490" s="470"/>
      <c r="I490" s="470"/>
      <c r="J490" s="470"/>
      <c r="K490" s="513"/>
    </row>
    <row r="491" spans="1:11" x14ac:dyDescent="0.2">
      <c r="A491" s="470"/>
      <c r="B491" s="470"/>
      <c r="C491" s="470"/>
      <c r="D491" s="470"/>
      <c r="E491" s="470"/>
      <c r="F491" s="470"/>
      <c r="G491" s="470"/>
      <c r="H491" s="470"/>
      <c r="I491" s="470"/>
      <c r="J491" s="470"/>
      <c r="K491" s="513"/>
    </row>
    <row r="492" spans="1:11" x14ac:dyDescent="0.2">
      <c r="A492" s="470"/>
      <c r="B492" s="470"/>
      <c r="C492" s="470"/>
      <c r="D492" s="470"/>
      <c r="E492" s="470"/>
      <c r="F492" s="470"/>
      <c r="G492" s="470"/>
      <c r="H492" s="470"/>
      <c r="I492" s="470"/>
      <c r="J492" s="470"/>
      <c r="K492" s="513"/>
    </row>
    <row r="493" spans="1:11" x14ac:dyDescent="0.2">
      <c r="A493" s="470"/>
      <c r="B493" s="470"/>
      <c r="C493" s="470"/>
      <c r="D493" s="470"/>
      <c r="E493" s="470"/>
      <c r="F493" s="470"/>
      <c r="G493" s="470"/>
      <c r="H493" s="470"/>
      <c r="I493" s="470"/>
      <c r="J493" s="470"/>
      <c r="K493" s="513"/>
    </row>
    <row r="494" spans="1:11" x14ac:dyDescent="0.2">
      <c r="A494" s="470"/>
      <c r="B494" s="470"/>
      <c r="C494" s="470"/>
      <c r="D494" s="470"/>
      <c r="E494" s="470"/>
      <c r="F494" s="470"/>
      <c r="G494" s="470"/>
      <c r="H494" s="470"/>
      <c r="I494" s="470"/>
      <c r="J494" s="470"/>
      <c r="K494" s="513"/>
    </row>
    <row r="495" spans="1:11" x14ac:dyDescent="0.2">
      <c r="A495" s="470"/>
      <c r="B495" s="470"/>
      <c r="C495" s="470"/>
      <c r="D495" s="470"/>
      <c r="E495" s="470"/>
      <c r="F495" s="470"/>
      <c r="G495" s="470"/>
      <c r="H495" s="470"/>
      <c r="I495" s="470"/>
      <c r="J495" s="470"/>
      <c r="K495" s="513"/>
    </row>
    <row r="496" spans="1:11" x14ac:dyDescent="0.2">
      <c r="A496" s="470"/>
      <c r="B496" s="470"/>
      <c r="C496" s="470"/>
      <c r="D496" s="470"/>
      <c r="E496" s="470"/>
      <c r="F496" s="470"/>
      <c r="G496" s="470"/>
      <c r="H496" s="470"/>
      <c r="I496" s="470"/>
      <c r="J496" s="470"/>
      <c r="K496" s="513"/>
    </row>
    <row r="497" spans="1:11" x14ac:dyDescent="0.2">
      <c r="A497" s="470"/>
      <c r="B497" s="470"/>
      <c r="C497" s="470"/>
      <c r="D497" s="470"/>
      <c r="E497" s="470"/>
      <c r="F497" s="470"/>
      <c r="G497" s="470"/>
      <c r="H497" s="470"/>
      <c r="I497" s="470"/>
      <c r="J497" s="470"/>
      <c r="K497" s="513"/>
    </row>
    <row r="498" spans="1:11" x14ac:dyDescent="0.2">
      <c r="A498" s="470"/>
      <c r="B498" s="470"/>
      <c r="C498" s="470"/>
      <c r="D498" s="470"/>
      <c r="E498" s="470"/>
      <c r="F498" s="470"/>
      <c r="G498" s="470"/>
      <c r="H498" s="470"/>
      <c r="I498" s="470"/>
      <c r="J498" s="470"/>
      <c r="K498" s="513"/>
    </row>
    <row r="499" spans="1:11" x14ac:dyDescent="0.2">
      <c r="A499" s="470"/>
      <c r="B499" s="470"/>
      <c r="C499" s="470"/>
      <c r="D499" s="470"/>
      <c r="E499" s="470"/>
      <c r="F499" s="470"/>
      <c r="G499" s="470"/>
      <c r="H499" s="470"/>
      <c r="I499" s="470"/>
      <c r="J499" s="470"/>
      <c r="K499" s="513"/>
    </row>
    <row r="500" spans="1:11" x14ac:dyDescent="0.2">
      <c r="A500" s="470"/>
      <c r="B500" s="470"/>
      <c r="C500" s="470"/>
      <c r="D500" s="470"/>
      <c r="E500" s="470"/>
      <c r="F500" s="470"/>
      <c r="G500" s="470"/>
      <c r="H500" s="470"/>
      <c r="I500" s="470"/>
      <c r="J500" s="470"/>
      <c r="K500" s="513"/>
    </row>
    <row r="501" spans="1:11" x14ac:dyDescent="0.2">
      <c r="A501" s="470"/>
      <c r="B501" s="470"/>
      <c r="C501" s="470"/>
      <c r="D501" s="470"/>
      <c r="E501" s="470"/>
      <c r="F501" s="470"/>
      <c r="G501" s="470"/>
      <c r="H501" s="470"/>
      <c r="I501" s="470"/>
      <c r="J501" s="470"/>
      <c r="K501" s="513"/>
    </row>
    <row r="502" spans="1:11" x14ac:dyDescent="0.2">
      <c r="A502" s="470"/>
      <c r="B502" s="470"/>
      <c r="C502" s="470"/>
      <c r="D502" s="470"/>
      <c r="E502" s="470"/>
      <c r="F502" s="470"/>
      <c r="G502" s="470"/>
      <c r="H502" s="470"/>
      <c r="I502" s="470"/>
      <c r="J502" s="470"/>
      <c r="K502" s="513"/>
    </row>
    <row r="503" spans="1:11" x14ac:dyDescent="0.2">
      <c r="A503" s="470"/>
      <c r="B503" s="470"/>
      <c r="C503" s="470"/>
      <c r="D503" s="470"/>
      <c r="E503" s="470"/>
      <c r="F503" s="470"/>
      <c r="G503" s="470"/>
      <c r="H503" s="470"/>
      <c r="I503" s="470"/>
      <c r="J503" s="470"/>
      <c r="K503" s="513"/>
    </row>
    <row r="504" spans="1:11" x14ac:dyDescent="0.2">
      <c r="A504" s="470"/>
      <c r="B504" s="470"/>
      <c r="C504" s="470"/>
      <c r="D504" s="470"/>
      <c r="E504" s="470"/>
      <c r="F504" s="470"/>
      <c r="G504" s="470"/>
      <c r="H504" s="470"/>
      <c r="I504" s="470"/>
      <c r="J504" s="470"/>
      <c r="K504" s="513"/>
    </row>
    <row r="505" spans="1:11" x14ac:dyDescent="0.2">
      <c r="A505" s="470"/>
      <c r="B505" s="470"/>
      <c r="C505" s="470"/>
      <c r="D505" s="470"/>
      <c r="E505" s="470"/>
      <c r="F505" s="470"/>
      <c r="G505" s="470"/>
      <c r="H505" s="470"/>
      <c r="I505" s="470"/>
      <c r="J505" s="470"/>
      <c r="K505" s="513"/>
    </row>
    <row r="506" spans="1:11" x14ac:dyDescent="0.2">
      <c r="A506" s="470"/>
      <c r="B506" s="470"/>
      <c r="C506" s="470"/>
      <c r="D506" s="470"/>
      <c r="E506" s="470"/>
      <c r="F506" s="470"/>
      <c r="G506" s="470"/>
      <c r="H506" s="470"/>
      <c r="I506" s="470"/>
      <c r="J506" s="470"/>
      <c r="K506" s="513"/>
    </row>
    <row r="507" spans="1:11" x14ac:dyDescent="0.2">
      <c r="A507" s="470"/>
      <c r="B507" s="470"/>
      <c r="C507" s="470"/>
      <c r="D507" s="470"/>
      <c r="E507" s="470"/>
      <c r="F507" s="470"/>
      <c r="G507" s="470"/>
      <c r="H507" s="470"/>
      <c r="I507" s="470"/>
      <c r="J507" s="470"/>
      <c r="K507" s="513"/>
    </row>
    <row r="508" spans="1:11" x14ac:dyDescent="0.2">
      <c r="A508" s="470"/>
      <c r="B508" s="470"/>
      <c r="C508" s="470"/>
      <c r="D508" s="470"/>
      <c r="E508" s="470"/>
      <c r="F508" s="470"/>
      <c r="G508" s="470"/>
      <c r="H508" s="470"/>
      <c r="I508" s="470"/>
      <c r="J508" s="470"/>
      <c r="K508" s="513"/>
    </row>
    <row r="509" spans="1:11" x14ac:dyDescent="0.2">
      <c r="A509" s="470"/>
      <c r="B509" s="470"/>
      <c r="C509" s="470"/>
      <c r="D509" s="470"/>
      <c r="E509" s="470"/>
      <c r="F509" s="470"/>
      <c r="G509" s="470"/>
      <c r="H509" s="470"/>
      <c r="I509" s="470"/>
      <c r="J509" s="470"/>
      <c r="K509" s="513"/>
    </row>
    <row r="510" spans="1:11" x14ac:dyDescent="0.2">
      <c r="A510" s="470"/>
      <c r="B510" s="470"/>
      <c r="C510" s="470"/>
      <c r="D510" s="470"/>
      <c r="E510" s="470"/>
      <c r="F510" s="470"/>
      <c r="G510" s="470"/>
      <c r="H510" s="470"/>
      <c r="I510" s="470"/>
      <c r="J510" s="470"/>
      <c r="K510" s="513"/>
    </row>
    <row r="511" spans="1:11" x14ac:dyDescent="0.2">
      <c r="A511" s="470"/>
      <c r="B511" s="470"/>
      <c r="C511" s="470"/>
      <c r="D511" s="470"/>
      <c r="E511" s="470"/>
      <c r="F511" s="470"/>
      <c r="G511" s="470"/>
      <c r="H511" s="470"/>
      <c r="I511" s="470"/>
      <c r="J511" s="470"/>
      <c r="K511" s="513"/>
    </row>
    <row r="512" spans="1:11" x14ac:dyDescent="0.2">
      <c r="A512" s="470"/>
      <c r="B512" s="470"/>
      <c r="C512" s="470"/>
      <c r="D512" s="470"/>
      <c r="E512" s="470"/>
      <c r="F512" s="470"/>
      <c r="G512" s="470"/>
      <c r="H512" s="470"/>
      <c r="I512" s="470"/>
      <c r="J512" s="470"/>
      <c r="K512" s="513"/>
    </row>
    <row r="513" spans="1:11" x14ac:dyDescent="0.2">
      <c r="A513" s="470"/>
      <c r="B513" s="470"/>
      <c r="C513" s="470"/>
      <c r="D513" s="470"/>
      <c r="E513" s="470"/>
      <c r="F513" s="470"/>
      <c r="G513" s="470"/>
      <c r="H513" s="470"/>
      <c r="I513" s="470"/>
      <c r="J513" s="470"/>
      <c r="K513" s="513"/>
    </row>
    <row r="514" spans="1:11" x14ac:dyDescent="0.2">
      <c r="A514" s="470"/>
      <c r="B514" s="470"/>
      <c r="C514" s="470"/>
      <c r="D514" s="470"/>
      <c r="E514" s="470"/>
      <c r="F514" s="470"/>
      <c r="G514" s="470"/>
      <c r="H514" s="470"/>
      <c r="I514" s="470"/>
      <c r="J514" s="470"/>
      <c r="K514" s="513"/>
    </row>
    <row r="515" spans="1:11" x14ac:dyDescent="0.2">
      <c r="A515" s="470"/>
      <c r="B515" s="470"/>
      <c r="C515" s="470"/>
      <c r="D515" s="470"/>
      <c r="E515" s="470"/>
      <c r="F515" s="470"/>
      <c r="G515" s="470"/>
      <c r="H515" s="470"/>
      <c r="I515" s="470"/>
      <c r="J515" s="470"/>
      <c r="K515" s="513"/>
    </row>
    <row r="516" spans="1:11" x14ac:dyDescent="0.2">
      <c r="A516" s="470"/>
      <c r="B516" s="470"/>
      <c r="C516" s="470"/>
      <c r="D516" s="470"/>
      <c r="E516" s="470"/>
      <c r="F516" s="470"/>
      <c r="G516" s="470"/>
      <c r="H516" s="470"/>
      <c r="I516" s="470"/>
      <c r="J516" s="470"/>
      <c r="K516" s="513"/>
    </row>
    <row r="517" spans="1:11" x14ac:dyDescent="0.2">
      <c r="A517" s="470"/>
      <c r="B517" s="470"/>
      <c r="C517" s="470"/>
      <c r="D517" s="470"/>
      <c r="E517" s="470"/>
      <c r="F517" s="470"/>
      <c r="G517" s="470"/>
      <c r="H517" s="470"/>
      <c r="I517" s="470"/>
      <c r="J517" s="470"/>
      <c r="K517" s="513"/>
    </row>
    <row r="518" spans="1:11" x14ac:dyDescent="0.2">
      <c r="A518" s="470"/>
      <c r="B518" s="470"/>
      <c r="C518" s="470"/>
      <c r="D518" s="470"/>
      <c r="E518" s="470"/>
      <c r="F518" s="470"/>
      <c r="G518" s="470"/>
      <c r="H518" s="470"/>
      <c r="I518" s="470"/>
      <c r="J518" s="470"/>
      <c r="K518" s="513"/>
    </row>
    <row r="519" spans="1:11" x14ac:dyDescent="0.2">
      <c r="A519" s="470"/>
      <c r="B519" s="470"/>
      <c r="C519" s="470"/>
      <c r="D519" s="470"/>
      <c r="E519" s="470"/>
      <c r="F519" s="470"/>
      <c r="G519" s="470"/>
      <c r="H519" s="470"/>
      <c r="I519" s="470"/>
      <c r="J519" s="470"/>
      <c r="K519" s="513"/>
    </row>
    <row r="520" spans="1:11" x14ac:dyDescent="0.2">
      <c r="A520" s="470"/>
      <c r="B520" s="470"/>
      <c r="C520" s="470"/>
      <c r="D520" s="470"/>
      <c r="E520" s="470"/>
      <c r="F520" s="470"/>
      <c r="G520" s="470"/>
      <c r="H520" s="470"/>
      <c r="I520" s="470"/>
      <c r="J520" s="470"/>
      <c r="K520" s="513"/>
    </row>
    <row r="521" spans="1:11" x14ac:dyDescent="0.2">
      <c r="A521" s="470"/>
      <c r="B521" s="470"/>
      <c r="C521" s="470"/>
      <c r="D521" s="470"/>
      <c r="E521" s="470"/>
      <c r="F521" s="470"/>
      <c r="G521" s="470"/>
      <c r="H521" s="470"/>
      <c r="I521" s="470"/>
      <c r="J521" s="470"/>
      <c r="K521" s="513"/>
    </row>
    <row r="522" spans="1:11" x14ac:dyDescent="0.2">
      <c r="A522" s="470"/>
      <c r="B522" s="470"/>
      <c r="C522" s="470"/>
      <c r="D522" s="470"/>
      <c r="E522" s="470"/>
      <c r="F522" s="470"/>
      <c r="G522" s="470"/>
      <c r="H522" s="470"/>
      <c r="I522" s="470"/>
      <c r="J522" s="470"/>
      <c r="K522" s="513"/>
    </row>
    <row r="523" spans="1:11" x14ac:dyDescent="0.2">
      <c r="A523" s="470"/>
      <c r="B523" s="470"/>
      <c r="C523" s="470"/>
      <c r="D523" s="470"/>
      <c r="E523" s="470"/>
      <c r="F523" s="470"/>
      <c r="G523" s="470"/>
      <c r="H523" s="470"/>
      <c r="I523" s="470"/>
      <c r="J523" s="470"/>
      <c r="K523" s="513"/>
    </row>
    <row r="524" spans="1:11" x14ac:dyDescent="0.2">
      <c r="A524" s="470"/>
      <c r="B524" s="470"/>
      <c r="C524" s="470"/>
      <c r="D524" s="470"/>
      <c r="E524" s="470"/>
      <c r="F524" s="470"/>
      <c r="G524" s="470"/>
      <c r="H524" s="470"/>
      <c r="I524" s="470"/>
      <c r="J524" s="470"/>
      <c r="K524" s="513"/>
    </row>
    <row r="525" spans="1:11" x14ac:dyDescent="0.2">
      <c r="A525" s="470"/>
      <c r="B525" s="470"/>
      <c r="C525" s="470"/>
      <c r="D525" s="470"/>
      <c r="E525" s="470"/>
      <c r="F525" s="470"/>
      <c r="G525" s="470"/>
      <c r="H525" s="470"/>
      <c r="I525" s="470"/>
      <c r="J525" s="470"/>
      <c r="K525" s="513"/>
    </row>
    <row r="526" spans="1:11" x14ac:dyDescent="0.2">
      <c r="A526" s="470"/>
      <c r="B526" s="470"/>
      <c r="C526" s="470"/>
      <c r="D526" s="470"/>
      <c r="E526" s="470"/>
      <c r="F526" s="470"/>
      <c r="G526" s="470"/>
      <c r="H526" s="470"/>
      <c r="I526" s="470"/>
      <c r="J526" s="470"/>
      <c r="K526" s="513"/>
    </row>
    <row r="527" spans="1:11" x14ac:dyDescent="0.2">
      <c r="A527" s="470"/>
      <c r="B527" s="470"/>
      <c r="C527" s="470"/>
      <c r="D527" s="470"/>
      <c r="E527" s="470"/>
      <c r="F527" s="470"/>
      <c r="G527" s="470"/>
      <c r="H527" s="470"/>
      <c r="I527" s="470"/>
      <c r="J527" s="470"/>
      <c r="K527" s="513"/>
    </row>
    <row r="528" spans="1:11" x14ac:dyDescent="0.2">
      <c r="A528" s="470"/>
      <c r="B528" s="470"/>
      <c r="C528" s="470"/>
      <c r="D528" s="470"/>
      <c r="E528" s="470"/>
      <c r="F528" s="470"/>
      <c r="G528" s="470"/>
      <c r="H528" s="470"/>
      <c r="I528" s="470"/>
      <c r="J528" s="470"/>
      <c r="K528" s="513"/>
    </row>
    <row r="529" spans="1:11" x14ac:dyDescent="0.2">
      <c r="A529" s="470"/>
      <c r="B529" s="470"/>
      <c r="C529" s="470"/>
      <c r="D529" s="470"/>
      <c r="E529" s="470"/>
      <c r="F529" s="470"/>
      <c r="G529" s="470"/>
      <c r="H529" s="470"/>
      <c r="I529" s="470"/>
      <c r="J529" s="470"/>
      <c r="K529" s="513"/>
    </row>
    <row r="530" spans="1:11" x14ac:dyDescent="0.2">
      <c r="A530" s="470"/>
      <c r="B530" s="470"/>
      <c r="C530" s="470"/>
      <c r="D530" s="470"/>
      <c r="E530" s="470"/>
      <c r="F530" s="470"/>
      <c r="G530" s="470"/>
      <c r="H530" s="470"/>
      <c r="I530" s="470"/>
      <c r="J530" s="470"/>
      <c r="K530" s="513"/>
    </row>
    <row r="531" spans="1:11" x14ac:dyDescent="0.2">
      <c r="A531" s="470"/>
      <c r="B531" s="470"/>
      <c r="C531" s="470"/>
      <c r="D531" s="470"/>
      <c r="E531" s="470"/>
      <c r="F531" s="470"/>
      <c r="G531" s="470"/>
      <c r="H531" s="470"/>
      <c r="I531" s="470"/>
      <c r="J531" s="470"/>
      <c r="K531" s="513"/>
    </row>
    <row r="532" spans="1:11" x14ac:dyDescent="0.2">
      <c r="A532" s="470"/>
      <c r="B532" s="470"/>
      <c r="C532" s="470"/>
      <c r="D532" s="470"/>
      <c r="E532" s="470"/>
      <c r="F532" s="470"/>
      <c r="G532" s="470"/>
      <c r="H532" s="470"/>
      <c r="I532" s="470"/>
      <c r="J532" s="470"/>
      <c r="K532" s="513"/>
    </row>
    <row r="533" spans="1:11" x14ac:dyDescent="0.2">
      <c r="A533" s="470"/>
      <c r="B533" s="470"/>
      <c r="C533" s="470"/>
      <c r="D533" s="470"/>
      <c r="E533" s="470"/>
      <c r="F533" s="470"/>
      <c r="G533" s="470"/>
      <c r="H533" s="470"/>
      <c r="I533" s="470"/>
      <c r="J533" s="470"/>
      <c r="K533" s="513"/>
    </row>
    <row r="534" spans="1:11" x14ac:dyDescent="0.2">
      <c r="A534" s="470"/>
      <c r="B534" s="470"/>
      <c r="C534" s="470"/>
      <c r="D534" s="470"/>
      <c r="E534" s="470"/>
      <c r="F534" s="470"/>
      <c r="G534" s="470"/>
      <c r="H534" s="470"/>
      <c r="I534" s="470"/>
      <c r="J534" s="470"/>
      <c r="K534" s="513"/>
    </row>
    <row r="535" spans="1:11" x14ac:dyDescent="0.2">
      <c r="A535" s="470"/>
      <c r="B535" s="470"/>
      <c r="C535" s="470"/>
      <c r="D535" s="470"/>
      <c r="E535" s="470"/>
      <c r="F535" s="470"/>
      <c r="G535" s="470"/>
      <c r="H535" s="470"/>
      <c r="I535" s="470"/>
      <c r="J535" s="470"/>
      <c r="K535" s="513"/>
    </row>
    <row r="536" spans="1:11" x14ac:dyDescent="0.2">
      <c r="A536" s="470"/>
      <c r="B536" s="470"/>
      <c r="C536" s="470"/>
      <c r="D536" s="470"/>
      <c r="E536" s="470"/>
      <c r="F536" s="470"/>
      <c r="G536" s="470"/>
      <c r="H536" s="470"/>
      <c r="I536" s="470"/>
      <c r="J536" s="470"/>
      <c r="K536" s="513"/>
    </row>
    <row r="537" spans="1:11" x14ac:dyDescent="0.2">
      <c r="A537" s="470"/>
      <c r="B537" s="470"/>
      <c r="C537" s="470"/>
      <c r="D537" s="470"/>
      <c r="E537" s="470"/>
      <c r="F537" s="470"/>
      <c r="G537" s="470"/>
      <c r="H537" s="470"/>
      <c r="I537" s="470"/>
      <c r="J537" s="470"/>
      <c r="K537" s="513"/>
    </row>
    <row r="538" spans="1:11" x14ac:dyDescent="0.2">
      <c r="A538" s="470"/>
      <c r="B538" s="470"/>
      <c r="C538" s="470"/>
      <c r="D538" s="470"/>
      <c r="E538" s="470"/>
      <c r="F538" s="470"/>
      <c r="G538" s="470"/>
      <c r="H538" s="470"/>
      <c r="I538" s="470"/>
      <c r="J538" s="470"/>
      <c r="K538" s="513"/>
    </row>
    <row r="539" spans="1:11" x14ac:dyDescent="0.2">
      <c r="A539" s="470"/>
      <c r="B539" s="470"/>
      <c r="C539" s="470"/>
      <c r="D539" s="470"/>
      <c r="E539" s="470"/>
      <c r="F539" s="470"/>
      <c r="G539" s="470"/>
      <c r="H539" s="470"/>
      <c r="I539" s="470"/>
      <c r="J539" s="470"/>
      <c r="K539" s="513"/>
    </row>
    <row r="540" spans="1:11" x14ac:dyDescent="0.2">
      <c r="A540" s="470"/>
      <c r="B540" s="470"/>
      <c r="C540" s="470"/>
      <c r="D540" s="470"/>
      <c r="E540" s="470"/>
      <c r="F540" s="470"/>
      <c r="G540" s="470"/>
      <c r="H540" s="470"/>
      <c r="I540" s="470"/>
      <c r="J540" s="470"/>
      <c r="K540" s="513"/>
    </row>
    <row r="541" spans="1:11" x14ac:dyDescent="0.2">
      <c r="A541" s="470"/>
      <c r="B541" s="470"/>
      <c r="C541" s="470"/>
      <c r="D541" s="470"/>
      <c r="E541" s="470"/>
      <c r="F541" s="470"/>
      <c r="G541" s="470"/>
      <c r="H541" s="470"/>
      <c r="I541" s="470"/>
      <c r="J541" s="470"/>
      <c r="K541" s="513"/>
    </row>
    <row r="542" spans="1:11" x14ac:dyDescent="0.2">
      <c r="A542" s="470"/>
      <c r="B542" s="470"/>
      <c r="C542" s="470"/>
      <c r="D542" s="470"/>
      <c r="E542" s="470"/>
      <c r="F542" s="470"/>
      <c r="G542" s="470"/>
      <c r="H542" s="470"/>
      <c r="I542" s="470"/>
      <c r="J542" s="470"/>
      <c r="K542" s="513"/>
    </row>
    <row r="543" spans="1:11" x14ac:dyDescent="0.2">
      <c r="A543" s="470"/>
      <c r="B543" s="470"/>
      <c r="C543" s="470"/>
      <c r="D543" s="470"/>
      <c r="E543" s="470"/>
      <c r="F543" s="470"/>
      <c r="G543" s="470"/>
      <c r="H543" s="470"/>
      <c r="I543" s="470"/>
      <c r="J543" s="470"/>
      <c r="K543" s="513"/>
    </row>
    <row r="544" spans="1:11" x14ac:dyDescent="0.2">
      <c r="A544" s="470"/>
      <c r="B544" s="470"/>
      <c r="C544" s="470"/>
      <c r="D544" s="470"/>
      <c r="E544" s="470"/>
      <c r="F544" s="470"/>
      <c r="G544" s="470"/>
      <c r="H544" s="470"/>
      <c r="I544" s="470"/>
      <c r="J544" s="470"/>
      <c r="K544" s="513"/>
    </row>
    <row r="545" spans="1:11" x14ac:dyDescent="0.2">
      <c r="A545" s="470"/>
      <c r="B545" s="470"/>
      <c r="C545" s="470"/>
      <c r="D545" s="470"/>
      <c r="E545" s="470"/>
      <c r="F545" s="470"/>
      <c r="G545" s="470"/>
      <c r="H545" s="470"/>
      <c r="I545" s="470"/>
      <c r="J545" s="470"/>
      <c r="K545" s="513"/>
    </row>
    <row r="546" spans="1:11" x14ac:dyDescent="0.2">
      <c r="A546" s="470"/>
      <c r="B546" s="470"/>
      <c r="C546" s="470"/>
      <c r="D546" s="470"/>
      <c r="E546" s="470"/>
      <c r="F546" s="470"/>
      <c r="G546" s="470"/>
      <c r="H546" s="470"/>
      <c r="I546" s="470"/>
      <c r="J546" s="470"/>
      <c r="K546" s="513"/>
    </row>
    <row r="547" spans="1:11" x14ac:dyDescent="0.2">
      <c r="A547" s="470"/>
      <c r="B547" s="470"/>
      <c r="C547" s="470"/>
      <c r="D547" s="470"/>
      <c r="E547" s="470"/>
      <c r="F547" s="470"/>
      <c r="G547" s="470"/>
      <c r="H547" s="470"/>
      <c r="I547" s="470"/>
      <c r="J547" s="470"/>
      <c r="K547" s="513"/>
    </row>
    <row r="548" spans="1:11" x14ac:dyDescent="0.2">
      <c r="A548" s="470"/>
      <c r="B548" s="470"/>
      <c r="C548" s="470"/>
      <c r="D548" s="470"/>
      <c r="E548" s="470"/>
      <c r="F548" s="470"/>
      <c r="G548" s="470"/>
      <c r="H548" s="470"/>
      <c r="I548" s="470"/>
      <c r="J548" s="470"/>
      <c r="K548" s="513"/>
    </row>
    <row r="549" spans="1:11" x14ac:dyDescent="0.2">
      <c r="A549" s="470"/>
      <c r="B549" s="470"/>
      <c r="C549" s="470"/>
      <c r="D549" s="470"/>
      <c r="E549" s="470"/>
      <c r="F549" s="470"/>
      <c r="G549" s="470"/>
      <c r="H549" s="470"/>
      <c r="I549" s="470"/>
      <c r="J549" s="470"/>
      <c r="K549" s="513"/>
    </row>
    <row r="550" spans="1:11" x14ac:dyDescent="0.2">
      <c r="A550" s="470"/>
      <c r="B550" s="470"/>
      <c r="C550" s="470"/>
      <c r="D550" s="470"/>
      <c r="E550" s="470"/>
      <c r="F550" s="470"/>
      <c r="G550" s="470"/>
      <c r="H550" s="470"/>
      <c r="I550" s="470"/>
      <c r="J550" s="470"/>
      <c r="K550" s="513"/>
    </row>
    <row r="551" spans="1:11" x14ac:dyDescent="0.2">
      <c r="A551" s="470"/>
      <c r="B551" s="470"/>
      <c r="C551" s="470"/>
      <c r="D551" s="470"/>
      <c r="E551" s="470"/>
      <c r="F551" s="470"/>
      <c r="G551" s="470"/>
      <c r="H551" s="470"/>
      <c r="I551" s="470"/>
      <c r="J551" s="470"/>
      <c r="K551" s="513"/>
    </row>
    <row r="552" spans="1:11" x14ac:dyDescent="0.2">
      <c r="A552" s="470"/>
      <c r="B552" s="470"/>
      <c r="C552" s="470"/>
      <c r="D552" s="470"/>
      <c r="E552" s="470"/>
      <c r="F552" s="470"/>
      <c r="G552" s="470"/>
      <c r="H552" s="470"/>
      <c r="I552" s="470"/>
      <c r="J552" s="470"/>
      <c r="K552" s="513"/>
    </row>
    <row r="553" spans="1:11" x14ac:dyDescent="0.2">
      <c r="A553" s="470"/>
      <c r="B553" s="470"/>
      <c r="C553" s="470"/>
      <c r="D553" s="470"/>
      <c r="E553" s="470"/>
      <c r="F553" s="470"/>
      <c r="G553" s="470"/>
      <c r="H553" s="470"/>
      <c r="I553" s="470"/>
      <c r="J553" s="470"/>
      <c r="K553" s="513"/>
    </row>
    <row r="554" spans="1:11" x14ac:dyDescent="0.2">
      <c r="A554" s="470"/>
      <c r="B554" s="470"/>
      <c r="C554" s="470"/>
      <c r="D554" s="470"/>
      <c r="E554" s="470"/>
      <c r="F554" s="470"/>
      <c r="G554" s="470"/>
      <c r="H554" s="470"/>
      <c r="I554" s="470"/>
      <c r="J554" s="470"/>
      <c r="K554" s="513"/>
    </row>
    <row r="555" spans="1:11" x14ac:dyDescent="0.2">
      <c r="A555" s="470"/>
      <c r="B555" s="470"/>
      <c r="C555" s="470"/>
      <c r="D555" s="470"/>
      <c r="E555" s="470"/>
      <c r="F555" s="470"/>
      <c r="G555" s="470"/>
      <c r="H555" s="470"/>
      <c r="I555" s="470"/>
      <c r="J555" s="470"/>
      <c r="K555" s="513"/>
    </row>
    <row r="556" spans="1:11" x14ac:dyDescent="0.2">
      <c r="A556" s="470"/>
      <c r="B556" s="470"/>
      <c r="C556" s="470"/>
      <c r="D556" s="470"/>
      <c r="E556" s="470"/>
      <c r="F556" s="470"/>
      <c r="G556" s="470"/>
      <c r="H556" s="470"/>
      <c r="I556" s="470"/>
      <c r="J556" s="470"/>
      <c r="K556" s="513"/>
    </row>
    <row r="557" spans="1:11" x14ac:dyDescent="0.2">
      <c r="A557" s="470"/>
      <c r="B557" s="470"/>
      <c r="C557" s="470"/>
      <c r="D557" s="470"/>
      <c r="E557" s="470"/>
      <c r="F557" s="470"/>
      <c r="G557" s="470"/>
      <c r="H557" s="470"/>
      <c r="I557" s="470"/>
      <c r="J557" s="470"/>
      <c r="K557" s="513"/>
    </row>
    <row r="558" spans="1:11" x14ac:dyDescent="0.2">
      <c r="A558" s="470"/>
      <c r="B558" s="470"/>
      <c r="C558" s="470"/>
      <c r="D558" s="470"/>
      <c r="E558" s="470"/>
      <c r="F558" s="470"/>
      <c r="G558" s="470"/>
      <c r="H558" s="470"/>
      <c r="I558" s="470"/>
      <c r="J558" s="470"/>
      <c r="K558" s="513"/>
    </row>
    <row r="559" spans="1:11" x14ac:dyDescent="0.2">
      <c r="A559" s="470"/>
      <c r="B559" s="470"/>
      <c r="C559" s="470"/>
      <c r="D559" s="470"/>
      <c r="E559" s="470"/>
      <c r="F559" s="470"/>
      <c r="G559" s="470"/>
      <c r="H559" s="470"/>
      <c r="I559" s="470"/>
      <c r="J559" s="470"/>
      <c r="K559" s="513"/>
    </row>
    <row r="560" spans="1:11" x14ac:dyDescent="0.2">
      <c r="A560" s="470"/>
      <c r="B560" s="470"/>
      <c r="C560" s="470"/>
      <c r="D560" s="470"/>
      <c r="E560" s="470"/>
      <c r="F560" s="470"/>
      <c r="G560" s="470"/>
      <c r="H560" s="470"/>
      <c r="I560" s="470"/>
      <c r="J560" s="470"/>
      <c r="K560" s="513"/>
    </row>
    <row r="561" spans="1:11" x14ac:dyDescent="0.2">
      <c r="A561" s="470"/>
      <c r="B561" s="470"/>
      <c r="C561" s="470"/>
      <c r="D561" s="470"/>
      <c r="E561" s="470"/>
      <c r="F561" s="470"/>
      <c r="G561" s="470"/>
      <c r="H561" s="470"/>
      <c r="I561" s="470"/>
      <c r="J561" s="470"/>
      <c r="K561" s="513"/>
    </row>
    <row r="562" spans="1:11" x14ac:dyDescent="0.2">
      <c r="A562" s="470"/>
      <c r="B562" s="470"/>
      <c r="C562" s="470"/>
      <c r="D562" s="470"/>
      <c r="E562" s="470"/>
      <c r="F562" s="470"/>
      <c r="G562" s="470"/>
      <c r="H562" s="470"/>
      <c r="I562" s="470"/>
      <c r="J562" s="470"/>
      <c r="K562" s="513"/>
    </row>
    <row r="563" spans="1:11" x14ac:dyDescent="0.2">
      <c r="A563" s="470"/>
      <c r="B563" s="470"/>
      <c r="C563" s="470"/>
      <c r="D563" s="470"/>
      <c r="E563" s="470"/>
      <c r="F563" s="470"/>
      <c r="G563" s="470"/>
      <c r="H563" s="470"/>
      <c r="I563" s="470"/>
      <c r="J563" s="470"/>
      <c r="K563" s="513"/>
    </row>
    <row r="564" spans="1:11" x14ac:dyDescent="0.2">
      <c r="A564" s="470"/>
      <c r="B564" s="470"/>
      <c r="C564" s="470"/>
      <c r="D564" s="470"/>
      <c r="E564" s="470"/>
      <c r="F564" s="470"/>
      <c r="G564" s="470"/>
      <c r="H564" s="470"/>
      <c r="I564" s="470"/>
      <c r="J564" s="470"/>
      <c r="K564" s="513"/>
    </row>
    <row r="565" spans="1:11" x14ac:dyDescent="0.2">
      <c r="A565" s="470"/>
      <c r="B565" s="470"/>
      <c r="C565" s="470"/>
      <c r="D565" s="470"/>
      <c r="E565" s="470"/>
      <c r="F565" s="470"/>
      <c r="G565" s="470"/>
      <c r="H565" s="470"/>
      <c r="I565" s="470"/>
      <c r="J565" s="470"/>
      <c r="K565" s="513"/>
    </row>
    <row r="566" spans="1:11" x14ac:dyDescent="0.2">
      <c r="A566" s="470"/>
      <c r="B566" s="470"/>
      <c r="C566" s="470"/>
      <c r="D566" s="470"/>
      <c r="E566" s="470"/>
      <c r="F566" s="470"/>
      <c r="G566" s="470"/>
      <c r="H566" s="470"/>
      <c r="I566" s="470"/>
      <c r="J566" s="470"/>
      <c r="K566" s="513"/>
    </row>
    <row r="567" spans="1:11" x14ac:dyDescent="0.2">
      <c r="A567" s="470"/>
      <c r="B567" s="470"/>
      <c r="C567" s="470"/>
      <c r="D567" s="470"/>
      <c r="E567" s="470"/>
      <c r="F567" s="470"/>
      <c r="G567" s="470"/>
      <c r="H567" s="470"/>
      <c r="I567" s="470"/>
      <c r="J567" s="470"/>
      <c r="K567" s="513"/>
    </row>
    <row r="568" spans="1:11" x14ac:dyDescent="0.2">
      <c r="A568" s="470"/>
      <c r="B568" s="470"/>
      <c r="C568" s="470"/>
      <c r="D568" s="470"/>
      <c r="E568" s="470"/>
      <c r="F568" s="470"/>
      <c r="G568" s="470"/>
      <c r="H568" s="470"/>
      <c r="I568" s="470"/>
      <c r="J568" s="470"/>
      <c r="K568" s="513"/>
    </row>
    <row r="569" spans="1:11" x14ac:dyDescent="0.2">
      <c r="A569" s="470"/>
      <c r="B569" s="470"/>
      <c r="C569" s="470"/>
      <c r="D569" s="470"/>
      <c r="E569" s="470"/>
      <c r="F569" s="470"/>
      <c r="G569" s="470"/>
      <c r="H569" s="470"/>
      <c r="I569" s="470"/>
      <c r="J569" s="470"/>
      <c r="K569" s="513"/>
    </row>
    <row r="570" spans="1:11" x14ac:dyDescent="0.2">
      <c r="A570" s="470"/>
      <c r="B570" s="470"/>
      <c r="C570" s="470"/>
      <c r="D570" s="470"/>
      <c r="E570" s="470"/>
      <c r="F570" s="470"/>
      <c r="G570" s="470"/>
      <c r="H570" s="470"/>
      <c r="I570" s="470"/>
      <c r="J570" s="470"/>
      <c r="K570" s="513"/>
    </row>
    <row r="571" spans="1:11" x14ac:dyDescent="0.2">
      <c r="A571" s="470"/>
      <c r="B571" s="470"/>
      <c r="C571" s="470"/>
      <c r="D571" s="470"/>
      <c r="E571" s="470"/>
      <c r="F571" s="470"/>
      <c r="G571" s="470"/>
      <c r="H571" s="470"/>
      <c r="I571" s="470"/>
      <c r="J571" s="470"/>
      <c r="K571" s="513"/>
    </row>
    <row r="572" spans="1:11" x14ac:dyDescent="0.2">
      <c r="A572" s="470"/>
      <c r="B572" s="470"/>
      <c r="C572" s="470"/>
      <c r="D572" s="470"/>
      <c r="E572" s="470"/>
      <c r="F572" s="470"/>
      <c r="G572" s="470"/>
      <c r="H572" s="470"/>
      <c r="I572" s="470"/>
      <c r="J572" s="470"/>
      <c r="K572" s="513"/>
    </row>
    <row r="573" spans="1:11" x14ac:dyDescent="0.2">
      <c r="A573" s="470"/>
      <c r="B573" s="470"/>
      <c r="C573" s="470"/>
      <c r="D573" s="470"/>
      <c r="E573" s="470"/>
      <c r="F573" s="470"/>
      <c r="G573" s="470"/>
      <c r="H573" s="470"/>
      <c r="I573" s="470"/>
      <c r="J573" s="470"/>
      <c r="K573" s="513"/>
    </row>
    <row r="574" spans="1:11" x14ac:dyDescent="0.2">
      <c r="A574" s="470"/>
      <c r="B574" s="470"/>
      <c r="C574" s="470"/>
      <c r="D574" s="470"/>
      <c r="E574" s="470"/>
      <c r="F574" s="470"/>
      <c r="G574" s="470"/>
      <c r="H574" s="470"/>
      <c r="I574" s="470"/>
      <c r="J574" s="470"/>
      <c r="K574" s="513"/>
    </row>
    <row r="575" spans="1:11" x14ac:dyDescent="0.2">
      <c r="A575" s="470"/>
      <c r="B575" s="470"/>
      <c r="C575" s="470"/>
      <c r="D575" s="470"/>
      <c r="E575" s="470"/>
      <c r="F575" s="470"/>
      <c r="G575" s="470"/>
      <c r="H575" s="470"/>
      <c r="I575" s="470"/>
      <c r="J575" s="470"/>
      <c r="K575" s="513"/>
    </row>
    <row r="576" spans="1:11" x14ac:dyDescent="0.2">
      <c r="A576" s="470"/>
      <c r="B576" s="470"/>
      <c r="C576" s="470"/>
      <c r="D576" s="470"/>
      <c r="E576" s="470"/>
      <c r="F576" s="470"/>
      <c r="G576" s="470"/>
      <c r="H576" s="470"/>
      <c r="I576" s="470"/>
      <c r="J576" s="470"/>
      <c r="K576" s="513"/>
    </row>
    <row r="577" spans="1:11" x14ac:dyDescent="0.2">
      <c r="A577" s="470"/>
      <c r="B577" s="470"/>
      <c r="C577" s="470"/>
      <c r="D577" s="470"/>
      <c r="E577" s="470"/>
      <c r="F577" s="470"/>
      <c r="G577" s="470"/>
      <c r="H577" s="470"/>
      <c r="I577" s="470"/>
      <c r="J577" s="470"/>
      <c r="K577" s="513"/>
    </row>
    <row r="578" spans="1:11" x14ac:dyDescent="0.2">
      <c r="A578" s="470"/>
      <c r="B578" s="470"/>
      <c r="C578" s="470"/>
      <c r="D578" s="470"/>
      <c r="E578" s="470"/>
      <c r="F578" s="470"/>
      <c r="G578" s="470"/>
      <c r="H578" s="470"/>
      <c r="I578" s="470"/>
      <c r="J578" s="470"/>
      <c r="K578" s="513"/>
    </row>
    <row r="579" spans="1:11" x14ac:dyDescent="0.2">
      <c r="A579" s="470"/>
      <c r="B579" s="470"/>
      <c r="C579" s="470"/>
      <c r="D579" s="470"/>
      <c r="E579" s="470"/>
      <c r="F579" s="470"/>
      <c r="G579" s="470"/>
      <c r="H579" s="470"/>
      <c r="I579" s="470"/>
      <c r="J579" s="470"/>
      <c r="K579" s="513"/>
    </row>
    <row r="580" spans="1:11" x14ac:dyDescent="0.2">
      <c r="A580" s="470"/>
      <c r="B580" s="470"/>
      <c r="C580" s="470"/>
      <c r="D580" s="470"/>
      <c r="E580" s="470"/>
      <c r="F580" s="470"/>
      <c r="G580" s="470"/>
      <c r="H580" s="470"/>
      <c r="I580" s="470"/>
      <c r="J580" s="470"/>
      <c r="K580" s="513"/>
    </row>
    <row r="581" spans="1:11" x14ac:dyDescent="0.2">
      <c r="A581" s="470"/>
      <c r="B581" s="470"/>
      <c r="C581" s="470"/>
      <c r="D581" s="470"/>
      <c r="E581" s="470"/>
      <c r="F581" s="470"/>
      <c r="G581" s="470"/>
      <c r="H581" s="470"/>
      <c r="I581" s="470"/>
      <c r="J581" s="470"/>
      <c r="K581" s="513"/>
    </row>
    <row r="582" spans="1:11" x14ac:dyDescent="0.2">
      <c r="A582" s="470"/>
      <c r="B582" s="470"/>
      <c r="C582" s="470"/>
      <c r="D582" s="470"/>
      <c r="E582" s="470"/>
      <c r="F582" s="470"/>
      <c r="G582" s="470"/>
      <c r="H582" s="470"/>
      <c r="I582" s="470"/>
      <c r="J582" s="470"/>
      <c r="K582" s="513"/>
    </row>
    <row r="583" spans="1:11" x14ac:dyDescent="0.2">
      <c r="A583" s="470"/>
      <c r="B583" s="470"/>
      <c r="C583" s="470"/>
      <c r="D583" s="470"/>
      <c r="E583" s="470"/>
      <c r="F583" s="470"/>
      <c r="G583" s="470"/>
      <c r="H583" s="470"/>
      <c r="I583" s="470"/>
      <c r="J583" s="470"/>
      <c r="K583" s="513"/>
    </row>
    <row r="584" spans="1:11" x14ac:dyDescent="0.2">
      <c r="A584" s="470"/>
      <c r="B584" s="470"/>
      <c r="C584" s="470"/>
      <c r="D584" s="470"/>
      <c r="E584" s="470"/>
      <c r="F584" s="470"/>
      <c r="G584" s="470"/>
      <c r="H584" s="470"/>
      <c r="I584" s="470"/>
      <c r="J584" s="470"/>
      <c r="K584" s="513"/>
    </row>
    <row r="585" spans="1:11" x14ac:dyDescent="0.2">
      <c r="A585" s="470"/>
      <c r="B585" s="470"/>
      <c r="C585" s="470"/>
      <c r="D585" s="470"/>
      <c r="E585" s="470"/>
      <c r="F585" s="470"/>
      <c r="G585" s="470"/>
      <c r="H585" s="470"/>
      <c r="I585" s="470"/>
      <c r="J585" s="470"/>
      <c r="K585" s="513"/>
    </row>
    <row r="586" spans="1:11" x14ac:dyDescent="0.2">
      <c r="A586" s="470"/>
      <c r="B586" s="470"/>
      <c r="C586" s="470"/>
      <c r="D586" s="470"/>
      <c r="E586" s="470"/>
      <c r="F586" s="470"/>
      <c r="G586" s="470"/>
      <c r="H586" s="470"/>
      <c r="I586" s="470"/>
      <c r="J586" s="470"/>
      <c r="K586" s="513"/>
    </row>
    <row r="587" spans="1:11" x14ac:dyDescent="0.2">
      <c r="A587" s="470"/>
      <c r="B587" s="470"/>
      <c r="C587" s="470"/>
      <c r="D587" s="470"/>
      <c r="E587" s="470"/>
      <c r="F587" s="470"/>
      <c r="G587" s="470"/>
      <c r="H587" s="470"/>
      <c r="I587" s="470"/>
      <c r="J587" s="470"/>
      <c r="K587" s="513"/>
    </row>
    <row r="588" spans="1:11" x14ac:dyDescent="0.2">
      <c r="A588" s="470"/>
      <c r="B588" s="470"/>
      <c r="C588" s="470"/>
      <c r="D588" s="470"/>
      <c r="E588" s="470"/>
      <c r="F588" s="470"/>
      <c r="G588" s="470"/>
      <c r="H588" s="470"/>
      <c r="I588" s="470"/>
      <c r="J588" s="470"/>
      <c r="K588" s="513"/>
    </row>
    <row r="589" spans="1:11" x14ac:dyDescent="0.2">
      <c r="A589" s="470"/>
      <c r="B589" s="470"/>
      <c r="C589" s="470"/>
      <c r="D589" s="470"/>
      <c r="E589" s="470"/>
      <c r="F589" s="470"/>
      <c r="G589" s="470"/>
      <c r="H589" s="470"/>
      <c r="I589" s="470"/>
      <c r="J589" s="470"/>
      <c r="K589" s="513"/>
    </row>
    <row r="590" spans="1:11" x14ac:dyDescent="0.2">
      <c r="A590" s="470"/>
      <c r="B590" s="470"/>
      <c r="C590" s="470"/>
      <c r="D590" s="470"/>
      <c r="E590" s="470"/>
      <c r="F590" s="470"/>
      <c r="G590" s="470"/>
      <c r="H590" s="470"/>
      <c r="I590" s="470"/>
      <c r="J590" s="470"/>
      <c r="K590" s="513"/>
    </row>
    <row r="591" spans="1:11" x14ac:dyDescent="0.2">
      <c r="A591" s="470"/>
      <c r="B591" s="470"/>
      <c r="C591" s="470"/>
      <c r="D591" s="470"/>
      <c r="E591" s="470"/>
      <c r="F591" s="470"/>
      <c r="G591" s="470"/>
      <c r="H591" s="470"/>
      <c r="I591" s="470"/>
      <c r="J591" s="470"/>
      <c r="K591" s="513"/>
    </row>
    <row r="592" spans="1:11" x14ac:dyDescent="0.2">
      <c r="A592" s="470"/>
      <c r="B592" s="470"/>
      <c r="C592" s="470"/>
      <c r="D592" s="470"/>
      <c r="E592" s="470"/>
      <c r="F592" s="470"/>
      <c r="G592" s="470"/>
      <c r="H592" s="470"/>
      <c r="I592" s="470"/>
      <c r="J592" s="470"/>
      <c r="K592" s="513"/>
    </row>
    <row r="593" spans="1:11" x14ac:dyDescent="0.2">
      <c r="A593" s="470"/>
      <c r="B593" s="470"/>
      <c r="C593" s="470"/>
      <c r="D593" s="470"/>
      <c r="E593" s="470"/>
      <c r="F593" s="470"/>
      <c r="G593" s="470"/>
      <c r="H593" s="470"/>
      <c r="I593" s="470"/>
      <c r="J593" s="470"/>
      <c r="K593" s="513"/>
    </row>
    <row r="594" spans="1:11" x14ac:dyDescent="0.2">
      <c r="A594" s="470"/>
      <c r="B594" s="470"/>
      <c r="C594" s="470"/>
      <c r="D594" s="470"/>
      <c r="E594" s="470"/>
      <c r="F594" s="470"/>
      <c r="G594" s="470"/>
      <c r="H594" s="470"/>
      <c r="I594" s="470"/>
      <c r="J594" s="470"/>
      <c r="K594" s="513"/>
    </row>
    <row r="595" spans="1:11" x14ac:dyDescent="0.2">
      <c r="A595" s="470"/>
      <c r="B595" s="470"/>
      <c r="C595" s="470"/>
      <c r="D595" s="470"/>
      <c r="E595" s="470"/>
      <c r="F595" s="470"/>
      <c r="G595" s="470"/>
      <c r="H595" s="470"/>
      <c r="I595" s="470"/>
      <c r="J595" s="470"/>
      <c r="K595" s="513"/>
    </row>
    <row r="596" spans="1:11" x14ac:dyDescent="0.2">
      <c r="A596" s="470"/>
      <c r="B596" s="470"/>
      <c r="C596" s="470"/>
      <c r="D596" s="470"/>
      <c r="E596" s="470"/>
      <c r="F596" s="470"/>
      <c r="G596" s="470"/>
      <c r="H596" s="470"/>
      <c r="I596" s="470"/>
      <c r="J596" s="470"/>
      <c r="K596" s="513"/>
    </row>
    <row r="597" spans="1:11" x14ac:dyDescent="0.2">
      <c r="A597" s="470"/>
      <c r="B597" s="470"/>
      <c r="C597" s="470"/>
      <c r="D597" s="470"/>
      <c r="E597" s="470"/>
      <c r="F597" s="470"/>
      <c r="G597" s="470"/>
      <c r="H597" s="470"/>
      <c r="I597" s="470"/>
      <c r="J597" s="470"/>
      <c r="K597" s="513"/>
    </row>
    <row r="598" spans="1:11" x14ac:dyDescent="0.2">
      <c r="A598" s="470"/>
      <c r="B598" s="470"/>
      <c r="C598" s="470"/>
      <c r="D598" s="470"/>
      <c r="E598" s="470"/>
      <c r="F598" s="470"/>
      <c r="G598" s="470"/>
      <c r="H598" s="470"/>
      <c r="I598" s="470"/>
      <c r="J598" s="470"/>
      <c r="K598" s="513"/>
    </row>
    <row r="599" spans="1:11" x14ac:dyDescent="0.2">
      <c r="A599" s="470"/>
      <c r="B599" s="470"/>
      <c r="C599" s="470"/>
      <c r="D599" s="470"/>
      <c r="E599" s="470"/>
      <c r="F599" s="470"/>
      <c r="G599" s="470"/>
      <c r="H599" s="470"/>
      <c r="I599" s="470"/>
      <c r="J599" s="470"/>
      <c r="K599" s="513"/>
    </row>
    <row r="600" spans="1:11" x14ac:dyDescent="0.2">
      <c r="A600" s="470"/>
      <c r="B600" s="470"/>
      <c r="C600" s="470"/>
      <c r="D600" s="470"/>
      <c r="E600" s="470"/>
      <c r="F600" s="470"/>
      <c r="G600" s="470"/>
      <c r="H600" s="470"/>
      <c r="I600" s="470"/>
      <c r="J600" s="470"/>
      <c r="K600" s="513"/>
    </row>
    <row r="601" spans="1:11" x14ac:dyDescent="0.2">
      <c r="A601" s="470"/>
      <c r="B601" s="470"/>
      <c r="C601" s="470"/>
      <c r="D601" s="470"/>
      <c r="E601" s="470"/>
      <c r="F601" s="470"/>
      <c r="G601" s="470"/>
      <c r="H601" s="470"/>
      <c r="I601" s="470"/>
      <c r="J601" s="470"/>
      <c r="K601" s="513"/>
    </row>
    <row r="602" spans="1:11" x14ac:dyDescent="0.2">
      <c r="A602" s="470"/>
      <c r="B602" s="470"/>
      <c r="C602" s="470"/>
      <c r="D602" s="470"/>
      <c r="E602" s="470"/>
      <c r="F602" s="470"/>
      <c r="G602" s="470"/>
      <c r="H602" s="470"/>
      <c r="I602" s="470"/>
      <c r="J602" s="470"/>
      <c r="K602" s="513"/>
    </row>
    <row r="603" spans="1:11" x14ac:dyDescent="0.2">
      <c r="A603" s="470"/>
      <c r="B603" s="470"/>
      <c r="C603" s="470"/>
      <c r="D603" s="470"/>
      <c r="E603" s="470"/>
      <c r="F603" s="470"/>
      <c r="G603" s="470"/>
      <c r="H603" s="470"/>
      <c r="I603" s="470"/>
      <c r="J603" s="470"/>
      <c r="K603" s="513"/>
    </row>
    <row r="604" spans="1:11" x14ac:dyDescent="0.2">
      <c r="A604" s="470"/>
      <c r="B604" s="470"/>
      <c r="C604" s="470"/>
      <c r="D604" s="470"/>
      <c r="E604" s="470"/>
      <c r="F604" s="470"/>
      <c r="G604" s="470"/>
      <c r="H604" s="470"/>
      <c r="I604" s="470"/>
      <c r="J604" s="470"/>
      <c r="K604" s="513"/>
    </row>
    <row r="605" spans="1:11" x14ac:dyDescent="0.2">
      <c r="A605" s="470"/>
      <c r="B605" s="470"/>
      <c r="C605" s="470"/>
      <c r="D605" s="470"/>
      <c r="E605" s="470"/>
      <c r="F605" s="470"/>
      <c r="G605" s="470"/>
      <c r="H605" s="470"/>
      <c r="I605" s="470"/>
      <c r="J605" s="470"/>
      <c r="K605" s="513"/>
    </row>
    <row r="606" spans="1:11" x14ac:dyDescent="0.2">
      <c r="A606" s="470"/>
      <c r="B606" s="470"/>
      <c r="C606" s="470"/>
      <c r="D606" s="470"/>
      <c r="E606" s="470"/>
      <c r="F606" s="470"/>
      <c r="G606" s="470"/>
      <c r="H606" s="470"/>
      <c r="I606" s="470"/>
      <c r="J606" s="470"/>
      <c r="K606" s="513"/>
    </row>
    <row r="607" spans="1:11" x14ac:dyDescent="0.2">
      <c r="A607" s="470"/>
      <c r="B607" s="470"/>
      <c r="C607" s="470"/>
      <c r="D607" s="470"/>
      <c r="E607" s="470"/>
      <c r="F607" s="470"/>
      <c r="G607" s="470"/>
      <c r="H607" s="470"/>
      <c r="I607" s="470"/>
      <c r="J607" s="470"/>
      <c r="K607" s="513"/>
    </row>
    <row r="608" spans="1:11" x14ac:dyDescent="0.2">
      <c r="A608" s="470"/>
      <c r="B608" s="470"/>
      <c r="C608" s="470"/>
      <c r="D608" s="470"/>
      <c r="E608" s="470"/>
      <c r="F608" s="470"/>
      <c r="G608" s="470"/>
      <c r="H608" s="470"/>
      <c r="I608" s="470"/>
      <c r="J608" s="470"/>
      <c r="K608" s="513"/>
    </row>
    <row r="609" spans="1:11" x14ac:dyDescent="0.2">
      <c r="A609" s="470"/>
      <c r="B609" s="470"/>
      <c r="C609" s="470"/>
      <c r="D609" s="470"/>
      <c r="E609" s="470"/>
      <c r="F609" s="470"/>
      <c r="G609" s="470"/>
      <c r="H609" s="470"/>
      <c r="I609" s="470"/>
      <c r="J609" s="470"/>
      <c r="K609" s="513"/>
    </row>
    <row r="610" spans="1:11" x14ac:dyDescent="0.2">
      <c r="A610" s="470"/>
      <c r="B610" s="470"/>
      <c r="C610" s="470"/>
      <c r="D610" s="470"/>
      <c r="E610" s="470"/>
      <c r="F610" s="470"/>
      <c r="G610" s="470"/>
      <c r="H610" s="470"/>
      <c r="I610" s="470"/>
      <c r="J610" s="470"/>
      <c r="K610" s="513"/>
    </row>
    <row r="611" spans="1:11" x14ac:dyDescent="0.2">
      <c r="A611" s="470"/>
      <c r="B611" s="470"/>
      <c r="C611" s="470"/>
      <c r="D611" s="470"/>
      <c r="E611" s="470"/>
      <c r="F611" s="470"/>
      <c r="G611" s="470"/>
      <c r="H611" s="470"/>
      <c r="I611" s="470"/>
      <c r="J611" s="470"/>
      <c r="K611" s="513"/>
    </row>
    <row r="612" spans="1:11" x14ac:dyDescent="0.2">
      <c r="A612" s="470"/>
      <c r="B612" s="470"/>
      <c r="C612" s="470"/>
      <c r="D612" s="470"/>
      <c r="E612" s="470"/>
      <c r="F612" s="470"/>
      <c r="G612" s="470"/>
      <c r="H612" s="470"/>
      <c r="I612" s="470"/>
      <c r="J612" s="470"/>
      <c r="K612" s="513"/>
    </row>
    <row r="613" spans="1:11" x14ac:dyDescent="0.2">
      <c r="A613" s="470"/>
      <c r="B613" s="470"/>
      <c r="C613" s="470"/>
      <c r="D613" s="470"/>
      <c r="E613" s="470"/>
      <c r="F613" s="470"/>
      <c r="G613" s="470"/>
      <c r="H613" s="470"/>
      <c r="I613" s="470"/>
      <c r="J613" s="470"/>
      <c r="K613" s="513"/>
    </row>
    <row r="614" spans="1:11" x14ac:dyDescent="0.2">
      <c r="A614" s="470"/>
      <c r="B614" s="470"/>
      <c r="C614" s="470"/>
      <c r="D614" s="470"/>
      <c r="E614" s="470"/>
      <c r="F614" s="470"/>
      <c r="G614" s="470"/>
      <c r="H614" s="470"/>
      <c r="I614" s="470"/>
      <c r="J614" s="470"/>
      <c r="K614" s="513"/>
    </row>
    <row r="615" spans="1:11" x14ac:dyDescent="0.2">
      <c r="A615" s="470"/>
      <c r="B615" s="470"/>
      <c r="C615" s="470"/>
      <c r="D615" s="470"/>
      <c r="E615" s="470"/>
      <c r="F615" s="470"/>
      <c r="G615" s="470"/>
      <c r="H615" s="470"/>
      <c r="I615" s="470"/>
      <c r="J615" s="470"/>
      <c r="K615" s="513"/>
    </row>
    <row r="616" spans="1:11" x14ac:dyDescent="0.2">
      <c r="A616" s="470"/>
      <c r="B616" s="470"/>
      <c r="C616" s="470"/>
      <c r="D616" s="470"/>
      <c r="E616" s="470"/>
      <c r="F616" s="470"/>
      <c r="G616" s="470"/>
      <c r="H616" s="470"/>
      <c r="I616" s="470"/>
      <c r="J616" s="470"/>
      <c r="K616" s="513"/>
    </row>
    <row r="617" spans="1:11" x14ac:dyDescent="0.2">
      <c r="A617" s="470"/>
      <c r="B617" s="470"/>
      <c r="C617" s="470"/>
      <c r="D617" s="470"/>
      <c r="E617" s="470"/>
      <c r="F617" s="470"/>
      <c r="G617" s="470"/>
      <c r="H617" s="470"/>
      <c r="I617" s="470"/>
      <c r="J617" s="470"/>
      <c r="K617" s="513"/>
    </row>
    <row r="618" spans="1:11" x14ac:dyDescent="0.2">
      <c r="A618" s="470"/>
      <c r="B618" s="470"/>
      <c r="C618" s="470"/>
      <c r="D618" s="470"/>
      <c r="E618" s="470"/>
      <c r="F618" s="470"/>
      <c r="G618" s="470"/>
      <c r="H618" s="470"/>
      <c r="I618" s="470"/>
      <c r="J618" s="470"/>
      <c r="K618" s="513"/>
    </row>
    <row r="619" spans="1:11" x14ac:dyDescent="0.2">
      <c r="A619" s="470"/>
      <c r="B619" s="470"/>
      <c r="C619" s="470"/>
      <c r="D619" s="470"/>
      <c r="E619" s="470"/>
      <c r="F619" s="470"/>
      <c r="G619" s="470"/>
      <c r="H619" s="470"/>
      <c r="I619" s="470"/>
      <c r="J619" s="470"/>
      <c r="K619" s="513"/>
    </row>
    <row r="620" spans="1:11" x14ac:dyDescent="0.2">
      <c r="A620" s="470"/>
      <c r="B620" s="470"/>
      <c r="C620" s="470"/>
      <c r="D620" s="470"/>
      <c r="E620" s="470"/>
      <c r="F620" s="470"/>
      <c r="G620" s="470"/>
      <c r="H620" s="470"/>
      <c r="I620" s="470"/>
      <c r="J620" s="470"/>
      <c r="K620" s="513"/>
    </row>
    <row r="621" spans="1:11" x14ac:dyDescent="0.2">
      <c r="A621" s="470"/>
      <c r="B621" s="470"/>
      <c r="C621" s="470"/>
      <c r="D621" s="470"/>
      <c r="E621" s="470"/>
      <c r="F621" s="470"/>
      <c r="G621" s="470"/>
      <c r="H621" s="470"/>
      <c r="I621" s="470"/>
      <c r="J621" s="470"/>
      <c r="K621" s="513"/>
    </row>
    <row r="622" spans="1:11" x14ac:dyDescent="0.2">
      <c r="A622" s="470"/>
      <c r="B622" s="470"/>
      <c r="C622" s="470"/>
      <c r="D622" s="470"/>
      <c r="E622" s="470"/>
      <c r="F622" s="470"/>
      <c r="G622" s="470"/>
      <c r="H622" s="470"/>
      <c r="I622" s="470"/>
      <c r="J622" s="470"/>
      <c r="K622" s="513"/>
    </row>
    <row r="623" spans="1:11" x14ac:dyDescent="0.2">
      <c r="A623" s="470"/>
      <c r="B623" s="470"/>
      <c r="C623" s="470"/>
      <c r="D623" s="470"/>
      <c r="E623" s="470"/>
      <c r="F623" s="470"/>
      <c r="G623" s="470"/>
      <c r="H623" s="470"/>
      <c r="I623" s="470"/>
      <c r="J623" s="470"/>
      <c r="K623" s="513"/>
    </row>
    <row r="624" spans="1:11" x14ac:dyDescent="0.2">
      <c r="A624" s="470"/>
      <c r="B624" s="470"/>
      <c r="C624" s="470"/>
      <c r="D624" s="470"/>
      <c r="E624" s="470"/>
      <c r="F624" s="470"/>
      <c r="G624" s="470"/>
      <c r="H624" s="470"/>
      <c r="I624" s="470"/>
      <c r="J624" s="470"/>
      <c r="K624" s="513"/>
    </row>
    <row r="625" spans="1:11" x14ac:dyDescent="0.2">
      <c r="A625" s="470"/>
      <c r="B625" s="470"/>
      <c r="C625" s="470"/>
      <c r="D625" s="470"/>
      <c r="E625" s="470"/>
      <c r="F625" s="470"/>
      <c r="G625" s="470"/>
      <c r="H625" s="470"/>
      <c r="I625" s="470"/>
      <c r="J625" s="470"/>
      <c r="K625" s="513"/>
    </row>
    <row r="626" spans="1:11" x14ac:dyDescent="0.2">
      <c r="A626" s="470"/>
      <c r="B626" s="470"/>
      <c r="C626" s="470"/>
      <c r="D626" s="470"/>
      <c r="E626" s="470"/>
      <c r="F626" s="470"/>
      <c r="G626" s="470"/>
      <c r="H626" s="470"/>
      <c r="I626" s="470"/>
      <c r="J626" s="470"/>
      <c r="K626" s="513"/>
    </row>
    <row r="627" spans="1:11" x14ac:dyDescent="0.2">
      <c r="A627" s="470"/>
      <c r="B627" s="470"/>
      <c r="C627" s="470"/>
      <c r="D627" s="470"/>
      <c r="E627" s="470"/>
      <c r="F627" s="470"/>
      <c r="G627" s="470"/>
      <c r="H627" s="470"/>
      <c r="I627" s="470"/>
      <c r="J627" s="470"/>
      <c r="K627" s="513"/>
    </row>
    <row r="628" spans="1:11" x14ac:dyDescent="0.2">
      <c r="A628" s="470"/>
      <c r="B628" s="470"/>
      <c r="C628" s="470"/>
      <c r="D628" s="470"/>
      <c r="E628" s="470"/>
      <c r="F628" s="470"/>
      <c r="G628" s="470"/>
      <c r="H628" s="470"/>
      <c r="I628" s="470"/>
      <c r="J628" s="470"/>
      <c r="K628" s="513"/>
    </row>
    <row r="629" spans="1:11" x14ac:dyDescent="0.2">
      <c r="A629" s="470"/>
      <c r="B629" s="470"/>
      <c r="C629" s="470"/>
      <c r="D629" s="470"/>
      <c r="E629" s="470"/>
      <c r="F629" s="470"/>
      <c r="G629" s="470"/>
      <c r="H629" s="470"/>
      <c r="I629" s="470"/>
      <c r="J629" s="470"/>
      <c r="K629" s="513"/>
    </row>
    <row r="630" spans="1:11" x14ac:dyDescent="0.2">
      <c r="A630" s="470"/>
      <c r="B630" s="470"/>
      <c r="C630" s="470"/>
      <c r="D630" s="470"/>
      <c r="E630" s="470"/>
      <c r="F630" s="470"/>
      <c r="G630" s="470"/>
      <c r="H630" s="470"/>
      <c r="I630" s="470"/>
      <c r="J630" s="470"/>
      <c r="K630" s="513"/>
    </row>
    <row r="631" spans="1:11" x14ac:dyDescent="0.2">
      <c r="A631" s="470"/>
      <c r="B631" s="470"/>
      <c r="C631" s="470"/>
      <c r="D631" s="470"/>
      <c r="E631" s="470"/>
      <c r="F631" s="470"/>
      <c r="G631" s="470"/>
      <c r="H631" s="470"/>
      <c r="I631" s="470"/>
      <c r="J631" s="470"/>
      <c r="K631" s="513"/>
    </row>
    <row r="632" spans="1:11" x14ac:dyDescent="0.2">
      <c r="A632" s="470"/>
      <c r="B632" s="470"/>
      <c r="C632" s="470"/>
      <c r="D632" s="470"/>
      <c r="E632" s="470"/>
      <c r="F632" s="470"/>
      <c r="G632" s="470"/>
      <c r="H632" s="470"/>
      <c r="I632" s="470"/>
      <c r="J632" s="470"/>
      <c r="K632" s="513"/>
    </row>
    <row r="633" spans="1:11" x14ac:dyDescent="0.2">
      <c r="A633" s="470"/>
      <c r="B633" s="470"/>
      <c r="C633" s="470"/>
      <c r="D633" s="470"/>
      <c r="E633" s="470"/>
      <c r="F633" s="470"/>
      <c r="G633" s="470"/>
      <c r="H633" s="470"/>
      <c r="I633" s="470"/>
      <c r="J633" s="470"/>
      <c r="K633" s="513"/>
    </row>
    <row r="634" spans="1:11" x14ac:dyDescent="0.2">
      <c r="A634" s="470"/>
      <c r="B634" s="470"/>
      <c r="C634" s="470"/>
      <c r="D634" s="470"/>
      <c r="E634" s="470"/>
      <c r="F634" s="470"/>
      <c r="G634" s="470"/>
      <c r="H634" s="470"/>
      <c r="I634" s="470"/>
      <c r="J634" s="470"/>
      <c r="K634" s="513"/>
    </row>
    <row r="635" spans="1:11" x14ac:dyDescent="0.2">
      <c r="A635" s="470"/>
      <c r="B635" s="470"/>
      <c r="C635" s="470"/>
      <c r="D635" s="470"/>
      <c r="E635" s="470"/>
      <c r="F635" s="470"/>
      <c r="G635" s="470"/>
      <c r="H635" s="470"/>
      <c r="I635" s="470"/>
      <c r="J635" s="470"/>
      <c r="K635" s="513"/>
    </row>
    <row r="636" spans="1:11" x14ac:dyDescent="0.2">
      <c r="A636" s="470"/>
      <c r="B636" s="470"/>
      <c r="C636" s="470"/>
      <c r="D636" s="470"/>
      <c r="E636" s="470"/>
      <c r="F636" s="470"/>
      <c r="G636" s="470"/>
      <c r="H636" s="470"/>
      <c r="I636" s="470"/>
      <c r="J636" s="470"/>
      <c r="K636" s="513"/>
    </row>
    <row r="637" spans="1:11" x14ac:dyDescent="0.2">
      <c r="A637" s="470"/>
      <c r="B637" s="470"/>
      <c r="C637" s="470"/>
      <c r="D637" s="470"/>
      <c r="E637" s="470"/>
      <c r="F637" s="470"/>
      <c r="G637" s="470"/>
      <c r="H637" s="470"/>
      <c r="I637" s="470"/>
      <c r="J637" s="470"/>
      <c r="K637" s="513"/>
    </row>
    <row r="638" spans="1:11" x14ac:dyDescent="0.2">
      <c r="A638" s="470"/>
      <c r="B638" s="470"/>
      <c r="C638" s="470"/>
      <c r="D638" s="470"/>
      <c r="E638" s="470"/>
      <c r="F638" s="470"/>
      <c r="G638" s="470"/>
      <c r="H638" s="470"/>
      <c r="I638" s="470"/>
      <c r="J638" s="470"/>
      <c r="K638" s="513"/>
    </row>
    <row r="639" spans="1:11" x14ac:dyDescent="0.2">
      <c r="A639" s="470"/>
      <c r="B639" s="470"/>
      <c r="C639" s="470"/>
      <c r="D639" s="470"/>
      <c r="E639" s="470"/>
      <c r="F639" s="470"/>
      <c r="G639" s="470"/>
      <c r="H639" s="470"/>
      <c r="I639" s="470"/>
      <c r="J639" s="470"/>
      <c r="K639" s="513"/>
    </row>
    <row r="640" spans="1:11" x14ac:dyDescent="0.2">
      <c r="A640" s="470"/>
      <c r="B640" s="470"/>
      <c r="C640" s="470"/>
      <c r="D640" s="470"/>
      <c r="E640" s="470"/>
      <c r="F640" s="470"/>
      <c r="G640" s="470"/>
      <c r="H640" s="470"/>
      <c r="I640" s="470"/>
      <c r="J640" s="470"/>
      <c r="K640" s="513"/>
    </row>
    <row r="641" spans="1:11" x14ac:dyDescent="0.2">
      <c r="A641" s="470"/>
      <c r="B641" s="470"/>
      <c r="C641" s="470"/>
      <c r="D641" s="470"/>
      <c r="E641" s="470"/>
      <c r="F641" s="470"/>
      <c r="G641" s="470"/>
      <c r="H641" s="470"/>
      <c r="I641" s="470"/>
      <c r="J641" s="470"/>
      <c r="K641" s="513"/>
    </row>
    <row r="642" spans="1:11" x14ac:dyDescent="0.2">
      <c r="A642" s="470"/>
      <c r="B642" s="470"/>
      <c r="C642" s="470"/>
      <c r="D642" s="470"/>
      <c r="E642" s="470"/>
      <c r="F642" s="470"/>
      <c r="G642" s="470"/>
      <c r="H642" s="470"/>
      <c r="I642" s="470"/>
      <c r="J642" s="470"/>
      <c r="K642" s="513"/>
    </row>
    <row r="643" spans="1:11" x14ac:dyDescent="0.2">
      <c r="A643" s="470"/>
      <c r="B643" s="470"/>
      <c r="C643" s="470"/>
      <c r="D643" s="470"/>
      <c r="E643" s="470"/>
      <c r="F643" s="470"/>
      <c r="G643" s="470"/>
      <c r="H643" s="470"/>
      <c r="I643" s="470"/>
      <c r="J643" s="470"/>
      <c r="K643" s="513"/>
    </row>
    <row r="644" spans="1:11" x14ac:dyDescent="0.2">
      <c r="A644" s="470"/>
      <c r="B644" s="470"/>
      <c r="C644" s="470"/>
      <c r="D644" s="470"/>
      <c r="E644" s="470"/>
      <c r="F644" s="470"/>
      <c r="G644" s="470"/>
      <c r="H644" s="470"/>
      <c r="I644" s="470"/>
      <c r="J644" s="470"/>
      <c r="K644" s="513"/>
    </row>
    <row r="645" spans="1:11" x14ac:dyDescent="0.2">
      <c r="A645" s="470"/>
      <c r="B645" s="470"/>
      <c r="C645" s="470"/>
      <c r="D645" s="470"/>
      <c r="E645" s="470"/>
      <c r="F645" s="470"/>
      <c r="G645" s="470"/>
      <c r="H645" s="470"/>
      <c r="I645" s="470"/>
      <c r="J645" s="470"/>
      <c r="K645" s="513"/>
    </row>
    <row r="646" spans="1:11" x14ac:dyDescent="0.2">
      <c r="A646" s="470"/>
      <c r="B646" s="470"/>
      <c r="C646" s="470"/>
      <c r="D646" s="470"/>
      <c r="E646" s="470"/>
      <c r="F646" s="470"/>
      <c r="G646" s="470"/>
      <c r="H646" s="470"/>
      <c r="I646" s="470"/>
      <c r="J646" s="470"/>
      <c r="K646" s="513"/>
    </row>
    <row r="647" spans="1:11" x14ac:dyDescent="0.2">
      <c r="A647" s="470"/>
      <c r="B647" s="470"/>
      <c r="C647" s="470"/>
      <c r="D647" s="470"/>
      <c r="E647" s="470"/>
      <c r="F647" s="470"/>
      <c r="G647" s="470"/>
      <c r="H647" s="470"/>
      <c r="I647" s="470"/>
      <c r="J647" s="470"/>
      <c r="K647" s="513"/>
    </row>
    <row r="648" spans="1:11" x14ac:dyDescent="0.2">
      <c r="A648" s="470"/>
      <c r="B648" s="470"/>
      <c r="C648" s="470"/>
      <c r="D648" s="470"/>
      <c r="E648" s="470"/>
      <c r="F648" s="470"/>
      <c r="G648" s="470"/>
      <c r="H648" s="470"/>
      <c r="I648" s="470"/>
      <c r="J648" s="470"/>
      <c r="K648" s="513"/>
    </row>
    <row r="649" spans="1:11" x14ac:dyDescent="0.2">
      <c r="A649" s="470"/>
      <c r="B649" s="470"/>
      <c r="C649" s="470"/>
      <c r="D649" s="470"/>
      <c r="E649" s="470"/>
      <c r="F649" s="470"/>
      <c r="G649" s="470"/>
      <c r="H649" s="470"/>
      <c r="I649" s="470"/>
      <c r="J649" s="470"/>
      <c r="K649" s="513"/>
    </row>
    <row r="650" spans="1:11" x14ac:dyDescent="0.2">
      <c r="A650" s="470"/>
      <c r="B650" s="470"/>
      <c r="C650" s="470"/>
      <c r="D650" s="470"/>
      <c r="E650" s="470"/>
      <c r="F650" s="470"/>
      <c r="G650" s="470"/>
      <c r="H650" s="470"/>
      <c r="I650" s="470"/>
      <c r="J650" s="470"/>
      <c r="K650" s="513"/>
    </row>
    <row r="651" spans="1:11" x14ac:dyDescent="0.2">
      <c r="A651" s="470"/>
      <c r="B651" s="470"/>
      <c r="C651" s="470"/>
      <c r="D651" s="470"/>
      <c r="E651" s="470"/>
      <c r="F651" s="470"/>
      <c r="G651" s="470"/>
      <c r="H651" s="470"/>
      <c r="I651" s="470"/>
      <c r="J651" s="470"/>
      <c r="K651" s="513"/>
    </row>
    <row r="652" spans="1:11" x14ac:dyDescent="0.2">
      <c r="A652" s="470"/>
      <c r="B652" s="470"/>
      <c r="C652" s="470"/>
      <c r="D652" s="470"/>
      <c r="E652" s="470"/>
      <c r="F652" s="470"/>
      <c r="G652" s="470"/>
      <c r="H652" s="470"/>
      <c r="I652" s="470"/>
      <c r="J652" s="470"/>
      <c r="K652" s="513"/>
    </row>
    <row r="653" spans="1:11" x14ac:dyDescent="0.2">
      <c r="A653" s="470"/>
      <c r="B653" s="470"/>
      <c r="C653" s="470"/>
      <c r="D653" s="470"/>
      <c r="E653" s="470"/>
      <c r="F653" s="470"/>
      <c r="G653" s="470"/>
      <c r="H653" s="470"/>
      <c r="I653" s="470"/>
      <c r="J653" s="470"/>
      <c r="K653" s="513"/>
    </row>
    <row r="654" spans="1:11" x14ac:dyDescent="0.2">
      <c r="A654" s="470"/>
      <c r="B654" s="470"/>
      <c r="C654" s="470"/>
      <c r="D654" s="470"/>
      <c r="E654" s="470"/>
      <c r="F654" s="470"/>
      <c r="G654" s="470"/>
      <c r="H654" s="470"/>
      <c r="I654" s="470"/>
      <c r="J654" s="470"/>
      <c r="K654" s="513"/>
    </row>
    <row r="655" spans="1:11" x14ac:dyDescent="0.2">
      <c r="A655" s="470"/>
      <c r="B655" s="470"/>
      <c r="C655" s="470"/>
      <c r="D655" s="470"/>
      <c r="E655" s="470"/>
      <c r="F655" s="470"/>
      <c r="G655" s="470"/>
      <c r="H655" s="470"/>
      <c r="I655" s="470"/>
      <c r="J655" s="470"/>
      <c r="K655" s="513"/>
    </row>
    <row r="656" spans="1:11" x14ac:dyDescent="0.2">
      <c r="A656" s="470"/>
      <c r="B656" s="470"/>
      <c r="C656" s="470"/>
      <c r="D656" s="470"/>
      <c r="E656" s="470"/>
      <c r="F656" s="470"/>
      <c r="G656" s="470"/>
      <c r="H656" s="470"/>
      <c r="I656" s="470"/>
      <c r="J656" s="470"/>
      <c r="K656" s="513"/>
    </row>
    <row r="657" spans="1:11" x14ac:dyDescent="0.2">
      <c r="A657" s="470"/>
      <c r="B657" s="470"/>
      <c r="C657" s="470"/>
      <c r="D657" s="470"/>
      <c r="E657" s="470"/>
      <c r="F657" s="470"/>
      <c r="G657" s="470"/>
      <c r="H657" s="470"/>
      <c r="I657" s="470"/>
      <c r="J657" s="470"/>
      <c r="K657" s="513"/>
    </row>
    <row r="658" spans="1:11" x14ac:dyDescent="0.2">
      <c r="A658" s="470"/>
      <c r="B658" s="470"/>
      <c r="C658" s="470"/>
      <c r="D658" s="470"/>
      <c r="E658" s="470"/>
      <c r="F658" s="470"/>
      <c r="G658" s="470"/>
      <c r="H658" s="470"/>
      <c r="I658" s="470"/>
      <c r="J658" s="470"/>
      <c r="K658" s="513"/>
    </row>
    <row r="659" spans="1:11" x14ac:dyDescent="0.2">
      <c r="A659" s="470"/>
      <c r="B659" s="470"/>
      <c r="C659" s="470"/>
      <c r="D659" s="470"/>
      <c r="E659" s="470"/>
      <c r="F659" s="470"/>
      <c r="G659" s="470"/>
      <c r="H659" s="470"/>
      <c r="I659" s="470"/>
      <c r="J659" s="470"/>
      <c r="K659" s="513"/>
    </row>
    <row r="660" spans="1:11" x14ac:dyDescent="0.2">
      <c r="A660" s="470"/>
      <c r="B660" s="470"/>
      <c r="C660" s="470"/>
      <c r="D660" s="470"/>
      <c r="E660" s="470"/>
      <c r="F660" s="470"/>
      <c r="G660" s="470"/>
      <c r="H660" s="470"/>
      <c r="I660" s="470"/>
      <c r="J660" s="470"/>
      <c r="K660" s="513"/>
    </row>
    <row r="661" spans="1:11" x14ac:dyDescent="0.2">
      <c r="A661" s="470"/>
      <c r="B661" s="470"/>
      <c r="C661" s="470"/>
      <c r="D661" s="470"/>
      <c r="E661" s="470"/>
      <c r="F661" s="470"/>
      <c r="G661" s="470"/>
      <c r="H661" s="470"/>
      <c r="I661" s="470"/>
      <c r="J661" s="470"/>
      <c r="K661" s="513"/>
    </row>
    <row r="662" spans="1:11" x14ac:dyDescent="0.2">
      <c r="A662" s="470"/>
      <c r="B662" s="470"/>
      <c r="C662" s="470"/>
      <c r="D662" s="470"/>
      <c r="E662" s="470"/>
      <c r="F662" s="470"/>
      <c r="G662" s="470"/>
      <c r="H662" s="470"/>
      <c r="I662" s="470"/>
      <c r="J662" s="470"/>
      <c r="K662" s="513"/>
    </row>
    <row r="663" spans="1:11" x14ac:dyDescent="0.2">
      <c r="A663" s="470"/>
      <c r="B663" s="470"/>
      <c r="C663" s="470"/>
      <c r="D663" s="470"/>
      <c r="E663" s="470"/>
      <c r="F663" s="470"/>
      <c r="G663" s="470"/>
      <c r="H663" s="470"/>
      <c r="I663" s="470"/>
      <c r="J663" s="470"/>
      <c r="K663" s="513"/>
    </row>
    <row r="664" spans="1:11" x14ac:dyDescent="0.2">
      <c r="A664" s="470"/>
      <c r="B664" s="470"/>
      <c r="C664" s="470"/>
      <c r="D664" s="470"/>
      <c r="E664" s="470"/>
      <c r="F664" s="470"/>
      <c r="G664" s="470"/>
      <c r="H664" s="470"/>
      <c r="I664" s="470"/>
      <c r="J664" s="470"/>
      <c r="K664" s="513"/>
    </row>
    <row r="665" spans="1:11" x14ac:dyDescent="0.2">
      <c r="A665" s="470"/>
      <c r="B665" s="470"/>
      <c r="C665" s="470"/>
      <c r="D665" s="470"/>
      <c r="E665" s="470"/>
      <c r="F665" s="470"/>
      <c r="G665" s="470"/>
      <c r="H665" s="470"/>
      <c r="I665" s="470"/>
      <c r="J665" s="470"/>
      <c r="K665" s="513"/>
    </row>
    <row r="666" spans="1:11" x14ac:dyDescent="0.2">
      <c r="A666" s="470"/>
      <c r="B666" s="470"/>
      <c r="C666" s="470"/>
      <c r="D666" s="470"/>
      <c r="E666" s="470"/>
      <c r="F666" s="470"/>
      <c r="G666" s="470"/>
      <c r="H666" s="470"/>
      <c r="I666" s="470"/>
      <c r="J666" s="470"/>
      <c r="K666" s="513"/>
    </row>
    <row r="667" spans="1:11" x14ac:dyDescent="0.2">
      <c r="A667" s="470"/>
      <c r="B667" s="470"/>
      <c r="C667" s="470"/>
      <c r="D667" s="470"/>
      <c r="E667" s="470"/>
      <c r="F667" s="470"/>
      <c r="G667" s="470"/>
      <c r="H667" s="470"/>
      <c r="I667" s="470"/>
      <c r="J667" s="470"/>
      <c r="K667" s="513"/>
    </row>
    <row r="668" spans="1:11" x14ac:dyDescent="0.2">
      <c r="A668" s="470"/>
      <c r="B668" s="470"/>
      <c r="C668" s="470"/>
      <c r="D668" s="470"/>
      <c r="E668" s="470"/>
      <c r="F668" s="470"/>
      <c r="G668" s="470"/>
      <c r="H668" s="470"/>
      <c r="I668" s="470"/>
      <c r="J668" s="470"/>
      <c r="K668" s="513"/>
    </row>
    <row r="669" spans="1:11" x14ac:dyDescent="0.2">
      <c r="A669" s="470"/>
      <c r="B669" s="470"/>
      <c r="C669" s="470"/>
      <c r="D669" s="470"/>
      <c r="E669" s="470"/>
      <c r="F669" s="470"/>
      <c r="G669" s="470"/>
      <c r="H669" s="470"/>
      <c r="I669" s="470"/>
      <c r="J669" s="470"/>
      <c r="K669" s="513"/>
    </row>
    <row r="670" spans="1:11" x14ac:dyDescent="0.2">
      <c r="A670" s="470"/>
      <c r="B670" s="470"/>
      <c r="C670" s="470"/>
      <c r="D670" s="470"/>
      <c r="E670" s="470"/>
      <c r="F670" s="470"/>
      <c r="G670" s="470"/>
      <c r="H670" s="470"/>
      <c r="I670" s="470"/>
      <c r="J670" s="470"/>
      <c r="K670" s="513"/>
    </row>
    <row r="671" spans="1:11" x14ac:dyDescent="0.2">
      <c r="A671" s="470"/>
      <c r="B671" s="470"/>
      <c r="C671" s="470"/>
      <c r="D671" s="470"/>
      <c r="E671" s="470"/>
      <c r="F671" s="470"/>
      <c r="G671" s="470"/>
      <c r="H671" s="470"/>
      <c r="I671" s="470"/>
      <c r="J671" s="470"/>
      <c r="K671" s="513"/>
    </row>
    <row r="672" spans="1:11" x14ac:dyDescent="0.2">
      <c r="A672" s="470"/>
      <c r="B672" s="470"/>
      <c r="C672" s="470"/>
      <c r="D672" s="470"/>
      <c r="E672" s="470"/>
      <c r="F672" s="470"/>
      <c r="G672" s="470"/>
      <c r="H672" s="470"/>
      <c r="I672" s="470"/>
      <c r="J672" s="470"/>
      <c r="K672" s="513"/>
    </row>
    <row r="673" spans="1:11" x14ac:dyDescent="0.2">
      <c r="A673" s="470"/>
      <c r="B673" s="470"/>
      <c r="C673" s="470"/>
      <c r="D673" s="470"/>
      <c r="E673" s="470"/>
      <c r="F673" s="470"/>
      <c r="G673" s="470"/>
      <c r="H673" s="470"/>
      <c r="I673" s="470"/>
      <c r="J673" s="470"/>
      <c r="K673" s="513"/>
    </row>
    <row r="674" spans="1:11" x14ac:dyDescent="0.2">
      <c r="A674" s="470"/>
      <c r="B674" s="470"/>
      <c r="C674" s="470"/>
      <c r="D674" s="470"/>
      <c r="E674" s="470"/>
      <c r="F674" s="470"/>
      <c r="G674" s="470"/>
      <c r="H674" s="470"/>
      <c r="I674" s="470"/>
      <c r="J674" s="470"/>
      <c r="K674" s="513"/>
    </row>
    <row r="675" spans="1:11" x14ac:dyDescent="0.2">
      <c r="A675" s="470"/>
      <c r="B675" s="470"/>
      <c r="C675" s="470"/>
      <c r="D675" s="470"/>
      <c r="E675" s="470"/>
      <c r="F675" s="470"/>
      <c r="G675" s="470"/>
      <c r="H675" s="470"/>
      <c r="I675" s="470"/>
      <c r="J675" s="470"/>
      <c r="K675" s="513"/>
    </row>
    <row r="676" spans="1:11" x14ac:dyDescent="0.2">
      <c r="A676" s="470"/>
      <c r="B676" s="470"/>
      <c r="C676" s="470"/>
      <c r="D676" s="470"/>
      <c r="E676" s="470"/>
      <c r="F676" s="470"/>
      <c r="G676" s="470"/>
      <c r="H676" s="470"/>
      <c r="I676" s="470"/>
      <c r="J676" s="470"/>
      <c r="K676" s="513"/>
    </row>
    <row r="677" spans="1:11" x14ac:dyDescent="0.2">
      <c r="A677" s="470"/>
      <c r="B677" s="470"/>
      <c r="C677" s="470"/>
      <c r="D677" s="470"/>
      <c r="E677" s="470"/>
      <c r="F677" s="470"/>
      <c r="G677" s="470"/>
      <c r="H677" s="470"/>
      <c r="I677" s="470"/>
      <c r="J677" s="470"/>
      <c r="K677" s="513"/>
    </row>
    <row r="678" spans="1:11" x14ac:dyDescent="0.2">
      <c r="A678" s="470"/>
      <c r="B678" s="470"/>
      <c r="C678" s="470"/>
      <c r="D678" s="470"/>
      <c r="E678" s="470"/>
      <c r="F678" s="470"/>
      <c r="G678" s="470"/>
      <c r="H678" s="470"/>
      <c r="I678" s="470"/>
      <c r="J678" s="470"/>
      <c r="K678" s="513"/>
    </row>
    <row r="679" spans="1:11" x14ac:dyDescent="0.2">
      <c r="A679" s="470"/>
      <c r="B679" s="470"/>
      <c r="F679" s="470"/>
      <c r="G679" s="470"/>
      <c r="H679" s="470"/>
      <c r="I679" s="470"/>
      <c r="J679" s="470"/>
      <c r="K679" s="513"/>
    </row>
    <row r="680" spans="1:11" x14ac:dyDescent="0.2">
      <c r="A680" s="470"/>
      <c r="B680" s="470"/>
      <c r="F680" s="470"/>
      <c r="G680" s="470"/>
      <c r="H680" s="470"/>
      <c r="I680" s="470"/>
      <c r="J680" s="470"/>
      <c r="K680" s="513"/>
    </row>
    <row r="681" spans="1:11" x14ac:dyDescent="0.2">
      <c r="A681" s="470"/>
      <c r="B681" s="470"/>
      <c r="F681" s="470"/>
      <c r="G681" s="470"/>
      <c r="H681" s="470"/>
      <c r="I681" s="470"/>
      <c r="J681" s="470"/>
      <c r="K681" s="513"/>
    </row>
    <row r="682" spans="1:11" x14ac:dyDescent="0.2">
      <c r="A682" s="470"/>
      <c r="B682" s="470"/>
      <c r="F682" s="470"/>
      <c r="G682" s="470"/>
      <c r="H682" s="470"/>
      <c r="I682" s="470"/>
      <c r="J682" s="470"/>
      <c r="K682" s="513"/>
    </row>
    <row r="683" spans="1:11" x14ac:dyDescent="0.2">
      <c r="A683" s="470"/>
      <c r="B683" s="470"/>
      <c r="F683" s="470"/>
      <c r="G683" s="470"/>
      <c r="H683" s="470"/>
      <c r="I683" s="470"/>
      <c r="J683" s="470"/>
      <c r="K683" s="513"/>
    </row>
    <row r="684" spans="1:11" x14ac:dyDescent="0.2">
      <c r="A684" s="470"/>
      <c r="B684" s="470"/>
      <c r="F684" s="470"/>
      <c r="G684" s="470"/>
      <c r="H684" s="470"/>
      <c r="I684" s="470"/>
      <c r="J684" s="470"/>
      <c r="K684" s="513"/>
    </row>
    <row r="685" spans="1:11" x14ac:dyDescent="0.2">
      <c r="A685" s="470"/>
      <c r="B685" s="470"/>
      <c r="F685" s="470"/>
      <c r="G685" s="470"/>
      <c r="H685" s="470"/>
      <c r="I685" s="470"/>
      <c r="J685" s="470"/>
      <c r="K685" s="513"/>
    </row>
    <row r="686" spans="1:11" x14ac:dyDescent="0.2">
      <c r="A686" s="470"/>
      <c r="B686" s="470"/>
      <c r="F686" s="470"/>
      <c r="G686" s="470"/>
      <c r="H686" s="470"/>
      <c r="I686" s="470"/>
      <c r="J686" s="470"/>
      <c r="K686" s="513"/>
    </row>
    <row r="687" spans="1:11" x14ac:dyDescent="0.2">
      <c r="A687" s="470"/>
      <c r="B687" s="470"/>
      <c r="F687" s="470"/>
      <c r="G687" s="470"/>
      <c r="H687" s="470"/>
      <c r="I687" s="470"/>
      <c r="J687" s="470"/>
      <c r="K687" s="513"/>
    </row>
  </sheetData>
  <mergeCells count="7">
    <mergeCell ref="A46:B46"/>
    <mergeCell ref="A1:E1"/>
    <mergeCell ref="A2:F2"/>
    <mergeCell ref="A5:A7"/>
    <mergeCell ref="B5:D5"/>
    <mergeCell ref="E5:E6"/>
    <mergeCell ref="E7:E14"/>
  </mergeCells>
  <printOptions horizontalCentered="1" verticalCentered="1"/>
  <pageMargins left="0.39370078740157483" right="0.39370078740157483" top="0" bottom="0.27559055118110237" header="0" footer="0.15748031496062992"/>
  <pageSetup paperSize="9" scale="55" firstPageNumber="0" orientation="portrait" horizontalDpi="300" verticalDpi="300" r:id="rId1"/>
  <headerFooter alignWithMargins="0">
    <oddHeader>&amp;C2022. évi költségvetés
&amp;R&amp;A</oddHeader>
    <oddFooter>&amp;C&amp;9&amp;P/&amp;N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7"/>
  <sheetViews>
    <sheetView view="pageBreakPreview" zoomScaleNormal="100" zoomScaleSheetLayoutView="100" workbookViewId="0">
      <pane xSplit="2" ySplit="2" topLeftCell="C3" activePane="bottomRight" state="frozen"/>
      <selection activeCell="G30" sqref="G30"/>
      <selection pane="topRight" activeCell="G30" sqref="G30"/>
      <selection pane="bottomLeft" activeCell="G30" sqref="G30"/>
      <selection pane="bottomRight" activeCell="D14" sqref="D14"/>
    </sheetView>
  </sheetViews>
  <sheetFormatPr defaultRowHeight="12.75" x14ac:dyDescent="0.2"/>
  <cols>
    <col min="1" max="1" width="5.5703125" customWidth="1"/>
    <col min="2" max="2" width="66.140625" customWidth="1"/>
    <col min="3" max="3" width="17.42578125" customWidth="1"/>
    <col min="4" max="22" width="14.85546875" customWidth="1"/>
    <col min="23" max="23" width="15" customWidth="1"/>
    <col min="24" max="24" width="12.28515625" bestFit="1" customWidth="1"/>
  </cols>
  <sheetData>
    <row r="1" spans="1:22" ht="36.6" customHeight="1" x14ac:dyDescent="0.2">
      <c r="A1" s="515"/>
      <c r="B1" s="516"/>
      <c r="C1" s="1961" t="s">
        <v>1292</v>
      </c>
      <c r="D1" s="1961"/>
      <c r="E1" s="1961"/>
      <c r="F1" s="1961"/>
      <c r="G1" s="1961"/>
      <c r="H1" s="1961"/>
      <c r="I1" s="1961"/>
      <c r="J1" s="1961"/>
      <c r="K1" s="1961"/>
      <c r="L1" s="1961" t="s">
        <v>1292</v>
      </c>
      <c r="M1" s="1961"/>
      <c r="N1" s="1961"/>
      <c r="O1" s="1961"/>
      <c r="P1" s="1961"/>
      <c r="Q1" s="1961"/>
      <c r="R1" s="1961"/>
      <c r="S1" s="1961"/>
      <c r="T1" s="1961"/>
      <c r="U1" s="517"/>
    </row>
    <row r="2" spans="1:22" s="120" customFormat="1" ht="35.25" customHeight="1" x14ac:dyDescent="0.2">
      <c r="A2" s="1281" t="s">
        <v>37</v>
      </c>
      <c r="B2" s="518" t="s">
        <v>2</v>
      </c>
      <c r="C2" s="1281" t="s">
        <v>1035</v>
      </c>
      <c r="D2" s="1281" t="s">
        <v>1036</v>
      </c>
      <c r="E2" s="1281" t="s">
        <v>1056</v>
      </c>
      <c r="F2" s="1281" t="s">
        <v>1132</v>
      </c>
      <c r="G2" s="1281" t="s">
        <v>1133</v>
      </c>
      <c r="H2" s="1281" t="s">
        <v>1134</v>
      </c>
      <c r="I2" s="1281" t="s">
        <v>1135</v>
      </c>
      <c r="J2" s="1281" t="s">
        <v>1136</v>
      </c>
      <c r="K2" s="1281" t="s">
        <v>1137</v>
      </c>
      <c r="L2" s="1281" t="s">
        <v>1138</v>
      </c>
      <c r="M2" s="1281" t="s">
        <v>1139</v>
      </c>
      <c r="N2" s="1281" t="s">
        <v>1140</v>
      </c>
      <c r="O2" s="1281" t="s">
        <v>1141</v>
      </c>
      <c r="P2" s="1281" t="s">
        <v>1142</v>
      </c>
      <c r="Q2" s="1281" t="s">
        <v>1143</v>
      </c>
      <c r="R2" s="1281" t="s">
        <v>1144</v>
      </c>
      <c r="S2" s="1281" t="s">
        <v>1145</v>
      </c>
      <c r="T2" s="1281" t="s">
        <v>118</v>
      </c>
    </row>
    <row r="3" spans="1:22" s="456" customFormat="1" ht="21" customHeight="1" x14ac:dyDescent="0.2">
      <c r="A3" s="519" t="s">
        <v>194</v>
      </c>
      <c r="B3" s="519" t="s">
        <v>1146</v>
      </c>
      <c r="C3" s="520">
        <v>3869339111</v>
      </c>
      <c r="D3" s="520">
        <f t="shared" ref="D3:R3" si="0">+C3*1.001</f>
        <v>3873208450.1109996</v>
      </c>
      <c r="E3" s="520">
        <f t="shared" si="0"/>
        <v>3877081658.56111</v>
      </c>
      <c r="F3" s="520">
        <f t="shared" si="0"/>
        <v>3880958740.2196708</v>
      </c>
      <c r="G3" s="520">
        <f t="shared" si="0"/>
        <v>3884839698.9598899</v>
      </c>
      <c r="H3" s="520">
        <f t="shared" si="0"/>
        <v>3888724538.6588492</v>
      </c>
      <c r="I3" s="520">
        <f t="shared" si="0"/>
        <v>3892613263.1975079</v>
      </c>
      <c r="J3" s="520">
        <f t="shared" si="0"/>
        <v>3896505876.4607048</v>
      </c>
      <c r="K3" s="520">
        <f t="shared" si="0"/>
        <v>3900402382.3371649</v>
      </c>
      <c r="L3" s="520">
        <f t="shared" si="0"/>
        <v>3904302784.7195015</v>
      </c>
      <c r="M3" s="520">
        <f t="shared" si="0"/>
        <v>3908207087.5042205</v>
      </c>
      <c r="N3" s="520">
        <f t="shared" si="0"/>
        <v>3912115294.5917244</v>
      </c>
      <c r="O3" s="520">
        <f t="shared" si="0"/>
        <v>3916027409.8863158</v>
      </c>
      <c r="P3" s="520">
        <f t="shared" si="0"/>
        <v>3919943437.2962017</v>
      </c>
      <c r="Q3" s="520">
        <f t="shared" si="0"/>
        <v>3923863380.7334976</v>
      </c>
      <c r="R3" s="520">
        <f t="shared" si="0"/>
        <v>3927787244.1142306</v>
      </c>
      <c r="S3" s="520">
        <f>+R3*1.001</f>
        <v>3931715031.3583446</v>
      </c>
      <c r="T3" s="521">
        <f t="shared" ref="T3:T17" si="1">SUM(C3:S3)</f>
        <v>66307635389.709923</v>
      </c>
    </row>
    <row r="4" spans="1:22" s="456" customFormat="1" ht="21" customHeight="1" x14ac:dyDescent="0.2">
      <c r="A4" s="519" t="s">
        <v>195</v>
      </c>
      <c r="B4" s="519" t="s">
        <v>1451</v>
      </c>
      <c r="C4" s="520">
        <f>+C73</f>
        <v>159747611</v>
      </c>
      <c r="D4" s="520">
        <f>+C4*1.02</f>
        <v>162942563.22</v>
      </c>
      <c r="E4" s="520">
        <f t="shared" ref="E4:S4" si="2">+D4*1.02</f>
        <v>166201414.4844</v>
      </c>
      <c r="F4" s="520">
        <f t="shared" si="2"/>
        <v>169525442.774088</v>
      </c>
      <c r="G4" s="520">
        <f t="shared" si="2"/>
        <v>172915951.62956977</v>
      </c>
      <c r="H4" s="520">
        <f t="shared" si="2"/>
        <v>176374270.66216117</v>
      </c>
      <c r="I4" s="520">
        <f t="shared" si="2"/>
        <v>179901756.07540441</v>
      </c>
      <c r="J4" s="520">
        <f t="shared" si="2"/>
        <v>183499791.1969125</v>
      </c>
      <c r="K4" s="520">
        <f t="shared" si="2"/>
        <v>187169787.02085075</v>
      </c>
      <c r="L4" s="520">
        <f t="shared" si="2"/>
        <v>190913182.76126775</v>
      </c>
      <c r="M4" s="520">
        <f t="shared" si="2"/>
        <v>194731446.41649312</v>
      </c>
      <c r="N4" s="520">
        <f t="shared" si="2"/>
        <v>198626075.34482297</v>
      </c>
      <c r="O4" s="520">
        <f t="shared" si="2"/>
        <v>202598596.85171944</v>
      </c>
      <c r="P4" s="520">
        <f t="shared" si="2"/>
        <v>206650568.78875384</v>
      </c>
      <c r="Q4" s="520">
        <f t="shared" si="2"/>
        <v>210783580.16452891</v>
      </c>
      <c r="R4" s="520">
        <f t="shared" si="2"/>
        <v>214999251.76781949</v>
      </c>
      <c r="S4" s="520">
        <f t="shared" si="2"/>
        <v>219299236.8031759</v>
      </c>
      <c r="T4" s="521">
        <f t="shared" si="1"/>
        <v>3196880526.9619679</v>
      </c>
    </row>
    <row r="5" spans="1:22" s="456" customFormat="1" ht="21" customHeight="1" x14ac:dyDescent="0.2">
      <c r="A5" s="519" t="s">
        <v>196</v>
      </c>
      <c r="B5" s="519" t="s">
        <v>1452</v>
      </c>
      <c r="C5" s="520">
        <f>+C60</f>
        <v>4000000</v>
      </c>
      <c r="D5" s="520">
        <v>4000000</v>
      </c>
      <c r="E5" s="520">
        <v>4000000</v>
      </c>
      <c r="F5" s="520">
        <v>4000000</v>
      </c>
      <c r="G5" s="520">
        <v>4000000</v>
      </c>
      <c r="H5" s="520">
        <v>4000000</v>
      </c>
      <c r="I5" s="520">
        <v>4000000</v>
      </c>
      <c r="J5" s="520">
        <v>4000000</v>
      </c>
      <c r="K5" s="520">
        <v>4000000</v>
      </c>
      <c r="L5" s="520">
        <v>4000000</v>
      </c>
      <c r="M5" s="520">
        <v>4000000</v>
      </c>
      <c r="N5" s="520">
        <v>4000000</v>
      </c>
      <c r="O5" s="520">
        <v>4000000</v>
      </c>
      <c r="P5" s="520">
        <v>4000000</v>
      </c>
      <c r="Q5" s="520">
        <v>4000000</v>
      </c>
      <c r="R5" s="520">
        <v>4000000</v>
      </c>
      <c r="S5" s="520">
        <v>4000000</v>
      </c>
      <c r="T5" s="521">
        <f t="shared" si="1"/>
        <v>68000000</v>
      </c>
    </row>
    <row r="6" spans="1:22" s="456" customFormat="1" ht="33.75" customHeight="1" x14ac:dyDescent="0.2">
      <c r="A6" s="519" t="s">
        <v>197</v>
      </c>
      <c r="B6" s="519" t="s">
        <v>1453</v>
      </c>
      <c r="C6" s="520">
        <f>+C65</f>
        <v>720079203</v>
      </c>
      <c r="D6" s="520">
        <v>30000000</v>
      </c>
      <c r="E6" s="520">
        <v>30000000</v>
      </c>
      <c r="F6" s="520">
        <v>30000000</v>
      </c>
      <c r="G6" s="520">
        <v>30000000</v>
      </c>
      <c r="H6" s="520">
        <v>30000000</v>
      </c>
      <c r="I6" s="520">
        <v>30000000</v>
      </c>
      <c r="J6" s="520">
        <v>30000000</v>
      </c>
      <c r="K6" s="520">
        <v>30000000</v>
      </c>
      <c r="L6" s="520">
        <v>30000000</v>
      </c>
      <c r="M6" s="520">
        <v>30000000</v>
      </c>
      <c r="N6" s="520">
        <v>30000000</v>
      </c>
      <c r="O6" s="520">
        <v>30000000</v>
      </c>
      <c r="P6" s="520">
        <v>30000000</v>
      </c>
      <c r="Q6" s="520">
        <v>30000000</v>
      </c>
      <c r="R6" s="520">
        <v>30000000</v>
      </c>
      <c r="S6" s="520">
        <v>30000000</v>
      </c>
      <c r="T6" s="521">
        <f t="shared" si="1"/>
        <v>1200079203</v>
      </c>
    </row>
    <row r="7" spans="1:22" s="456" customFormat="1" ht="21" customHeight="1" x14ac:dyDescent="0.2">
      <c r="A7" s="519" t="s">
        <v>198</v>
      </c>
      <c r="B7" s="519" t="s">
        <v>1454</v>
      </c>
      <c r="C7" s="520">
        <v>0</v>
      </c>
      <c r="D7" s="520">
        <v>0</v>
      </c>
      <c r="E7" s="520">
        <v>0</v>
      </c>
      <c r="F7" s="520">
        <v>0</v>
      </c>
      <c r="G7" s="520">
        <v>0</v>
      </c>
      <c r="H7" s="520">
        <v>0</v>
      </c>
      <c r="I7" s="520">
        <v>0</v>
      </c>
      <c r="J7" s="520">
        <v>0</v>
      </c>
      <c r="K7" s="520">
        <v>0</v>
      </c>
      <c r="L7" s="520">
        <v>0</v>
      </c>
      <c r="M7" s="520">
        <v>0</v>
      </c>
      <c r="N7" s="520">
        <v>0</v>
      </c>
      <c r="O7" s="520">
        <v>0</v>
      </c>
      <c r="P7" s="520">
        <v>0</v>
      </c>
      <c r="Q7" s="520">
        <v>0</v>
      </c>
      <c r="R7" s="520">
        <v>0</v>
      </c>
      <c r="S7" s="520">
        <v>0</v>
      </c>
      <c r="T7" s="521">
        <f t="shared" si="1"/>
        <v>0</v>
      </c>
    </row>
    <row r="8" spans="1:22" s="456" customFormat="1" ht="21" customHeight="1" x14ac:dyDescent="0.2">
      <c r="A8" s="519" t="s">
        <v>199</v>
      </c>
      <c r="B8" s="519" t="s">
        <v>1455</v>
      </c>
      <c r="C8" s="520">
        <v>0</v>
      </c>
      <c r="D8" s="520">
        <v>0</v>
      </c>
      <c r="E8" s="520">
        <v>0</v>
      </c>
      <c r="F8" s="520">
        <v>0</v>
      </c>
      <c r="G8" s="520">
        <v>0</v>
      </c>
      <c r="H8" s="520">
        <v>0</v>
      </c>
      <c r="I8" s="520">
        <v>0</v>
      </c>
      <c r="J8" s="520">
        <v>0</v>
      </c>
      <c r="K8" s="520">
        <v>0</v>
      </c>
      <c r="L8" s="520">
        <v>0</v>
      </c>
      <c r="M8" s="520">
        <v>0</v>
      </c>
      <c r="N8" s="520">
        <v>0</v>
      </c>
      <c r="O8" s="520">
        <v>0</v>
      </c>
      <c r="P8" s="520">
        <v>0</v>
      </c>
      <c r="Q8" s="520">
        <v>0</v>
      </c>
      <c r="R8" s="520">
        <v>0</v>
      </c>
      <c r="S8" s="520">
        <v>0</v>
      </c>
      <c r="T8" s="521">
        <f t="shared" si="1"/>
        <v>0</v>
      </c>
    </row>
    <row r="9" spans="1:22" s="456" customFormat="1" ht="21" customHeight="1" x14ac:dyDescent="0.2">
      <c r="A9" s="519" t="s">
        <v>200</v>
      </c>
      <c r="B9" s="519" t="s">
        <v>1456</v>
      </c>
      <c r="C9" s="520">
        <v>0</v>
      </c>
      <c r="D9" s="520">
        <v>0</v>
      </c>
      <c r="E9" s="520">
        <v>0</v>
      </c>
      <c r="F9" s="520">
        <v>0</v>
      </c>
      <c r="G9" s="520">
        <v>0</v>
      </c>
      <c r="H9" s="520">
        <v>0</v>
      </c>
      <c r="I9" s="520">
        <v>0</v>
      </c>
      <c r="J9" s="520">
        <v>0</v>
      </c>
      <c r="K9" s="520">
        <v>0</v>
      </c>
      <c r="L9" s="520">
        <v>0</v>
      </c>
      <c r="M9" s="520">
        <v>0</v>
      </c>
      <c r="N9" s="520">
        <v>0</v>
      </c>
      <c r="O9" s="520">
        <v>0</v>
      </c>
      <c r="P9" s="520">
        <v>0</v>
      </c>
      <c r="Q9" s="520">
        <v>0</v>
      </c>
      <c r="R9" s="520">
        <v>0</v>
      </c>
      <c r="S9" s="520">
        <v>0</v>
      </c>
      <c r="T9" s="521">
        <f t="shared" si="1"/>
        <v>0</v>
      </c>
    </row>
    <row r="10" spans="1:22" s="456" customFormat="1" ht="21" customHeight="1" x14ac:dyDescent="0.2">
      <c r="A10" s="519" t="s">
        <v>201</v>
      </c>
      <c r="B10" s="518" t="s">
        <v>1147</v>
      </c>
      <c r="C10" s="521">
        <f>SUM(C3:C9)</f>
        <v>4753165925</v>
      </c>
      <c r="D10" s="521">
        <f t="shared" ref="D10:S10" si="3">SUM(D3:D9)</f>
        <v>4070151013.3309994</v>
      </c>
      <c r="E10" s="521">
        <f t="shared" si="3"/>
        <v>4077283073.0455098</v>
      </c>
      <c r="F10" s="521">
        <f t="shared" si="3"/>
        <v>4084484182.9937587</v>
      </c>
      <c r="G10" s="521">
        <f t="shared" si="3"/>
        <v>4091755650.5894594</v>
      </c>
      <c r="H10" s="521">
        <f t="shared" si="3"/>
        <v>4099098809.3210106</v>
      </c>
      <c r="I10" s="521">
        <f t="shared" si="3"/>
        <v>4106515019.272912</v>
      </c>
      <c r="J10" s="521">
        <f t="shared" si="3"/>
        <v>4114005667.6576171</v>
      </c>
      <c r="K10" s="521">
        <f t="shared" si="3"/>
        <v>4121572169.3580155</v>
      </c>
      <c r="L10" s="521">
        <f t="shared" si="3"/>
        <v>4129215967.4807692</v>
      </c>
      <c r="M10" s="521">
        <f t="shared" si="3"/>
        <v>4136938533.9207134</v>
      </c>
      <c r="N10" s="521">
        <f t="shared" si="3"/>
        <v>4144741369.9365473</v>
      </c>
      <c r="O10" s="521">
        <f t="shared" si="3"/>
        <v>4152626006.7380352</v>
      </c>
      <c r="P10" s="521">
        <f t="shared" si="3"/>
        <v>4160594006.0849557</v>
      </c>
      <c r="Q10" s="521">
        <f t="shared" si="3"/>
        <v>4168646960.8980265</v>
      </c>
      <c r="R10" s="521">
        <f t="shared" si="3"/>
        <v>4176786495.88205</v>
      </c>
      <c r="S10" s="521">
        <f t="shared" si="3"/>
        <v>4185014268.1615205</v>
      </c>
      <c r="T10" s="521">
        <f t="shared" si="1"/>
        <v>70772595119.67189</v>
      </c>
    </row>
    <row r="11" spans="1:22" s="456" customFormat="1" ht="21" customHeight="1" x14ac:dyDescent="0.2">
      <c r="A11" s="519" t="s">
        <v>202</v>
      </c>
      <c r="B11" s="518" t="s">
        <v>1148</v>
      </c>
      <c r="C11" s="521">
        <f t="shared" ref="C11:S11" si="4">C10*0.5</f>
        <v>2376582962.5</v>
      </c>
      <c r="D11" s="521">
        <f t="shared" si="4"/>
        <v>2035075506.6654997</v>
      </c>
      <c r="E11" s="521">
        <f t="shared" si="4"/>
        <v>2038641536.5227549</v>
      </c>
      <c r="F11" s="521">
        <f t="shared" si="4"/>
        <v>2042242091.4968793</v>
      </c>
      <c r="G11" s="521">
        <f t="shared" si="4"/>
        <v>2045877825.2947297</v>
      </c>
      <c r="H11" s="521">
        <f t="shared" si="4"/>
        <v>2049549404.6605053</v>
      </c>
      <c r="I11" s="521">
        <f t="shared" si="4"/>
        <v>2053257509.636456</v>
      </c>
      <c r="J11" s="521">
        <f t="shared" si="4"/>
        <v>2057002833.8288085</v>
      </c>
      <c r="K11" s="521">
        <f t="shared" si="4"/>
        <v>2060786084.6790078</v>
      </c>
      <c r="L11" s="521">
        <f t="shared" si="4"/>
        <v>2064607983.7403846</v>
      </c>
      <c r="M11" s="521">
        <f t="shared" si="4"/>
        <v>2068469266.9603567</v>
      </c>
      <c r="N11" s="521">
        <f t="shared" si="4"/>
        <v>2072370684.9682736</v>
      </c>
      <c r="O11" s="521">
        <f t="shared" si="4"/>
        <v>2076313003.3690176</v>
      </c>
      <c r="P11" s="521">
        <f t="shared" si="4"/>
        <v>2080297003.0424778</v>
      </c>
      <c r="Q11" s="521">
        <f t="shared" si="4"/>
        <v>2084323480.4490132</v>
      </c>
      <c r="R11" s="521">
        <f t="shared" si="4"/>
        <v>2088393247.941025</v>
      </c>
      <c r="S11" s="521">
        <f t="shared" si="4"/>
        <v>2092507134.0807602</v>
      </c>
      <c r="T11" s="521">
        <f t="shared" si="1"/>
        <v>35386297559.835945</v>
      </c>
    </row>
    <row r="12" spans="1:22" s="456" customFormat="1" ht="30" x14ac:dyDescent="0.2">
      <c r="A12" s="519" t="s">
        <v>203</v>
      </c>
      <c r="B12" s="518" t="s">
        <v>1149</v>
      </c>
      <c r="C12" s="521">
        <f t="shared" ref="C12:S12" si="5">C13+C22+C23+C24+C25+C26+C27+C28</f>
        <v>51255790</v>
      </c>
      <c r="D12" s="521">
        <f t="shared" si="5"/>
        <v>49846659</v>
      </c>
      <c r="E12" s="521">
        <f t="shared" si="5"/>
        <v>48437528</v>
      </c>
      <c r="F12" s="521">
        <f t="shared" si="5"/>
        <v>47028396</v>
      </c>
      <c r="G12" s="521">
        <f>G13+G22+G23+G24+G25+G26+G27+G28</f>
        <v>45619265</v>
      </c>
      <c r="H12" s="521">
        <f t="shared" si="5"/>
        <v>44210134</v>
      </c>
      <c r="I12" s="521">
        <f t="shared" si="5"/>
        <v>42801003</v>
      </c>
      <c r="J12" s="521">
        <f t="shared" si="5"/>
        <v>41391872</v>
      </c>
      <c r="K12" s="521">
        <f t="shared" si="5"/>
        <v>39982740</v>
      </c>
      <c r="L12" s="521">
        <f t="shared" si="5"/>
        <v>38573609</v>
      </c>
      <c r="M12" s="521">
        <f t="shared" si="5"/>
        <v>37164478</v>
      </c>
      <c r="N12" s="521">
        <f t="shared" si="5"/>
        <v>35755347</v>
      </c>
      <c r="O12" s="521">
        <f t="shared" si="5"/>
        <v>34346216</v>
      </c>
      <c r="P12" s="521">
        <f t="shared" si="5"/>
        <v>32937084</v>
      </c>
      <c r="Q12" s="521">
        <f t="shared" si="5"/>
        <v>31527953</v>
      </c>
      <c r="R12" s="521">
        <f t="shared" si="5"/>
        <v>30118821</v>
      </c>
      <c r="S12" s="521">
        <f t="shared" si="5"/>
        <v>21680822</v>
      </c>
      <c r="T12" s="521">
        <f t="shared" si="1"/>
        <v>672677717</v>
      </c>
    </row>
    <row r="13" spans="1:22" ht="21" customHeight="1" x14ac:dyDescent="0.2">
      <c r="A13" s="519" t="s">
        <v>204</v>
      </c>
      <c r="B13" s="519" t="s">
        <v>1150</v>
      </c>
      <c r="C13" s="520">
        <f t="shared" ref="C13:S13" si="6">+C14+C18</f>
        <v>51255790</v>
      </c>
      <c r="D13" s="520">
        <f t="shared" si="6"/>
        <v>49846659</v>
      </c>
      <c r="E13" s="520">
        <f t="shared" si="6"/>
        <v>48437528</v>
      </c>
      <c r="F13" s="520">
        <f t="shared" si="6"/>
        <v>47028396</v>
      </c>
      <c r="G13" s="520">
        <f t="shared" si="6"/>
        <v>45619265</v>
      </c>
      <c r="H13" s="520">
        <f t="shared" si="6"/>
        <v>44210134</v>
      </c>
      <c r="I13" s="520">
        <f t="shared" si="6"/>
        <v>42801003</v>
      </c>
      <c r="J13" s="520">
        <f t="shared" si="6"/>
        <v>41391872</v>
      </c>
      <c r="K13" s="520">
        <f t="shared" si="6"/>
        <v>39982740</v>
      </c>
      <c r="L13" s="520">
        <f t="shared" si="6"/>
        <v>38573609</v>
      </c>
      <c r="M13" s="520">
        <f t="shared" si="6"/>
        <v>37164478</v>
      </c>
      <c r="N13" s="520">
        <f t="shared" si="6"/>
        <v>35755347</v>
      </c>
      <c r="O13" s="520">
        <f t="shared" si="6"/>
        <v>34346216</v>
      </c>
      <c r="P13" s="520">
        <f t="shared" si="6"/>
        <v>32937084</v>
      </c>
      <c r="Q13" s="520">
        <f t="shared" si="6"/>
        <v>31527953</v>
      </c>
      <c r="R13" s="520">
        <f t="shared" si="6"/>
        <v>30118821</v>
      </c>
      <c r="S13" s="520">
        <f t="shared" si="6"/>
        <v>21680822</v>
      </c>
      <c r="T13" s="521">
        <f t="shared" si="1"/>
        <v>672677717</v>
      </c>
    </row>
    <row r="14" spans="1:22" ht="21" customHeight="1" x14ac:dyDescent="0.2">
      <c r="A14" s="519" t="s">
        <v>231</v>
      </c>
      <c r="B14" s="519" t="s">
        <v>1151</v>
      </c>
      <c r="C14" s="520">
        <f t="shared" ref="C14:S14" si="7">+C15+C16+C17</f>
        <v>28182624</v>
      </c>
      <c r="D14" s="520">
        <f t="shared" si="7"/>
        <v>28182624</v>
      </c>
      <c r="E14" s="520">
        <f t="shared" si="7"/>
        <v>28182624</v>
      </c>
      <c r="F14" s="520">
        <f t="shared" si="7"/>
        <v>28182624</v>
      </c>
      <c r="G14" s="520">
        <f t="shared" si="7"/>
        <v>28182624</v>
      </c>
      <c r="H14" s="520">
        <f t="shared" si="7"/>
        <v>28182624</v>
      </c>
      <c r="I14" s="520">
        <f t="shared" si="7"/>
        <v>28182624</v>
      </c>
      <c r="J14" s="520">
        <f t="shared" si="7"/>
        <v>28182624</v>
      </c>
      <c r="K14" s="520">
        <f t="shared" si="7"/>
        <v>28182624</v>
      </c>
      <c r="L14" s="520">
        <f t="shared" si="7"/>
        <v>28182624</v>
      </c>
      <c r="M14" s="520">
        <f t="shared" si="7"/>
        <v>28182624</v>
      </c>
      <c r="N14" s="520">
        <f t="shared" si="7"/>
        <v>28182624</v>
      </c>
      <c r="O14" s="520">
        <f t="shared" si="7"/>
        <v>28182624</v>
      </c>
      <c r="P14" s="520">
        <f t="shared" si="7"/>
        <v>28182624</v>
      </c>
      <c r="Q14" s="520">
        <f t="shared" si="7"/>
        <v>28182624</v>
      </c>
      <c r="R14" s="520">
        <f t="shared" si="7"/>
        <v>28182624</v>
      </c>
      <c r="S14" s="520">
        <f t="shared" si="7"/>
        <v>21109809</v>
      </c>
      <c r="T14" s="521">
        <f t="shared" si="1"/>
        <v>472031793</v>
      </c>
    </row>
    <row r="15" spans="1:22" ht="15.75" customHeight="1" x14ac:dyDescent="0.2">
      <c r="A15" s="519" t="s">
        <v>1152</v>
      </c>
      <c r="B15" s="519" t="s">
        <v>1153</v>
      </c>
      <c r="C15" s="520">
        <v>9743592</v>
      </c>
      <c r="D15" s="520">
        <v>9743592</v>
      </c>
      <c r="E15" s="520">
        <v>9743592</v>
      </c>
      <c r="F15" s="520">
        <v>9743592</v>
      </c>
      <c r="G15" s="520">
        <v>9743592</v>
      </c>
      <c r="H15" s="520">
        <v>9743592</v>
      </c>
      <c r="I15" s="520">
        <v>9743592</v>
      </c>
      <c r="J15" s="520">
        <v>9743592</v>
      </c>
      <c r="K15" s="520">
        <v>9743592</v>
      </c>
      <c r="L15" s="520">
        <v>9743592</v>
      </c>
      <c r="M15" s="520">
        <v>9743592</v>
      </c>
      <c r="N15" s="520">
        <v>9743592</v>
      </c>
      <c r="O15" s="520">
        <v>9743592</v>
      </c>
      <c r="P15" s="520">
        <v>9743592</v>
      </c>
      <c r="Q15" s="520">
        <v>9743592</v>
      </c>
      <c r="R15" s="520">
        <v>9743592</v>
      </c>
      <c r="S15" s="520">
        <v>9743629</v>
      </c>
      <c r="T15" s="521">
        <f t="shared" si="1"/>
        <v>165641101</v>
      </c>
      <c r="U15" s="619">
        <f>+'5.sz.tájék.táb Adósságszolgálat'!C24+'5.sz.tájék.táb Adósságszolgálat'!C25+'5.sz.tájék.táb Adósságszolgálat'!C26+'5.sz.tájék.táb Adósságszolgálat'!C27+'5.sz.tájék.táb Adósságszolgálat'!C28+'5.sz.tájék.táb Adósságszolgálat'!C29+'5.sz.tájék.táb Adósságszolgálat'!C30+'5.sz.tájék.táb Adósságszolgálat'!C31+'5.sz.tájék.táb Adósságszolgálat'!C32+'5.sz.tájék.táb Adósságszolgálat'!C33+'5.sz.tájék.táb Adósságszolgálat'!C34+'5.sz.tájék.táb Adósságszolgálat'!C35+'5.sz.tájék.táb Adósságszolgálat'!C36+'5.sz.tájék.táb Adósságszolgálat'!C37+'5.sz.tájék.táb Adósságszolgálat'!C38+'5.sz.tájék.táb Adósságszolgálat'!C39+'5.sz.tájék.táb Adósságszolgálat'!C40+'5.sz.tájék.táb Adósságszolgálat'!C41</f>
        <v>175384693</v>
      </c>
      <c r="V15" s="522">
        <f t="shared" ref="V15:V21" si="8">SUM(C15:S15)</f>
        <v>165641101</v>
      </c>
    </row>
    <row r="16" spans="1:22" ht="30" x14ac:dyDescent="0.2">
      <c r="A16" s="519" t="s">
        <v>1154</v>
      </c>
      <c r="B16" s="519" t="s">
        <v>1155</v>
      </c>
      <c r="C16" s="520">
        <v>4376000</v>
      </c>
      <c r="D16" s="520">
        <v>4376000</v>
      </c>
      <c r="E16" s="520">
        <v>4376000</v>
      </c>
      <c r="F16" s="520">
        <v>4376000</v>
      </c>
      <c r="G16" s="520">
        <v>4376000</v>
      </c>
      <c r="H16" s="520">
        <v>4376000</v>
      </c>
      <c r="I16" s="520">
        <v>4376000</v>
      </c>
      <c r="J16" s="520">
        <v>4376000</v>
      </c>
      <c r="K16" s="520">
        <v>4376000</v>
      </c>
      <c r="L16" s="520">
        <v>4376000</v>
      </c>
      <c r="M16" s="520">
        <v>4376000</v>
      </c>
      <c r="N16" s="520">
        <v>4376000</v>
      </c>
      <c r="O16" s="520">
        <v>4376000</v>
      </c>
      <c r="P16" s="520">
        <v>4376000</v>
      </c>
      <c r="Q16" s="520">
        <v>4376000</v>
      </c>
      <c r="R16" s="520">
        <v>4376000</v>
      </c>
      <c r="S16" s="520">
        <v>4334633</v>
      </c>
      <c r="T16" s="521">
        <f t="shared" si="1"/>
        <v>74350633</v>
      </c>
      <c r="U16" s="619">
        <f>+'5.sz.tájék.táb Adósságszolgálat'!D24+'5.sz.tájék.táb Adósságszolgálat'!D25+'5.sz.tájék.táb Adósságszolgálat'!D26+'5.sz.tájék.táb Adósságszolgálat'!D27+'5.sz.tájék.táb Adósságszolgálat'!D28+'5.sz.tájék.táb Adósságszolgálat'!D29+'5.sz.tájék.táb Adósságszolgálat'!D30+'5.sz.tájék.táb Adósságszolgálat'!D31+'5.sz.tájék.táb Adósságszolgálat'!D32+'5.sz.tájék.táb Adósságszolgálat'!D33+'5.sz.tájék.táb Adósságszolgálat'!D34+'5.sz.tájék.táb Adósságszolgálat'!D35+'5.sz.tájék.táb Adósságszolgálat'!D36+'5.sz.tájék.táb Adósságszolgálat'!D37+'5.sz.tájék.táb Adósságszolgálat'!D38+'5.sz.tájék.táb Adósságszolgálat'!D39+'5.sz.tájék.táb Adósságszolgálat'!D40+'5.sz.tájék.táb Adósságszolgálat'!D41</f>
        <v>78726633</v>
      </c>
      <c r="V16" s="522">
        <f t="shared" si="8"/>
        <v>74350633</v>
      </c>
    </row>
    <row r="17" spans="1:22" ht="17.25" customHeight="1" x14ac:dyDescent="0.2">
      <c r="A17" s="519" t="s">
        <v>1156</v>
      </c>
      <c r="B17" s="519" t="s">
        <v>1157</v>
      </c>
      <c r="C17" s="520">
        <v>14063032</v>
      </c>
      <c r="D17" s="520">
        <v>14063032</v>
      </c>
      <c r="E17" s="520">
        <v>14063032</v>
      </c>
      <c r="F17" s="520">
        <v>14063032</v>
      </c>
      <c r="G17" s="520">
        <v>14063032</v>
      </c>
      <c r="H17" s="520">
        <v>14063032</v>
      </c>
      <c r="I17" s="520">
        <v>14063032</v>
      </c>
      <c r="J17" s="520">
        <v>14063032</v>
      </c>
      <c r="K17" s="520">
        <v>14063032</v>
      </c>
      <c r="L17" s="520">
        <v>14063032</v>
      </c>
      <c r="M17" s="520">
        <v>14063032</v>
      </c>
      <c r="N17" s="520">
        <v>14063032</v>
      </c>
      <c r="O17" s="520">
        <v>14063032</v>
      </c>
      <c r="P17" s="520">
        <v>14063032</v>
      </c>
      <c r="Q17" s="520">
        <v>14063032</v>
      </c>
      <c r="R17" s="520">
        <v>14063032</v>
      </c>
      <c r="S17" s="520">
        <v>7031547</v>
      </c>
      <c r="T17" s="521">
        <f t="shared" si="1"/>
        <v>232040059</v>
      </c>
      <c r="U17" s="619">
        <f>+'5.sz.tájék.táb Adósságszolgálat'!B24+'5.sz.tájék.táb Adósságszolgálat'!B25+'5.sz.tájék.táb Adósságszolgálat'!B26+'5.sz.tájék.táb Adósságszolgálat'!B27+'5.sz.tájék.táb Adósságszolgálat'!B28+'5.sz.tájék.táb Adósságszolgálat'!B29+'5.sz.tájék.táb Adósságszolgálat'!B30+'5.sz.tájék.táb Adósságszolgálat'!B31+'5.sz.tájék.táb Adósságszolgálat'!B32+'5.sz.tájék.táb Adósságszolgálat'!B33+'5.sz.tájék.táb Adósságszolgálat'!B34+'5.sz.tájék.táb Adósságszolgálat'!B35+'5.sz.tájék.táb Adósságszolgálat'!B36+'5.sz.tájék.táb Adósságszolgálat'!B37+'5.sz.tájék.táb Adósságszolgálat'!B38+'5.sz.tájék.táb Adósságszolgálat'!B39+'5.sz.tájék.táb Adósságszolgálat'!B40+'5.sz.tájék.táb Adósságszolgálat'!B41</f>
        <v>246103091</v>
      </c>
      <c r="V17" s="522">
        <f t="shared" si="8"/>
        <v>232040059</v>
      </c>
    </row>
    <row r="18" spans="1:22" ht="15.75" customHeight="1" x14ac:dyDescent="0.2">
      <c r="A18" s="519" t="s">
        <v>232</v>
      </c>
      <c r="B18" s="519" t="s">
        <v>1158</v>
      </c>
      <c r="C18" s="520">
        <f t="shared" ref="C18:T18" si="9">SUM(C19:C21)</f>
        <v>23073166</v>
      </c>
      <c r="D18" s="520">
        <f t="shared" si="9"/>
        <v>21664035</v>
      </c>
      <c r="E18" s="520">
        <f t="shared" si="9"/>
        <v>20254904</v>
      </c>
      <c r="F18" s="520">
        <f t="shared" si="9"/>
        <v>18845772</v>
      </c>
      <c r="G18" s="520">
        <f t="shared" si="9"/>
        <v>17436641</v>
      </c>
      <c r="H18" s="520">
        <f t="shared" si="9"/>
        <v>16027510</v>
      </c>
      <c r="I18" s="520">
        <f t="shared" si="9"/>
        <v>14618379</v>
      </c>
      <c r="J18" s="520">
        <f>SUM(J19:J21)</f>
        <v>13209248</v>
      </c>
      <c r="K18" s="520">
        <f t="shared" si="9"/>
        <v>11800116</v>
      </c>
      <c r="L18" s="520">
        <f t="shared" si="9"/>
        <v>10390985</v>
      </c>
      <c r="M18" s="520">
        <f t="shared" si="9"/>
        <v>8981854</v>
      </c>
      <c r="N18" s="520">
        <f t="shared" si="9"/>
        <v>7572723</v>
      </c>
      <c r="O18" s="520">
        <f t="shared" si="9"/>
        <v>6163592</v>
      </c>
      <c r="P18" s="520">
        <f t="shared" si="9"/>
        <v>4754460</v>
      </c>
      <c r="Q18" s="520">
        <f t="shared" si="9"/>
        <v>3345329</v>
      </c>
      <c r="R18" s="520">
        <f t="shared" si="9"/>
        <v>1936197</v>
      </c>
      <c r="S18" s="520">
        <f t="shared" si="9"/>
        <v>571013</v>
      </c>
      <c r="T18" s="521">
        <f t="shared" si="9"/>
        <v>200645924</v>
      </c>
      <c r="V18" s="522">
        <f t="shared" si="8"/>
        <v>200645924</v>
      </c>
    </row>
    <row r="19" spans="1:22" ht="17.25" customHeight="1" x14ac:dyDescent="0.2">
      <c r="A19" s="519" t="s">
        <v>1159</v>
      </c>
      <c r="B19" s="519" t="s">
        <v>1153</v>
      </c>
      <c r="C19" s="520">
        <v>8099363</v>
      </c>
      <c r="D19" s="520">
        <v>7612183</v>
      </c>
      <c r="E19" s="520">
        <v>7125004</v>
      </c>
      <c r="F19" s="520">
        <v>6637824</v>
      </c>
      <c r="G19" s="520">
        <v>6150644</v>
      </c>
      <c r="H19" s="520">
        <v>5663465</v>
      </c>
      <c r="I19" s="520">
        <v>5176285</v>
      </c>
      <c r="J19" s="520">
        <v>4689106</v>
      </c>
      <c r="K19" s="520">
        <v>4201926</v>
      </c>
      <c r="L19" s="520">
        <v>3714746</v>
      </c>
      <c r="M19" s="520">
        <v>3227567</v>
      </c>
      <c r="N19" s="520">
        <v>2740387</v>
      </c>
      <c r="O19" s="520">
        <v>2253208</v>
      </c>
      <c r="P19" s="520">
        <v>1766028</v>
      </c>
      <c r="Q19" s="520">
        <v>1278848</v>
      </c>
      <c r="R19" s="520">
        <v>791669</v>
      </c>
      <c r="S19" s="520">
        <v>304489</v>
      </c>
      <c r="T19" s="521">
        <f t="shared" ref="T19:T31" si="10">SUM(C19:S19)</f>
        <v>71432742</v>
      </c>
      <c r="V19" s="522">
        <f t="shared" si="8"/>
        <v>71432742</v>
      </c>
    </row>
    <row r="20" spans="1:22" ht="30" x14ac:dyDescent="0.2">
      <c r="A20" s="519" t="s">
        <v>1160</v>
      </c>
      <c r="B20" s="519" t="s">
        <v>1155</v>
      </c>
      <c r="C20" s="520">
        <v>3635482</v>
      </c>
      <c r="D20" s="520">
        <v>3416682</v>
      </c>
      <c r="E20" s="520">
        <v>3197882</v>
      </c>
      <c r="F20" s="520">
        <v>2979082</v>
      </c>
      <c r="G20" s="520">
        <v>2760282</v>
      </c>
      <c r="H20" s="520">
        <v>2541482</v>
      </c>
      <c r="I20" s="520">
        <v>2322682</v>
      </c>
      <c r="J20" s="520">
        <v>2103882</v>
      </c>
      <c r="K20" s="520">
        <v>1885082</v>
      </c>
      <c r="L20" s="520">
        <v>1666282</v>
      </c>
      <c r="M20" s="520">
        <v>1447482</v>
      </c>
      <c r="N20" s="520">
        <v>1228682</v>
      </c>
      <c r="O20" s="520">
        <v>1009882</v>
      </c>
      <c r="P20" s="520">
        <v>791082</v>
      </c>
      <c r="Q20" s="520">
        <v>572282</v>
      </c>
      <c r="R20" s="520">
        <v>353482</v>
      </c>
      <c r="S20">
        <v>134682</v>
      </c>
      <c r="T20" s="521">
        <f t="shared" si="10"/>
        <v>32046394</v>
      </c>
      <c r="V20" s="522">
        <f t="shared" si="8"/>
        <v>32046394</v>
      </c>
    </row>
    <row r="21" spans="1:22" ht="15" x14ac:dyDescent="0.2">
      <c r="A21" s="519" t="s">
        <v>1161</v>
      </c>
      <c r="B21" s="519" t="s">
        <v>1157</v>
      </c>
      <c r="C21" s="520">
        <v>11338321</v>
      </c>
      <c r="D21" s="520">
        <v>10635170</v>
      </c>
      <c r="E21" s="520">
        <v>9932018</v>
      </c>
      <c r="F21" s="520">
        <v>9228866</v>
      </c>
      <c r="G21" s="520">
        <v>8525715</v>
      </c>
      <c r="H21" s="520">
        <v>7822563</v>
      </c>
      <c r="I21" s="520">
        <v>7119412</v>
      </c>
      <c r="J21" s="520">
        <v>6416260</v>
      </c>
      <c r="K21" s="520">
        <v>5713108</v>
      </c>
      <c r="L21" s="520">
        <v>5009957</v>
      </c>
      <c r="M21" s="520">
        <v>4306805</v>
      </c>
      <c r="N21" s="520">
        <v>3603654</v>
      </c>
      <c r="O21" s="520">
        <v>2900502</v>
      </c>
      <c r="P21" s="520">
        <v>2197350</v>
      </c>
      <c r="Q21" s="520">
        <v>1494199</v>
      </c>
      <c r="R21" s="520">
        <v>791046</v>
      </c>
      <c r="S21" s="520">
        <v>131842</v>
      </c>
      <c r="T21" s="521">
        <f t="shared" si="10"/>
        <v>97166788</v>
      </c>
      <c r="V21" s="522">
        <f t="shared" si="8"/>
        <v>97166788</v>
      </c>
    </row>
    <row r="22" spans="1:22" ht="20.25" customHeight="1" x14ac:dyDescent="0.2">
      <c r="A22" s="519" t="s">
        <v>233</v>
      </c>
      <c r="B22" s="519" t="s">
        <v>1162</v>
      </c>
      <c r="C22" s="520"/>
      <c r="D22" s="520"/>
      <c r="E22" s="520"/>
      <c r="F22" s="520"/>
      <c r="G22" s="520"/>
      <c r="H22" s="520"/>
      <c r="I22" s="520"/>
      <c r="J22" s="520"/>
      <c r="K22" s="520"/>
      <c r="L22" s="520"/>
      <c r="M22" s="520"/>
      <c r="N22" s="520"/>
      <c r="O22" s="520"/>
      <c r="P22" s="520"/>
      <c r="Q22" s="520"/>
      <c r="R22" s="520"/>
      <c r="S22" s="520"/>
      <c r="T22" s="521">
        <f t="shared" si="10"/>
        <v>0</v>
      </c>
    </row>
    <row r="23" spans="1:22" ht="21" customHeight="1" x14ac:dyDescent="0.2">
      <c r="A23" s="519" t="s">
        <v>234</v>
      </c>
      <c r="B23" s="519" t="s">
        <v>1163</v>
      </c>
      <c r="C23" s="520"/>
      <c r="D23" s="520"/>
      <c r="E23" s="520"/>
      <c r="F23" s="520"/>
      <c r="G23" s="520"/>
      <c r="H23" s="520"/>
      <c r="I23" s="520"/>
      <c r="J23" s="520"/>
      <c r="K23" s="520"/>
      <c r="L23" s="520"/>
      <c r="M23" s="520"/>
      <c r="N23" s="520"/>
      <c r="O23" s="520"/>
      <c r="P23" s="520"/>
      <c r="Q23" s="520"/>
      <c r="R23" s="520"/>
      <c r="S23" s="520"/>
      <c r="T23" s="521">
        <f t="shared" si="10"/>
        <v>0</v>
      </c>
    </row>
    <row r="24" spans="1:22" ht="21" customHeight="1" x14ac:dyDescent="0.2">
      <c r="A24" s="519" t="s">
        <v>235</v>
      </c>
      <c r="B24" s="519" t="s">
        <v>1164</v>
      </c>
      <c r="C24" s="520"/>
      <c r="D24" s="520"/>
      <c r="E24" s="520"/>
      <c r="F24" s="520"/>
      <c r="G24" s="520"/>
      <c r="H24" s="520"/>
      <c r="I24" s="520"/>
      <c r="J24" s="520"/>
      <c r="K24" s="520"/>
      <c r="L24" s="520"/>
      <c r="M24" s="520"/>
      <c r="N24" s="520"/>
      <c r="O24" s="520"/>
      <c r="P24" s="520"/>
      <c r="Q24" s="520"/>
      <c r="R24" s="520"/>
      <c r="S24" s="520"/>
      <c r="T24" s="521">
        <f t="shared" si="10"/>
        <v>0</v>
      </c>
    </row>
    <row r="25" spans="1:22" ht="20.25" customHeight="1" x14ac:dyDescent="0.2">
      <c r="A25" s="519" t="s">
        <v>236</v>
      </c>
      <c r="B25" s="519" t="s">
        <v>1165</v>
      </c>
      <c r="C25" s="520"/>
      <c r="D25" s="520"/>
      <c r="E25" s="520"/>
      <c r="F25" s="520"/>
      <c r="G25" s="520"/>
      <c r="H25" s="520"/>
      <c r="I25" s="520"/>
      <c r="J25" s="520"/>
      <c r="K25" s="520"/>
      <c r="L25" s="520"/>
      <c r="M25" s="520"/>
      <c r="N25" s="520"/>
      <c r="O25" s="520"/>
      <c r="P25" s="520"/>
      <c r="Q25" s="520"/>
      <c r="R25" s="520"/>
      <c r="S25" s="520"/>
      <c r="T25" s="521">
        <f t="shared" si="10"/>
        <v>0</v>
      </c>
    </row>
    <row r="26" spans="1:22" ht="20.25" customHeight="1" x14ac:dyDescent="0.2">
      <c r="A26" s="519" t="s">
        <v>237</v>
      </c>
      <c r="B26" s="519" t="s">
        <v>1166</v>
      </c>
      <c r="C26" s="520"/>
      <c r="D26" s="520"/>
      <c r="E26" s="520"/>
      <c r="F26" s="520"/>
      <c r="G26" s="520"/>
      <c r="H26" s="520"/>
      <c r="I26" s="520"/>
      <c r="J26" s="520"/>
      <c r="K26" s="520"/>
      <c r="L26" s="520"/>
      <c r="M26" s="520"/>
      <c r="N26" s="520"/>
      <c r="O26" s="520"/>
      <c r="P26" s="520"/>
      <c r="Q26" s="520"/>
      <c r="R26" s="520"/>
      <c r="S26" s="520"/>
      <c r="T26" s="521">
        <f t="shared" si="10"/>
        <v>0</v>
      </c>
    </row>
    <row r="27" spans="1:22" ht="22.5" customHeight="1" x14ac:dyDescent="0.2">
      <c r="A27" s="519" t="s">
        <v>238</v>
      </c>
      <c r="B27" s="519" t="s">
        <v>1167</v>
      </c>
      <c r="C27" s="520"/>
      <c r="D27" s="520"/>
      <c r="E27" s="520"/>
      <c r="F27" s="520"/>
      <c r="G27" s="520"/>
      <c r="H27" s="520"/>
      <c r="I27" s="520"/>
      <c r="J27" s="520"/>
      <c r="K27" s="520"/>
      <c r="L27" s="520"/>
      <c r="M27" s="520"/>
      <c r="N27" s="520"/>
      <c r="O27" s="520"/>
      <c r="P27" s="520"/>
      <c r="Q27" s="520"/>
      <c r="R27" s="520"/>
      <c r="S27" s="520"/>
      <c r="T27" s="521">
        <f t="shared" si="10"/>
        <v>0</v>
      </c>
    </row>
    <row r="28" spans="1:22" ht="22.5" customHeight="1" x14ac:dyDescent="0.2">
      <c r="A28" s="519" t="s">
        <v>239</v>
      </c>
      <c r="B28" s="519" t="s">
        <v>1168</v>
      </c>
      <c r="C28" s="520"/>
      <c r="D28" s="520"/>
      <c r="E28" s="520"/>
      <c r="F28" s="520"/>
      <c r="G28" s="520"/>
      <c r="H28" s="520"/>
      <c r="I28" s="520"/>
      <c r="J28" s="520"/>
      <c r="K28" s="520"/>
      <c r="L28" s="520"/>
      <c r="M28" s="520"/>
      <c r="N28" s="520"/>
      <c r="O28" s="520"/>
      <c r="P28" s="520"/>
      <c r="Q28" s="520"/>
      <c r="R28" s="520"/>
      <c r="S28" s="520"/>
      <c r="T28" s="521">
        <f t="shared" si="10"/>
        <v>0</v>
      </c>
    </row>
    <row r="29" spans="1:22" ht="30" x14ac:dyDescent="0.2">
      <c r="A29" s="519" t="s">
        <v>266</v>
      </c>
      <c r="B29" s="518" t="s">
        <v>1169</v>
      </c>
      <c r="C29" s="521">
        <f t="shared" ref="C29:S29" si="11">C30+C39+C40+C41+C42+C43+C44+C45</f>
        <v>0</v>
      </c>
      <c r="D29" s="521">
        <f t="shared" si="11"/>
        <v>0</v>
      </c>
      <c r="E29" s="521">
        <f t="shared" si="11"/>
        <v>0</v>
      </c>
      <c r="F29" s="521">
        <f t="shared" si="11"/>
        <v>0</v>
      </c>
      <c r="G29" s="521">
        <f t="shared" si="11"/>
        <v>0</v>
      </c>
      <c r="H29" s="521">
        <f t="shared" si="11"/>
        <v>0</v>
      </c>
      <c r="I29" s="521">
        <f t="shared" si="11"/>
        <v>0</v>
      </c>
      <c r="J29" s="521">
        <f t="shared" si="11"/>
        <v>0</v>
      </c>
      <c r="K29" s="521">
        <f t="shared" si="11"/>
        <v>0</v>
      </c>
      <c r="L29" s="521">
        <f t="shared" si="11"/>
        <v>0</v>
      </c>
      <c r="M29" s="521">
        <f t="shared" si="11"/>
        <v>0</v>
      </c>
      <c r="N29" s="521">
        <f t="shared" si="11"/>
        <v>0</v>
      </c>
      <c r="O29" s="521">
        <f t="shared" si="11"/>
        <v>0</v>
      </c>
      <c r="P29" s="521">
        <f t="shared" si="11"/>
        <v>0</v>
      </c>
      <c r="Q29" s="521">
        <f t="shared" si="11"/>
        <v>0</v>
      </c>
      <c r="R29" s="521">
        <f t="shared" si="11"/>
        <v>0</v>
      </c>
      <c r="S29" s="521">
        <f t="shared" si="11"/>
        <v>0</v>
      </c>
      <c r="T29" s="521">
        <f t="shared" si="10"/>
        <v>0</v>
      </c>
    </row>
    <row r="30" spans="1:22" ht="18.75" customHeight="1" x14ac:dyDescent="0.2">
      <c r="A30" s="519" t="s">
        <v>267</v>
      </c>
      <c r="B30" s="519" t="s">
        <v>1170</v>
      </c>
      <c r="C30" s="520">
        <f t="shared" ref="C30:S30" si="12">SUM(C31:C35)</f>
        <v>0</v>
      </c>
      <c r="D30" s="520">
        <f t="shared" si="12"/>
        <v>0</v>
      </c>
      <c r="E30" s="520">
        <f t="shared" si="12"/>
        <v>0</v>
      </c>
      <c r="F30" s="520">
        <f t="shared" si="12"/>
        <v>0</v>
      </c>
      <c r="G30" s="520">
        <f t="shared" si="12"/>
        <v>0</v>
      </c>
      <c r="H30" s="520">
        <f t="shared" si="12"/>
        <v>0</v>
      </c>
      <c r="I30" s="520">
        <f t="shared" si="12"/>
        <v>0</v>
      </c>
      <c r="J30" s="520">
        <f t="shared" si="12"/>
        <v>0</v>
      </c>
      <c r="K30" s="520">
        <f t="shared" si="12"/>
        <v>0</v>
      </c>
      <c r="L30" s="520">
        <f t="shared" si="12"/>
        <v>0</v>
      </c>
      <c r="M30" s="520">
        <f t="shared" si="12"/>
        <v>0</v>
      </c>
      <c r="N30" s="520">
        <f t="shared" si="12"/>
        <v>0</v>
      </c>
      <c r="O30" s="520">
        <f t="shared" si="12"/>
        <v>0</v>
      </c>
      <c r="P30" s="520">
        <f t="shared" si="12"/>
        <v>0</v>
      </c>
      <c r="Q30" s="520">
        <f t="shared" si="12"/>
        <v>0</v>
      </c>
      <c r="R30" s="520">
        <f t="shared" si="12"/>
        <v>0</v>
      </c>
      <c r="S30" s="520">
        <f t="shared" si="12"/>
        <v>0</v>
      </c>
      <c r="T30" s="521">
        <f t="shared" si="10"/>
        <v>0</v>
      </c>
    </row>
    <row r="31" spans="1:22" ht="18.75" customHeight="1" x14ac:dyDescent="0.2">
      <c r="A31" s="519" t="s">
        <v>268</v>
      </c>
      <c r="B31" s="519" t="s">
        <v>1171</v>
      </c>
      <c r="C31" s="520">
        <f t="shared" ref="C31:S31" si="13">+C32+C33+C34</f>
        <v>0</v>
      </c>
      <c r="D31" s="520">
        <f t="shared" si="13"/>
        <v>0</v>
      </c>
      <c r="E31" s="520">
        <f t="shared" si="13"/>
        <v>0</v>
      </c>
      <c r="F31" s="520">
        <f t="shared" si="13"/>
        <v>0</v>
      </c>
      <c r="G31" s="520">
        <f t="shared" si="13"/>
        <v>0</v>
      </c>
      <c r="H31" s="520">
        <f t="shared" si="13"/>
        <v>0</v>
      </c>
      <c r="I31" s="520">
        <f t="shared" si="13"/>
        <v>0</v>
      </c>
      <c r="J31" s="520">
        <f t="shared" si="13"/>
        <v>0</v>
      </c>
      <c r="K31" s="520">
        <f t="shared" si="13"/>
        <v>0</v>
      </c>
      <c r="L31" s="520">
        <f t="shared" si="13"/>
        <v>0</v>
      </c>
      <c r="M31" s="520">
        <f t="shared" si="13"/>
        <v>0</v>
      </c>
      <c r="N31" s="520">
        <f t="shared" si="13"/>
        <v>0</v>
      </c>
      <c r="O31" s="520">
        <f t="shared" si="13"/>
        <v>0</v>
      </c>
      <c r="P31" s="520">
        <f t="shared" si="13"/>
        <v>0</v>
      </c>
      <c r="Q31" s="520">
        <f t="shared" si="13"/>
        <v>0</v>
      </c>
      <c r="R31" s="520">
        <f t="shared" si="13"/>
        <v>0</v>
      </c>
      <c r="S31" s="520">
        <f t="shared" si="13"/>
        <v>0</v>
      </c>
      <c r="T31" s="521">
        <f t="shared" si="10"/>
        <v>0</v>
      </c>
    </row>
    <row r="32" spans="1:22" ht="19.5" customHeight="1" x14ac:dyDescent="0.2">
      <c r="A32" s="519" t="s">
        <v>1172</v>
      </c>
      <c r="B32" s="519" t="s">
        <v>1153</v>
      </c>
      <c r="C32" s="520"/>
      <c r="D32" s="520"/>
      <c r="E32" s="520"/>
      <c r="F32" s="520"/>
      <c r="G32" s="520"/>
      <c r="H32" s="520"/>
      <c r="I32" s="520"/>
      <c r="J32" s="520"/>
      <c r="K32" s="520"/>
      <c r="L32" s="520"/>
      <c r="M32" s="520"/>
      <c r="N32" s="520"/>
      <c r="O32" s="520"/>
      <c r="P32" s="520"/>
      <c r="Q32" s="520"/>
      <c r="R32" s="520"/>
      <c r="S32" s="520"/>
      <c r="T32" s="521"/>
    </row>
    <row r="33" spans="1:23" ht="30" x14ac:dyDescent="0.2">
      <c r="A33" s="519" t="s">
        <v>1173</v>
      </c>
      <c r="B33" s="519" t="s">
        <v>1155</v>
      </c>
      <c r="C33" s="520"/>
      <c r="D33" s="520"/>
      <c r="E33" s="520"/>
      <c r="F33" s="520"/>
      <c r="G33" s="520"/>
      <c r="H33" s="520"/>
      <c r="I33" s="520"/>
      <c r="J33" s="520"/>
      <c r="K33" s="520"/>
      <c r="L33" s="520"/>
      <c r="M33" s="520"/>
      <c r="N33" s="520"/>
      <c r="O33" s="520"/>
      <c r="P33" s="520"/>
      <c r="Q33" s="520"/>
      <c r="R33" s="520"/>
      <c r="S33" s="520"/>
      <c r="T33" s="521"/>
    </row>
    <row r="34" spans="1:23" ht="18" customHeight="1" x14ac:dyDescent="0.2">
      <c r="A34" s="519" t="s">
        <v>1174</v>
      </c>
      <c r="B34" s="519" t="s">
        <v>1157</v>
      </c>
      <c r="C34" s="520"/>
      <c r="D34" s="520"/>
      <c r="E34" s="520"/>
      <c r="F34" s="520"/>
      <c r="G34" s="520"/>
      <c r="H34" s="520"/>
      <c r="I34" s="520"/>
      <c r="J34" s="520"/>
      <c r="K34" s="520"/>
      <c r="L34" s="520"/>
      <c r="M34" s="520"/>
      <c r="N34" s="520"/>
      <c r="O34" s="520"/>
      <c r="P34" s="520"/>
      <c r="Q34" s="520"/>
      <c r="R34" s="520"/>
      <c r="S34" s="520"/>
      <c r="T34" s="521"/>
    </row>
    <row r="35" spans="1:23" ht="18" customHeight="1" x14ac:dyDescent="0.2">
      <c r="A35" s="519" t="s">
        <v>269</v>
      </c>
      <c r="B35" s="519" t="s">
        <v>1175</v>
      </c>
      <c r="C35" s="520">
        <f t="shared" ref="C35:S35" si="14">+C36+C37+C38</f>
        <v>0</v>
      </c>
      <c r="D35" s="520">
        <f t="shared" si="14"/>
        <v>0</v>
      </c>
      <c r="E35" s="520">
        <f t="shared" si="14"/>
        <v>0</v>
      </c>
      <c r="F35" s="520">
        <f t="shared" si="14"/>
        <v>0</v>
      </c>
      <c r="G35" s="520">
        <f t="shared" si="14"/>
        <v>0</v>
      </c>
      <c r="H35" s="520">
        <f t="shared" si="14"/>
        <v>0</v>
      </c>
      <c r="I35" s="520">
        <f t="shared" si="14"/>
        <v>0</v>
      </c>
      <c r="J35" s="520">
        <f t="shared" si="14"/>
        <v>0</v>
      </c>
      <c r="K35" s="520">
        <f t="shared" si="14"/>
        <v>0</v>
      </c>
      <c r="L35" s="520">
        <f t="shared" si="14"/>
        <v>0</v>
      </c>
      <c r="M35" s="520">
        <f t="shared" si="14"/>
        <v>0</v>
      </c>
      <c r="N35" s="520">
        <f t="shared" si="14"/>
        <v>0</v>
      </c>
      <c r="O35" s="520">
        <f t="shared" si="14"/>
        <v>0</v>
      </c>
      <c r="P35" s="520">
        <f t="shared" si="14"/>
        <v>0</v>
      </c>
      <c r="Q35" s="520">
        <f t="shared" si="14"/>
        <v>0</v>
      </c>
      <c r="R35" s="520">
        <f t="shared" si="14"/>
        <v>0</v>
      </c>
      <c r="S35" s="520">
        <f t="shared" si="14"/>
        <v>0</v>
      </c>
      <c r="T35" s="521">
        <f>SUM(C35:S35)</f>
        <v>0</v>
      </c>
    </row>
    <row r="36" spans="1:23" ht="18" customHeight="1" x14ac:dyDescent="0.2">
      <c r="A36" s="519" t="s">
        <v>1176</v>
      </c>
      <c r="B36" s="519" t="s">
        <v>1153</v>
      </c>
      <c r="C36" s="520"/>
      <c r="D36" s="520"/>
      <c r="E36" s="520"/>
      <c r="F36" s="520"/>
      <c r="G36" s="520"/>
      <c r="H36" s="520"/>
      <c r="I36" s="520"/>
      <c r="J36" s="520"/>
      <c r="K36" s="520"/>
      <c r="L36" s="520"/>
      <c r="M36" s="520"/>
      <c r="N36" s="520"/>
      <c r="O36" s="520"/>
      <c r="P36" s="520"/>
      <c r="Q36" s="520"/>
      <c r="R36" s="520"/>
      <c r="S36" s="520"/>
      <c r="T36" s="521"/>
    </row>
    <row r="37" spans="1:23" ht="30" x14ac:dyDescent="0.2">
      <c r="A37" s="519" t="s">
        <v>1177</v>
      </c>
      <c r="B37" s="519" t="s">
        <v>1155</v>
      </c>
      <c r="C37" s="520"/>
      <c r="D37" s="520"/>
      <c r="E37" s="520"/>
      <c r="F37" s="520"/>
      <c r="G37" s="520"/>
      <c r="H37" s="520"/>
      <c r="I37" s="520"/>
      <c r="J37" s="520"/>
      <c r="K37" s="520"/>
      <c r="L37" s="520"/>
      <c r="M37" s="520"/>
      <c r="N37" s="520"/>
      <c r="O37" s="520"/>
      <c r="P37" s="520"/>
      <c r="Q37" s="520"/>
      <c r="R37" s="520"/>
      <c r="S37" s="520"/>
      <c r="T37" s="521"/>
    </row>
    <row r="38" spans="1:23" ht="17.25" customHeight="1" x14ac:dyDescent="0.2">
      <c r="A38" s="519" t="s">
        <v>1178</v>
      </c>
      <c r="B38" s="519" t="s">
        <v>1157</v>
      </c>
      <c r="C38" s="520"/>
      <c r="D38" s="520"/>
      <c r="E38" s="520"/>
      <c r="F38" s="520"/>
      <c r="G38" s="520"/>
      <c r="H38" s="520"/>
      <c r="I38" s="520"/>
      <c r="J38" s="520"/>
      <c r="K38" s="520"/>
      <c r="L38" s="520"/>
      <c r="M38" s="520"/>
      <c r="N38" s="520"/>
      <c r="O38" s="520"/>
      <c r="P38" s="520"/>
      <c r="Q38" s="520"/>
      <c r="R38" s="520"/>
      <c r="S38" s="520"/>
      <c r="T38" s="521"/>
    </row>
    <row r="39" spans="1:23" ht="17.25" customHeight="1" x14ac:dyDescent="0.2">
      <c r="A39" s="519" t="s">
        <v>270</v>
      </c>
      <c r="B39" s="519" t="s">
        <v>1162</v>
      </c>
      <c r="C39" s="520"/>
      <c r="D39" s="520"/>
      <c r="E39" s="520"/>
      <c r="F39" s="520"/>
      <c r="G39" s="520"/>
      <c r="H39" s="520"/>
      <c r="I39" s="520"/>
      <c r="J39" s="520"/>
      <c r="K39" s="520"/>
      <c r="L39" s="520"/>
      <c r="M39" s="520"/>
      <c r="N39" s="520"/>
      <c r="O39" s="520"/>
      <c r="P39" s="520"/>
      <c r="Q39" s="520"/>
      <c r="R39" s="520"/>
      <c r="S39" s="520"/>
      <c r="T39" s="521">
        <f t="shared" ref="T39:T47" si="15">SUM(C39:S39)</f>
        <v>0</v>
      </c>
    </row>
    <row r="40" spans="1:23" ht="17.25" customHeight="1" x14ac:dyDescent="0.2">
      <c r="A40" s="519" t="s">
        <v>271</v>
      </c>
      <c r="B40" s="519" t="s">
        <v>1163</v>
      </c>
      <c r="C40" s="520"/>
      <c r="D40" s="520"/>
      <c r="E40" s="520"/>
      <c r="F40" s="520"/>
      <c r="G40" s="520"/>
      <c r="H40" s="520"/>
      <c r="I40" s="520"/>
      <c r="J40" s="520"/>
      <c r="K40" s="520"/>
      <c r="L40" s="520"/>
      <c r="M40" s="520"/>
      <c r="N40" s="520"/>
      <c r="O40" s="520"/>
      <c r="P40" s="520"/>
      <c r="Q40" s="520"/>
      <c r="R40" s="520"/>
      <c r="S40" s="520"/>
      <c r="T40" s="521">
        <f t="shared" si="15"/>
        <v>0</v>
      </c>
    </row>
    <row r="41" spans="1:23" ht="20.25" customHeight="1" x14ac:dyDescent="0.2">
      <c r="A41" s="519" t="s">
        <v>272</v>
      </c>
      <c r="B41" s="519" t="s">
        <v>1164</v>
      </c>
      <c r="C41" s="520"/>
      <c r="D41" s="520"/>
      <c r="E41" s="520"/>
      <c r="F41" s="520"/>
      <c r="G41" s="520"/>
      <c r="H41" s="520"/>
      <c r="I41" s="520"/>
      <c r="J41" s="520"/>
      <c r="K41" s="520"/>
      <c r="L41" s="520"/>
      <c r="M41" s="520"/>
      <c r="N41" s="520"/>
      <c r="O41" s="520"/>
      <c r="P41" s="520"/>
      <c r="Q41" s="520"/>
      <c r="R41" s="520"/>
      <c r="S41" s="520"/>
      <c r="T41" s="521">
        <f t="shared" si="15"/>
        <v>0</v>
      </c>
    </row>
    <row r="42" spans="1:23" ht="20.25" customHeight="1" x14ac:dyDescent="0.2">
      <c r="A42" s="519" t="s">
        <v>273</v>
      </c>
      <c r="B42" s="519" t="s">
        <v>1165</v>
      </c>
      <c r="C42" s="520"/>
      <c r="D42" s="520"/>
      <c r="E42" s="520"/>
      <c r="F42" s="520"/>
      <c r="G42" s="520"/>
      <c r="H42" s="520"/>
      <c r="I42" s="520"/>
      <c r="J42" s="520"/>
      <c r="K42" s="520"/>
      <c r="L42" s="520"/>
      <c r="M42" s="520"/>
      <c r="N42" s="520"/>
      <c r="O42" s="520"/>
      <c r="P42" s="520"/>
      <c r="Q42" s="520"/>
      <c r="R42" s="520"/>
      <c r="S42" s="520"/>
      <c r="T42" s="521">
        <f t="shared" si="15"/>
        <v>0</v>
      </c>
    </row>
    <row r="43" spans="1:23" ht="20.25" customHeight="1" x14ac:dyDescent="0.2">
      <c r="A43" s="519" t="s">
        <v>274</v>
      </c>
      <c r="B43" s="519" t="s">
        <v>1166</v>
      </c>
      <c r="C43" s="520"/>
      <c r="D43" s="520"/>
      <c r="E43" s="520"/>
      <c r="F43" s="520"/>
      <c r="G43" s="520"/>
      <c r="H43" s="520"/>
      <c r="I43" s="520"/>
      <c r="J43" s="520"/>
      <c r="K43" s="520"/>
      <c r="L43" s="520"/>
      <c r="M43" s="520"/>
      <c r="N43" s="520"/>
      <c r="O43" s="520"/>
      <c r="P43" s="520"/>
      <c r="Q43" s="520"/>
      <c r="R43" s="520"/>
      <c r="S43" s="520"/>
      <c r="T43" s="521">
        <f t="shared" si="15"/>
        <v>0</v>
      </c>
    </row>
    <row r="44" spans="1:23" ht="20.25" customHeight="1" x14ac:dyDescent="0.2">
      <c r="A44" s="519" t="s">
        <v>275</v>
      </c>
      <c r="B44" s="519" t="s">
        <v>1167</v>
      </c>
      <c r="C44" s="520"/>
      <c r="D44" s="520"/>
      <c r="E44" s="520"/>
      <c r="F44" s="520"/>
      <c r="G44" s="520"/>
      <c r="H44" s="520"/>
      <c r="I44" s="520"/>
      <c r="J44" s="520"/>
      <c r="K44" s="520"/>
      <c r="L44" s="520"/>
      <c r="M44" s="520"/>
      <c r="N44" s="520"/>
      <c r="O44" s="520"/>
      <c r="P44" s="520"/>
      <c r="Q44" s="520"/>
      <c r="R44" s="520"/>
      <c r="S44" s="520"/>
      <c r="T44" s="521">
        <f t="shared" si="15"/>
        <v>0</v>
      </c>
    </row>
    <row r="45" spans="1:23" ht="20.25" customHeight="1" x14ac:dyDescent="0.2">
      <c r="A45" s="519" t="s">
        <v>276</v>
      </c>
      <c r="B45" s="519" t="s">
        <v>1168</v>
      </c>
      <c r="C45" s="520"/>
      <c r="D45" s="520"/>
      <c r="E45" s="520"/>
      <c r="F45" s="520"/>
      <c r="G45" s="520"/>
      <c r="H45" s="520"/>
      <c r="I45" s="520"/>
      <c r="J45" s="520"/>
      <c r="K45" s="520"/>
      <c r="L45" s="520"/>
      <c r="M45" s="520"/>
      <c r="N45" s="520"/>
      <c r="O45" s="520"/>
      <c r="P45" s="520"/>
      <c r="Q45" s="520"/>
      <c r="R45" s="520"/>
      <c r="S45" s="520"/>
      <c r="T45" s="521">
        <f t="shared" si="15"/>
        <v>0</v>
      </c>
    </row>
    <row r="46" spans="1:23" ht="20.25" customHeight="1" x14ac:dyDescent="0.2">
      <c r="A46" s="519" t="s">
        <v>277</v>
      </c>
      <c r="B46" s="518" t="s">
        <v>1179</v>
      </c>
      <c r="C46" s="521">
        <f t="shared" ref="C46:S46" si="16">SUM(C12+C29)</f>
        <v>51255790</v>
      </c>
      <c r="D46" s="521">
        <f t="shared" si="16"/>
        <v>49846659</v>
      </c>
      <c r="E46" s="521">
        <f t="shared" si="16"/>
        <v>48437528</v>
      </c>
      <c r="F46" s="521">
        <f t="shared" si="16"/>
        <v>47028396</v>
      </c>
      <c r="G46" s="521">
        <f t="shared" si="16"/>
        <v>45619265</v>
      </c>
      <c r="H46" s="521">
        <f t="shared" si="16"/>
        <v>44210134</v>
      </c>
      <c r="I46" s="521">
        <f t="shared" si="16"/>
        <v>42801003</v>
      </c>
      <c r="J46" s="521">
        <f t="shared" si="16"/>
        <v>41391872</v>
      </c>
      <c r="K46" s="521">
        <f t="shared" si="16"/>
        <v>39982740</v>
      </c>
      <c r="L46" s="521">
        <f t="shared" si="16"/>
        <v>38573609</v>
      </c>
      <c r="M46" s="521">
        <f t="shared" si="16"/>
        <v>37164478</v>
      </c>
      <c r="N46" s="521">
        <f t="shared" si="16"/>
        <v>35755347</v>
      </c>
      <c r="O46" s="521">
        <f t="shared" si="16"/>
        <v>34346216</v>
      </c>
      <c r="P46" s="521">
        <f t="shared" si="16"/>
        <v>32937084</v>
      </c>
      <c r="Q46" s="521">
        <f t="shared" si="16"/>
        <v>31527953</v>
      </c>
      <c r="R46" s="521">
        <f t="shared" si="16"/>
        <v>30118821</v>
      </c>
      <c r="S46" s="521">
        <f t="shared" si="16"/>
        <v>21680822</v>
      </c>
      <c r="T46" s="521">
        <f t="shared" si="15"/>
        <v>672677717</v>
      </c>
    </row>
    <row r="47" spans="1:23" ht="21" customHeight="1" x14ac:dyDescent="0.2">
      <c r="A47" s="519" t="s">
        <v>278</v>
      </c>
      <c r="B47" s="518" t="s">
        <v>1180</v>
      </c>
      <c r="C47" s="521">
        <f t="shared" ref="C47:S47" si="17">C11-C46</f>
        <v>2325327172.5</v>
      </c>
      <c r="D47" s="521">
        <f t="shared" si="17"/>
        <v>1985228847.6654997</v>
      </c>
      <c r="E47" s="521">
        <f t="shared" si="17"/>
        <v>1990204008.5227549</v>
      </c>
      <c r="F47" s="521">
        <f t="shared" si="17"/>
        <v>1995213695.4968793</v>
      </c>
      <c r="G47" s="521">
        <f t="shared" si="17"/>
        <v>2000258560.2947297</v>
      </c>
      <c r="H47" s="521">
        <f t="shared" si="17"/>
        <v>2005339270.6605053</v>
      </c>
      <c r="I47" s="521">
        <f t="shared" si="17"/>
        <v>2010456506.636456</v>
      </c>
      <c r="J47" s="521">
        <f t="shared" si="17"/>
        <v>2015610961.8288085</v>
      </c>
      <c r="K47" s="521">
        <f t="shared" si="17"/>
        <v>2020803344.6790078</v>
      </c>
      <c r="L47" s="521">
        <f t="shared" si="17"/>
        <v>2026034374.7403846</v>
      </c>
      <c r="M47" s="521">
        <f t="shared" si="17"/>
        <v>2031304788.9603567</v>
      </c>
      <c r="N47" s="521">
        <f t="shared" si="17"/>
        <v>2036615337.9682736</v>
      </c>
      <c r="O47" s="521">
        <f t="shared" si="17"/>
        <v>2041966787.3690176</v>
      </c>
      <c r="P47" s="521">
        <f t="shared" si="17"/>
        <v>2047359919.0424778</v>
      </c>
      <c r="Q47" s="521">
        <f t="shared" si="17"/>
        <v>2052795527.4490132</v>
      </c>
      <c r="R47" s="521">
        <f t="shared" si="17"/>
        <v>2058274426.941025</v>
      </c>
      <c r="S47" s="521">
        <f t="shared" si="17"/>
        <v>2070826312.0807602</v>
      </c>
      <c r="T47" s="521">
        <f t="shared" si="15"/>
        <v>34713619842.835945</v>
      </c>
    </row>
    <row r="48" spans="1:23" ht="15" x14ac:dyDescent="0.2">
      <c r="A48" s="523"/>
      <c r="B48" s="523" t="s">
        <v>1181</v>
      </c>
      <c r="C48" s="524"/>
      <c r="D48" s="524"/>
      <c r="E48" s="524"/>
      <c r="F48" s="524"/>
      <c r="G48" s="524"/>
      <c r="H48" s="524"/>
      <c r="I48" s="524"/>
      <c r="J48" s="524"/>
      <c r="K48" s="524"/>
      <c r="L48" s="524"/>
      <c r="M48" s="524"/>
      <c r="N48" s="524"/>
      <c r="O48" s="524"/>
      <c r="P48" s="524"/>
      <c r="Q48" s="524"/>
      <c r="R48" s="524"/>
      <c r="S48" s="524"/>
      <c r="T48" s="524"/>
      <c r="U48" s="524"/>
      <c r="V48" s="524"/>
      <c r="W48" s="525"/>
    </row>
    <row r="49" spans="1:25" ht="30" x14ac:dyDescent="0.2">
      <c r="A49" s="1959"/>
      <c r="B49" s="1962" t="s">
        <v>1500</v>
      </c>
      <c r="C49" s="1965">
        <f>+'13.sz. Közhatalmi bevételek'!Q5</f>
        <v>3869339111</v>
      </c>
      <c r="D49" s="520" t="s">
        <v>1182</v>
      </c>
      <c r="E49" s="520"/>
      <c r="F49" s="519"/>
      <c r="G49" s="523"/>
      <c r="H49" s="524"/>
      <c r="I49" s="524"/>
      <c r="J49" s="527" t="s">
        <v>1183</v>
      </c>
      <c r="K49" s="528"/>
      <c r="L49" s="524"/>
      <c r="M49" s="524"/>
      <c r="N49" s="524"/>
      <c r="O49" s="524"/>
      <c r="P49" s="524"/>
      <c r="Q49" s="524"/>
      <c r="R49" s="524"/>
      <c r="S49" s="524"/>
      <c r="T49" s="524"/>
      <c r="U49" s="524"/>
      <c r="V49" s="524"/>
      <c r="W49" s="525"/>
    </row>
    <row r="50" spans="1:25" ht="43.15" customHeight="1" x14ac:dyDescent="0.2">
      <c r="A50" s="1960"/>
      <c r="B50" s="1963"/>
      <c r="C50" s="1966"/>
      <c r="D50" s="520" t="s">
        <v>1184</v>
      </c>
      <c r="E50" s="520"/>
      <c r="F50" s="520"/>
      <c r="G50" s="524"/>
      <c r="H50" s="524"/>
      <c r="I50" s="524"/>
      <c r="J50" s="529" t="s">
        <v>1185</v>
      </c>
      <c r="K50" s="530"/>
      <c r="L50" s="523"/>
      <c r="M50" s="524"/>
      <c r="N50" s="524"/>
      <c r="O50" s="524"/>
      <c r="P50" s="524"/>
      <c r="Q50" s="524"/>
      <c r="R50" s="524"/>
      <c r="S50" s="524"/>
      <c r="T50" s="524"/>
      <c r="U50" s="524"/>
      <c r="V50" s="524"/>
      <c r="W50" s="525"/>
      <c r="X50" s="524"/>
      <c r="Y50" s="524"/>
    </row>
    <row r="51" spans="1:25" ht="15" x14ac:dyDescent="0.2">
      <c r="A51" s="1960"/>
      <c r="B51" s="1963"/>
      <c r="C51" s="1966"/>
      <c r="D51" s="520" t="s">
        <v>1186</v>
      </c>
      <c r="E51" s="520"/>
      <c r="F51" s="520"/>
      <c r="G51" s="524"/>
      <c r="H51" s="524"/>
      <c r="I51" s="524"/>
      <c r="J51" s="529" t="s">
        <v>1187</v>
      </c>
      <c r="K51" s="530"/>
      <c r="L51" s="524"/>
      <c r="M51" s="524"/>
      <c r="N51" s="524"/>
      <c r="O51" s="524"/>
      <c r="P51" s="524"/>
      <c r="Q51" s="524"/>
      <c r="R51" s="524"/>
      <c r="S51" s="524"/>
      <c r="T51" s="524"/>
      <c r="U51" s="524"/>
      <c r="V51" s="524"/>
      <c r="W51" s="525"/>
      <c r="X51" s="524"/>
      <c r="Y51" s="524"/>
    </row>
    <row r="52" spans="1:25" ht="15" x14ac:dyDescent="0.2">
      <c r="A52" s="1960"/>
      <c r="B52" s="1963"/>
      <c r="C52" s="1966"/>
      <c r="D52" s="520" t="s">
        <v>1188</v>
      </c>
      <c r="E52" s="520"/>
      <c r="F52" s="520"/>
      <c r="G52" s="524"/>
      <c r="H52" s="524"/>
      <c r="I52" s="524"/>
      <c r="J52" s="529"/>
      <c r="K52" s="530"/>
      <c r="L52" s="524"/>
      <c r="M52" s="524"/>
      <c r="N52" s="524"/>
      <c r="O52" s="524"/>
      <c r="P52" s="524"/>
      <c r="Q52" s="524"/>
      <c r="R52" s="524"/>
      <c r="S52" s="524"/>
      <c r="T52" s="524"/>
      <c r="U52" s="524"/>
      <c r="V52" s="524"/>
      <c r="W52" s="525"/>
      <c r="X52" s="524"/>
      <c r="Y52" s="524"/>
    </row>
    <row r="53" spans="1:25" ht="45" x14ac:dyDescent="0.2">
      <c r="A53" s="1960"/>
      <c r="B53" s="1964"/>
      <c r="C53" s="1967"/>
      <c r="D53" s="520" t="s">
        <v>1189</v>
      </c>
      <c r="E53" s="520"/>
      <c r="F53" s="520" t="s">
        <v>1190</v>
      </c>
      <c r="G53" s="524" t="s">
        <v>1191</v>
      </c>
      <c r="H53" s="524">
        <v>112472000</v>
      </c>
      <c r="I53" s="524"/>
      <c r="J53" s="529"/>
      <c r="K53" s="530"/>
      <c r="L53" s="524"/>
      <c r="M53" s="524"/>
      <c r="N53" s="524"/>
      <c r="O53" s="524"/>
      <c r="P53" s="524"/>
      <c r="Q53" s="524"/>
      <c r="R53" s="524"/>
      <c r="S53" s="524"/>
      <c r="T53" s="524"/>
      <c r="U53" s="524"/>
      <c r="V53" s="524"/>
      <c r="W53" s="525"/>
    </row>
    <row r="54" spans="1:25" ht="30" x14ac:dyDescent="0.2">
      <c r="A54" s="1960"/>
      <c r="B54" s="519" t="s">
        <v>1192</v>
      </c>
      <c r="C54" s="526">
        <f>+'1.b sz. Önkormányzat 2022.'!BX48</f>
        <v>136416896</v>
      </c>
      <c r="D54" s="520" t="s">
        <v>1193</v>
      </c>
      <c r="E54" s="520"/>
      <c r="F54" s="520"/>
      <c r="G54" s="524"/>
      <c r="H54" s="524"/>
      <c r="I54" s="524"/>
      <c r="J54" s="529" t="s">
        <v>1194</v>
      </c>
      <c r="K54" s="530"/>
      <c r="L54" s="524"/>
      <c r="M54" s="524"/>
      <c r="N54" s="524"/>
      <c r="O54" s="524"/>
      <c r="P54" s="524"/>
      <c r="Q54" s="524"/>
      <c r="R54" s="524"/>
      <c r="S54" s="524"/>
      <c r="T54" s="524"/>
      <c r="U54" s="524"/>
      <c r="V54" s="524"/>
      <c r="W54" s="525"/>
    </row>
    <row r="55" spans="1:25" ht="15" x14ac:dyDescent="0.2">
      <c r="A55" s="1960"/>
      <c r="B55" s="519"/>
      <c r="C55" s="526"/>
      <c r="D55" s="520"/>
      <c r="E55" s="520"/>
      <c r="F55" s="520"/>
      <c r="G55" s="524"/>
      <c r="H55" s="524"/>
      <c r="I55" s="524"/>
      <c r="J55" s="529"/>
      <c r="K55" s="530"/>
      <c r="L55" s="524"/>
      <c r="M55" s="524"/>
      <c r="N55" s="524"/>
      <c r="O55" s="524"/>
      <c r="P55" s="524"/>
      <c r="Q55" s="524"/>
      <c r="R55" s="524"/>
      <c r="S55" s="524"/>
      <c r="T55" s="524"/>
      <c r="U55" s="524"/>
      <c r="V55" s="524"/>
      <c r="W55" s="525"/>
    </row>
    <row r="56" spans="1:25" ht="30" x14ac:dyDescent="0.2">
      <c r="A56" s="1960"/>
      <c r="B56" s="518" t="s">
        <v>118</v>
      </c>
      <c r="C56" s="531">
        <f>SUM(C49:C55)</f>
        <v>4005756007</v>
      </c>
      <c r="D56" s="520" t="s">
        <v>1195</v>
      </c>
      <c r="E56" s="520"/>
      <c r="F56" s="520"/>
      <c r="G56" s="524"/>
      <c r="H56" s="524"/>
      <c r="I56" s="524"/>
      <c r="J56" s="529" t="s">
        <v>1196</v>
      </c>
      <c r="K56" s="530"/>
      <c r="L56" s="524"/>
      <c r="M56" s="524"/>
      <c r="N56" s="524"/>
      <c r="O56" s="524"/>
      <c r="P56" s="524"/>
      <c r="Q56" s="524"/>
      <c r="R56" s="524"/>
      <c r="S56" s="524"/>
      <c r="T56" s="524"/>
      <c r="U56" s="524"/>
      <c r="V56" s="524"/>
      <c r="W56" s="525"/>
    </row>
    <row r="57" spans="1:25" ht="15" x14ac:dyDescent="0.2">
      <c r="A57" s="532"/>
      <c r="B57" s="519" t="s">
        <v>1197</v>
      </c>
      <c r="C57" s="526"/>
      <c r="D57" s="520" t="s">
        <v>1198</v>
      </c>
      <c r="E57" s="520"/>
      <c r="F57" s="520"/>
      <c r="G57" s="524"/>
      <c r="H57" s="524"/>
      <c r="I57" s="524"/>
      <c r="J57" s="529" t="s">
        <v>1199</v>
      </c>
      <c r="K57" s="530"/>
      <c r="L57" s="524"/>
      <c r="M57" s="524"/>
      <c r="N57" s="524"/>
      <c r="O57" s="524"/>
      <c r="P57" s="524"/>
      <c r="Q57" s="524"/>
      <c r="R57" s="524"/>
      <c r="S57" s="524"/>
      <c r="T57" s="524"/>
      <c r="U57" s="524"/>
      <c r="V57" s="524"/>
      <c r="W57" s="525"/>
    </row>
    <row r="58" spans="1:25" ht="15" x14ac:dyDescent="0.2">
      <c r="A58" s="532"/>
      <c r="B58" s="519" t="s">
        <v>1200</v>
      </c>
      <c r="C58" s="526"/>
      <c r="D58" s="520" t="s">
        <v>1201</v>
      </c>
      <c r="E58" s="520"/>
      <c r="F58" s="520"/>
      <c r="G58" s="524"/>
      <c r="H58" s="524"/>
      <c r="I58" s="524"/>
      <c r="J58" s="529"/>
      <c r="K58" s="530"/>
      <c r="L58" s="524"/>
      <c r="M58" s="524"/>
      <c r="N58" s="524"/>
      <c r="O58" s="524"/>
      <c r="P58" s="524"/>
      <c r="Q58" s="524"/>
      <c r="R58" s="524"/>
      <c r="S58" s="524"/>
      <c r="T58" s="524"/>
      <c r="U58" s="524"/>
      <c r="V58" s="524"/>
      <c r="W58" s="525"/>
    </row>
    <row r="59" spans="1:25" ht="15" x14ac:dyDescent="0.2">
      <c r="A59" s="532"/>
      <c r="B59" s="519" t="s">
        <v>1202</v>
      </c>
      <c r="C59" s="526"/>
      <c r="D59" s="520"/>
      <c r="E59" s="520"/>
      <c r="F59" s="520"/>
      <c r="G59" s="524"/>
      <c r="H59" s="524"/>
      <c r="I59" s="524"/>
      <c r="J59" s="529"/>
      <c r="K59" s="530"/>
      <c r="L59" s="524"/>
      <c r="M59" s="524"/>
      <c r="N59" s="524"/>
      <c r="O59" s="524"/>
      <c r="P59" s="524"/>
      <c r="Q59" s="524"/>
      <c r="R59" s="524"/>
      <c r="S59" s="524"/>
      <c r="T59" s="524"/>
      <c r="U59" s="524"/>
      <c r="V59" s="524"/>
      <c r="W59" s="525"/>
    </row>
    <row r="60" spans="1:25" ht="15" x14ac:dyDescent="0.2">
      <c r="A60" s="532"/>
      <c r="B60" s="519" t="s">
        <v>1203</v>
      </c>
      <c r="C60" s="526">
        <f>+'2.1. sz. PMH'!J33</f>
        <v>4000000</v>
      </c>
      <c r="D60" s="520" t="s">
        <v>118</v>
      </c>
      <c r="E60" s="520"/>
      <c r="F60" s="520"/>
      <c r="G60" s="524"/>
      <c r="H60" s="524"/>
      <c r="I60" s="524"/>
      <c r="J60" s="533" t="s">
        <v>1204</v>
      </c>
      <c r="K60" s="534"/>
      <c r="L60" s="524"/>
      <c r="M60" s="524"/>
      <c r="N60" s="524"/>
      <c r="O60" s="524"/>
      <c r="P60" s="524"/>
      <c r="Q60" s="524"/>
      <c r="R60" s="524"/>
      <c r="S60" s="524"/>
      <c r="T60" s="524"/>
      <c r="U60" s="524"/>
      <c r="V60" s="524"/>
      <c r="W60" s="525"/>
    </row>
    <row r="61" spans="1:25" ht="15" x14ac:dyDescent="0.2">
      <c r="A61" s="532"/>
      <c r="B61" s="519" t="s">
        <v>1205</v>
      </c>
      <c r="C61" s="526"/>
      <c r="D61" s="520"/>
      <c r="E61" s="520"/>
      <c r="F61" s="520"/>
      <c r="G61" s="524"/>
      <c r="H61" s="524"/>
      <c r="I61" s="524"/>
      <c r="J61" s="524"/>
      <c r="K61" s="524"/>
      <c r="L61" s="524"/>
      <c r="M61" s="524"/>
      <c r="N61" s="524"/>
      <c r="O61" s="524"/>
      <c r="P61" s="524"/>
      <c r="Q61" s="524"/>
      <c r="R61" s="524"/>
      <c r="S61" s="524"/>
      <c r="T61" s="524"/>
      <c r="U61" s="524"/>
      <c r="V61" s="524"/>
      <c r="W61" s="525"/>
    </row>
    <row r="62" spans="1:25" ht="15" x14ac:dyDescent="0.2">
      <c r="A62" s="532"/>
      <c r="B62" s="519"/>
      <c r="C62" s="526"/>
      <c r="D62" s="520"/>
      <c r="E62" s="520"/>
      <c r="F62" s="520"/>
      <c r="G62" s="524"/>
      <c r="H62" s="524"/>
      <c r="I62" s="524"/>
      <c r="J62" s="524"/>
      <c r="K62" s="524"/>
      <c r="L62" s="524"/>
      <c r="M62" s="524"/>
      <c r="N62" s="524"/>
      <c r="O62" s="524"/>
      <c r="P62" s="524"/>
      <c r="Q62" s="524"/>
      <c r="R62" s="524"/>
      <c r="S62" s="524"/>
      <c r="T62" s="524"/>
      <c r="U62" s="524"/>
      <c r="V62" s="524"/>
      <c r="W62" s="525"/>
    </row>
    <row r="63" spans="1:25" ht="15" x14ac:dyDescent="0.2">
      <c r="A63" s="535"/>
      <c r="B63" s="518" t="s">
        <v>118</v>
      </c>
      <c r="C63" s="531">
        <f>SUM(C58:C62)</f>
        <v>4000000</v>
      </c>
      <c r="D63" s="520"/>
      <c r="E63" s="520"/>
      <c r="F63" s="520"/>
      <c r="G63" s="524"/>
      <c r="H63" s="524"/>
      <c r="I63" s="524"/>
      <c r="J63" s="524"/>
      <c r="K63" s="524"/>
      <c r="L63" s="524"/>
      <c r="M63" s="524"/>
      <c r="N63" s="524"/>
      <c r="O63" s="524"/>
      <c r="P63" s="524"/>
      <c r="Q63" s="524"/>
      <c r="R63" s="524"/>
      <c r="S63" s="524"/>
      <c r="T63" s="524"/>
      <c r="U63" s="524"/>
      <c r="V63" s="524"/>
      <c r="W63" s="525"/>
    </row>
    <row r="64" spans="1:25" ht="30" x14ac:dyDescent="0.2">
      <c r="A64" s="532"/>
      <c r="B64" s="519" t="s">
        <v>1206</v>
      </c>
      <c r="C64" s="526"/>
      <c r="D64" s="520" t="s">
        <v>1192</v>
      </c>
      <c r="E64" s="520"/>
      <c r="F64" s="520" t="s">
        <v>1207</v>
      </c>
      <c r="G64" s="524"/>
      <c r="H64" s="524"/>
      <c r="I64" s="524"/>
      <c r="J64" s="524"/>
      <c r="K64" s="524"/>
      <c r="L64" s="524"/>
      <c r="M64" s="524"/>
      <c r="N64" s="524"/>
      <c r="O64" s="524"/>
      <c r="P64" s="524"/>
      <c r="Q64" s="524"/>
      <c r="R64" s="524"/>
      <c r="S64" s="524"/>
      <c r="T64" s="524"/>
      <c r="U64" s="524"/>
      <c r="V64" s="524"/>
      <c r="W64" s="525"/>
    </row>
    <row r="65" spans="1:23" ht="15" x14ac:dyDescent="0.2">
      <c r="A65" s="532"/>
      <c r="B65" s="519" t="s">
        <v>1208</v>
      </c>
      <c r="C65" s="531">
        <f>+'1.a sz. Önkormányzat 2022. '!Z34</f>
        <v>720079203</v>
      </c>
      <c r="D65" s="520"/>
      <c r="E65" s="520"/>
      <c r="F65" s="520"/>
      <c r="G65" s="524"/>
      <c r="H65" s="524"/>
      <c r="I65" s="524"/>
      <c r="J65" s="524"/>
      <c r="K65" s="524"/>
      <c r="L65" s="524"/>
      <c r="M65" s="524"/>
      <c r="N65" s="524"/>
      <c r="O65" s="524"/>
      <c r="P65" s="524"/>
      <c r="Q65" s="524"/>
      <c r="R65" s="524"/>
      <c r="S65" s="524"/>
      <c r="T65" s="524"/>
      <c r="U65" s="524"/>
      <c r="V65" s="524"/>
      <c r="W65" s="525"/>
    </row>
    <row r="66" spans="1:23" ht="15" x14ac:dyDescent="0.2">
      <c r="A66" s="532"/>
      <c r="B66" s="519" t="s">
        <v>1457</v>
      </c>
      <c r="C66" s="526"/>
      <c r="D66" s="520"/>
      <c r="E66" s="520"/>
      <c r="F66" s="520"/>
      <c r="G66" s="524"/>
      <c r="H66" s="524"/>
      <c r="I66" s="524"/>
      <c r="J66" s="524"/>
      <c r="K66" s="524"/>
      <c r="L66" s="524"/>
      <c r="M66" s="524"/>
      <c r="N66" s="524"/>
      <c r="O66" s="524"/>
      <c r="P66" s="524"/>
      <c r="Q66" s="524"/>
      <c r="R66" s="524"/>
      <c r="S66" s="524"/>
      <c r="T66" s="524"/>
      <c r="U66" s="524"/>
      <c r="V66" s="524"/>
      <c r="W66" s="525"/>
    </row>
    <row r="67" spans="1:23" ht="15" x14ac:dyDescent="0.2">
      <c r="A67" s="532"/>
      <c r="B67" s="519" t="s">
        <v>1280</v>
      </c>
      <c r="C67" s="526">
        <f>+'1.a sz. Önkormányzat 2022. '!BZ33</f>
        <v>751000</v>
      </c>
      <c r="D67" s="520"/>
      <c r="E67" s="520"/>
      <c r="F67" s="520"/>
      <c r="G67" s="524"/>
      <c r="H67" s="524"/>
      <c r="I67" s="524"/>
      <c r="J67" s="524"/>
      <c r="K67" s="524"/>
      <c r="L67" s="524"/>
      <c r="M67" s="524"/>
      <c r="N67" s="524"/>
      <c r="O67" s="524"/>
      <c r="P67" s="524"/>
      <c r="Q67" s="524"/>
      <c r="R67" s="524"/>
      <c r="S67" s="524"/>
      <c r="T67" s="524"/>
      <c r="U67" s="524"/>
      <c r="V67" s="524"/>
      <c r="W67" s="525"/>
    </row>
    <row r="68" spans="1:23" ht="15" x14ac:dyDescent="0.2">
      <c r="A68" s="532"/>
      <c r="B68" s="519" t="s">
        <v>1459</v>
      </c>
      <c r="C68" s="526">
        <f>+'1.a sz. Önkormányzat 2022. '!CP33</f>
        <v>13039031</v>
      </c>
      <c r="D68" s="520"/>
      <c r="E68" s="520"/>
      <c r="F68" s="520"/>
      <c r="G68" s="524"/>
      <c r="H68" s="524"/>
      <c r="I68" s="524"/>
      <c r="J68" s="524"/>
      <c r="K68" s="524"/>
      <c r="L68" s="524"/>
      <c r="M68" s="524"/>
      <c r="N68" s="524"/>
      <c r="O68" s="524"/>
      <c r="P68" s="524"/>
      <c r="Q68" s="524"/>
      <c r="R68" s="524"/>
      <c r="S68" s="524"/>
      <c r="T68" s="524"/>
      <c r="U68" s="524"/>
      <c r="V68" s="524"/>
      <c r="W68" s="525"/>
    </row>
    <row r="69" spans="1:23" ht="15" x14ac:dyDescent="0.2">
      <c r="A69" s="532"/>
      <c r="B69" s="519" t="s">
        <v>1184</v>
      </c>
      <c r="C69" s="526">
        <f>+'1.a sz. Önkormányzat 2022. '!CR33</f>
        <v>677580</v>
      </c>
      <c r="D69" s="520"/>
      <c r="E69" s="520"/>
      <c r="F69" s="520"/>
      <c r="G69" s="524"/>
      <c r="H69" s="524"/>
      <c r="I69" s="524"/>
      <c r="J69" s="524"/>
      <c r="K69" s="524"/>
      <c r="L69" s="524"/>
      <c r="M69" s="524"/>
      <c r="N69" s="524"/>
      <c r="O69" s="524"/>
      <c r="P69" s="524"/>
      <c r="Q69" s="524"/>
      <c r="R69" s="524"/>
      <c r="S69" s="524"/>
      <c r="T69" s="524"/>
      <c r="U69" s="524"/>
      <c r="V69" s="524"/>
      <c r="W69" s="525"/>
    </row>
    <row r="70" spans="1:23" ht="15" x14ac:dyDescent="0.2">
      <c r="A70" s="532"/>
      <c r="B70" s="519" t="s">
        <v>1460</v>
      </c>
      <c r="C70" s="526">
        <f>+'1.a sz. Önkormányzat 2022. '!CT33</f>
        <v>5280000</v>
      </c>
      <c r="D70" s="520"/>
      <c r="E70" s="520"/>
      <c r="F70" s="520"/>
      <c r="G70" s="524"/>
      <c r="H70" s="524"/>
      <c r="I70" s="524"/>
      <c r="J70" s="524"/>
      <c r="K70" s="524"/>
      <c r="L70" s="524"/>
      <c r="M70" s="524"/>
      <c r="N70" s="524"/>
      <c r="O70" s="524"/>
      <c r="P70" s="524"/>
      <c r="Q70" s="524"/>
      <c r="R70" s="524"/>
      <c r="S70" s="524"/>
      <c r="T70" s="524"/>
      <c r="U70" s="524"/>
      <c r="V70" s="524"/>
      <c r="W70" s="525"/>
    </row>
    <row r="71" spans="1:23" ht="15" x14ac:dyDescent="0.2">
      <c r="A71" s="532"/>
      <c r="B71" s="519" t="s">
        <v>1461</v>
      </c>
      <c r="C71" s="526">
        <f>+'1.a sz. Önkormányzat 2022. '!DF33</f>
        <v>10000000</v>
      </c>
      <c r="D71" s="520"/>
      <c r="E71" s="520"/>
      <c r="F71" s="520"/>
      <c r="G71" s="524"/>
      <c r="H71" s="524"/>
      <c r="I71" s="524"/>
      <c r="J71" s="524"/>
      <c r="K71" s="524"/>
      <c r="L71" s="524"/>
      <c r="M71" s="524"/>
      <c r="N71" s="524"/>
      <c r="O71" s="524"/>
      <c r="P71" s="524"/>
      <c r="Q71" s="524"/>
      <c r="R71" s="524"/>
      <c r="S71" s="524"/>
      <c r="T71" s="524"/>
      <c r="U71" s="524"/>
      <c r="V71" s="524"/>
      <c r="W71" s="525"/>
    </row>
    <row r="72" spans="1:23" ht="15" x14ac:dyDescent="0.2">
      <c r="A72" s="532"/>
      <c r="B72" s="703" t="s">
        <v>1462</v>
      </c>
      <c r="C72" s="526">
        <f>+'1.a sz. Önkormányzat 2022. '!DX33+'1.a sz. Önkormányzat 2022. '!ED33</f>
        <v>130000000</v>
      </c>
      <c r="D72" s="520"/>
      <c r="E72" s="520"/>
      <c r="F72" s="520"/>
      <c r="G72" s="524"/>
      <c r="H72" s="524"/>
      <c r="I72" s="524"/>
      <c r="J72" s="524"/>
      <c r="K72" s="524"/>
      <c r="L72" s="524"/>
      <c r="M72" s="524"/>
      <c r="N72" s="524"/>
      <c r="O72" s="524"/>
      <c r="P72" s="524"/>
      <c r="Q72" s="524"/>
      <c r="R72" s="524"/>
      <c r="S72" s="524"/>
      <c r="T72" s="524"/>
      <c r="U72" s="524"/>
      <c r="V72" s="524"/>
      <c r="W72" s="525"/>
    </row>
    <row r="73" spans="1:23" ht="15" x14ac:dyDescent="0.2">
      <c r="A73" s="532"/>
      <c r="B73" s="519"/>
      <c r="C73" s="531">
        <f>SUM(C67:C72)</f>
        <v>159747611</v>
      </c>
      <c r="D73" s="520"/>
      <c r="E73" s="520"/>
      <c r="F73" s="520"/>
      <c r="G73" s="524"/>
      <c r="H73" s="524"/>
      <c r="I73" s="524"/>
      <c r="J73" s="524"/>
      <c r="K73" s="524"/>
      <c r="L73" s="524"/>
      <c r="M73" s="524"/>
      <c r="N73" s="524"/>
      <c r="O73" s="524"/>
      <c r="P73" s="524"/>
      <c r="Q73" s="524"/>
      <c r="R73" s="524"/>
      <c r="S73" s="524"/>
      <c r="T73" s="524"/>
      <c r="U73" s="524"/>
      <c r="V73" s="524"/>
      <c r="W73" s="525"/>
    </row>
    <row r="74" spans="1:23" ht="15" x14ac:dyDescent="0.2">
      <c r="A74" s="532"/>
      <c r="B74" s="519"/>
      <c r="C74" s="526"/>
      <c r="D74" s="520"/>
      <c r="E74" s="520"/>
      <c r="F74" s="520"/>
      <c r="G74" s="524"/>
      <c r="H74" s="524"/>
      <c r="I74" s="524"/>
      <c r="J74" s="524"/>
      <c r="K74" s="524"/>
      <c r="L74" s="524"/>
      <c r="M74" s="524"/>
      <c r="N74" s="524"/>
      <c r="O74" s="524"/>
      <c r="P74" s="524"/>
      <c r="Q74" s="524"/>
      <c r="R74" s="524"/>
      <c r="S74" s="524"/>
      <c r="T74" s="524"/>
      <c r="U74" s="524"/>
      <c r="V74" s="524"/>
      <c r="W74" s="525"/>
    </row>
    <row r="75" spans="1:23" ht="15" x14ac:dyDescent="0.2">
      <c r="A75" s="532"/>
      <c r="B75" s="519"/>
      <c r="C75" s="526"/>
      <c r="D75" s="520"/>
      <c r="E75" s="520"/>
      <c r="F75" s="520"/>
      <c r="G75" s="524"/>
      <c r="H75" s="524"/>
      <c r="I75" s="524"/>
      <c r="J75" s="524"/>
      <c r="K75" s="524"/>
      <c r="L75" s="524"/>
      <c r="M75" s="524"/>
      <c r="N75" s="524"/>
      <c r="O75" s="524"/>
      <c r="P75" s="524"/>
      <c r="Q75" s="524"/>
      <c r="R75" s="524"/>
      <c r="S75" s="524"/>
      <c r="T75" s="524"/>
      <c r="U75" s="524"/>
      <c r="V75" s="524"/>
      <c r="W75" s="525"/>
    </row>
    <row r="76" spans="1:23" ht="15" x14ac:dyDescent="0.2">
      <c r="A76" s="532"/>
      <c r="B76" s="519"/>
      <c r="C76" s="526"/>
      <c r="D76" s="520"/>
      <c r="E76" s="520"/>
      <c r="F76" s="520"/>
      <c r="G76" s="524"/>
      <c r="H76" s="524"/>
      <c r="I76" s="524"/>
      <c r="J76" s="524"/>
      <c r="K76" s="524"/>
      <c r="L76" s="524"/>
      <c r="M76" s="524"/>
      <c r="N76" s="524"/>
      <c r="O76" s="524"/>
      <c r="P76" s="524"/>
      <c r="Q76" s="524"/>
      <c r="R76" s="524"/>
      <c r="S76" s="524"/>
      <c r="T76" s="524"/>
      <c r="U76" s="524"/>
      <c r="V76" s="524"/>
      <c r="W76" s="525"/>
    </row>
    <row r="77" spans="1:23" ht="15" x14ac:dyDescent="0.2">
      <c r="A77" s="532"/>
      <c r="B77" s="519" t="s">
        <v>1209</v>
      </c>
      <c r="C77" s="526"/>
      <c r="D77" s="520"/>
      <c r="E77" s="520"/>
      <c r="F77" s="520"/>
      <c r="G77" s="524"/>
      <c r="H77" s="524"/>
      <c r="I77" s="524"/>
      <c r="J77" s="524"/>
      <c r="K77" s="524"/>
      <c r="L77" s="524"/>
      <c r="M77" s="524"/>
      <c r="N77" s="524"/>
      <c r="O77" s="524"/>
      <c r="P77" s="524"/>
      <c r="Q77" s="524"/>
      <c r="R77" s="524"/>
      <c r="S77" s="524"/>
      <c r="T77" s="524"/>
      <c r="U77" s="524"/>
      <c r="V77" s="524"/>
      <c r="W77" s="525"/>
    </row>
    <row r="78" spans="1:23" ht="15" x14ac:dyDescent="0.2">
      <c r="A78" s="532"/>
      <c r="B78" s="519" t="s">
        <v>1279</v>
      </c>
      <c r="C78" s="526">
        <f>+C54</f>
        <v>136416896</v>
      </c>
      <c r="D78" s="520"/>
      <c r="E78" s="520"/>
      <c r="F78" s="520"/>
      <c r="G78" s="524"/>
      <c r="H78" s="524"/>
      <c r="I78" s="524"/>
      <c r="J78" s="524"/>
      <c r="K78" s="524"/>
      <c r="L78" s="524"/>
      <c r="M78" s="524"/>
      <c r="N78" s="524"/>
      <c r="O78" s="524"/>
      <c r="P78" s="524"/>
      <c r="Q78" s="524"/>
      <c r="R78" s="524"/>
      <c r="S78" s="524"/>
      <c r="T78" s="524"/>
      <c r="U78" s="524"/>
      <c r="V78" s="524"/>
      <c r="W78" s="525"/>
    </row>
    <row r="79" spans="1:23" ht="15" x14ac:dyDescent="0.2">
      <c r="A79" s="532"/>
      <c r="B79" s="519" t="s">
        <v>1210</v>
      </c>
      <c r="C79" s="526">
        <f>+'1.a sz. Önkormányzat 2022. '!CP33</f>
        <v>13039031</v>
      </c>
      <c r="D79" s="520"/>
      <c r="E79" s="520"/>
      <c r="F79" s="520"/>
      <c r="G79" s="524"/>
      <c r="H79" s="524"/>
      <c r="I79" s="524"/>
      <c r="J79" s="524"/>
      <c r="K79" s="524"/>
      <c r="L79" s="524"/>
      <c r="M79" s="524"/>
      <c r="N79" s="524"/>
      <c r="O79" s="524"/>
      <c r="P79" s="524"/>
      <c r="Q79" s="524"/>
      <c r="R79" s="524"/>
      <c r="S79" s="524"/>
      <c r="T79" s="524"/>
      <c r="U79" s="524"/>
      <c r="V79" s="524"/>
      <c r="W79" s="525"/>
    </row>
    <row r="80" spans="1:23" ht="15" x14ac:dyDescent="0.2">
      <c r="A80" s="532"/>
      <c r="B80" s="519" t="s">
        <v>1211</v>
      </c>
      <c r="C80" s="526">
        <f>+'1.a sz. Önkormányzat 2022. '!CR33</f>
        <v>677580</v>
      </c>
      <c r="D80" s="520"/>
      <c r="E80" s="520"/>
      <c r="F80" s="520"/>
      <c r="G80" s="524"/>
      <c r="H80" s="524"/>
      <c r="I80" s="524"/>
      <c r="J80" s="524"/>
      <c r="K80" s="524"/>
      <c r="L80" s="524"/>
      <c r="M80" s="524"/>
      <c r="N80" s="524"/>
      <c r="O80" s="524"/>
      <c r="P80" s="524"/>
      <c r="Q80" s="524"/>
      <c r="R80" s="524"/>
      <c r="S80" s="524"/>
      <c r="T80" s="524"/>
      <c r="U80" s="524"/>
      <c r="V80" s="524"/>
      <c r="W80" s="525"/>
    </row>
    <row r="81" spans="1:23" ht="15" x14ac:dyDescent="0.2">
      <c r="A81" s="532"/>
      <c r="B81" s="519" t="s">
        <v>1212</v>
      </c>
      <c r="C81" s="526"/>
      <c r="D81" s="520"/>
      <c r="E81" s="520"/>
      <c r="F81" s="520"/>
      <c r="G81" s="524"/>
      <c r="H81" s="524"/>
      <c r="I81" s="524"/>
      <c r="J81" s="524"/>
      <c r="K81" s="524"/>
      <c r="L81" s="524"/>
      <c r="M81" s="524"/>
      <c r="N81" s="524"/>
      <c r="O81" s="524"/>
      <c r="P81" s="524"/>
      <c r="Q81" s="524"/>
      <c r="R81" s="524"/>
      <c r="S81" s="524"/>
      <c r="T81" s="524"/>
      <c r="U81" s="524"/>
      <c r="V81" s="524"/>
      <c r="W81" s="525"/>
    </row>
    <row r="82" spans="1:23" ht="15" x14ac:dyDescent="0.2">
      <c r="A82" s="532"/>
      <c r="B82" s="519" t="s">
        <v>1188</v>
      </c>
      <c r="C82" s="526">
        <f>+'1.a sz. Önkormányzat 2022. '!CT33</f>
        <v>5280000</v>
      </c>
      <c r="D82" s="520"/>
      <c r="E82" s="520"/>
      <c r="F82" s="520"/>
      <c r="G82" s="524"/>
      <c r="H82" s="524"/>
      <c r="I82" s="524"/>
      <c r="J82" s="524"/>
      <c r="K82" s="524"/>
      <c r="L82" s="524"/>
      <c r="M82" s="524"/>
      <c r="N82" s="524"/>
      <c r="O82" s="524"/>
      <c r="P82" s="524"/>
      <c r="Q82" s="524"/>
      <c r="R82" s="524"/>
      <c r="S82" s="524"/>
      <c r="T82" s="524"/>
      <c r="U82" s="524"/>
      <c r="V82" s="524"/>
      <c r="W82" s="525"/>
    </row>
    <row r="83" spans="1:23" ht="15" x14ac:dyDescent="0.2">
      <c r="A83" s="532"/>
      <c r="B83" s="519" t="s">
        <v>1213</v>
      </c>
      <c r="C83" s="526">
        <f>+'1.a sz. Önkormányzat 2022. '!DX33+'1.a sz. Önkormányzat 2022. '!ED33</f>
        <v>130000000</v>
      </c>
      <c r="D83" s="520"/>
      <c r="E83" s="520"/>
      <c r="F83" s="520"/>
      <c r="G83" s="524"/>
      <c r="H83" s="524"/>
      <c r="I83" s="524"/>
      <c r="J83" s="524"/>
      <c r="K83" s="524"/>
      <c r="L83" s="524"/>
      <c r="M83" s="524"/>
      <c r="N83" s="524"/>
      <c r="O83" s="524"/>
      <c r="P83" s="524"/>
      <c r="Q83" s="524"/>
      <c r="R83" s="524"/>
      <c r="S83" s="524"/>
      <c r="T83" s="524"/>
      <c r="U83" s="524"/>
      <c r="V83" s="524"/>
      <c r="W83" s="525"/>
    </row>
    <row r="84" spans="1:23" ht="15" x14ac:dyDescent="0.2">
      <c r="A84" s="532"/>
      <c r="B84" s="519" t="s">
        <v>1214</v>
      </c>
      <c r="C84" s="526"/>
      <c r="D84" s="520"/>
      <c r="E84" s="520"/>
      <c r="F84" s="520"/>
      <c r="G84" s="524"/>
      <c r="H84" s="524"/>
      <c r="I84" s="524"/>
      <c r="J84" s="524"/>
      <c r="K84" s="524"/>
      <c r="L84" s="524"/>
      <c r="M84" s="524"/>
      <c r="N84" s="524"/>
      <c r="O84" s="524"/>
      <c r="P84" s="524"/>
      <c r="Q84" s="524"/>
      <c r="R84" s="524"/>
      <c r="S84" s="524"/>
      <c r="T84" s="524"/>
      <c r="U84" s="524"/>
      <c r="V84" s="524"/>
      <c r="W84" s="525"/>
    </row>
    <row r="85" spans="1:23" ht="15" x14ac:dyDescent="0.2">
      <c r="A85" s="532"/>
      <c r="B85" s="519" t="s">
        <v>1215</v>
      </c>
      <c r="C85" s="526">
        <f>+'1.a sz. Önkormányzat 2022. '!DF33</f>
        <v>10000000</v>
      </c>
      <c r="D85" s="520"/>
      <c r="E85" s="520"/>
      <c r="F85" s="520"/>
      <c r="G85" s="524"/>
      <c r="H85" s="524"/>
      <c r="I85" s="524"/>
      <c r="J85" s="524"/>
      <c r="K85" s="524"/>
      <c r="L85" s="524"/>
      <c r="M85" s="524"/>
      <c r="N85" s="524"/>
      <c r="O85" s="524"/>
      <c r="P85" s="524"/>
      <c r="Q85" s="524"/>
      <c r="R85" s="524"/>
      <c r="S85" s="524"/>
      <c r="T85" s="524"/>
      <c r="U85" s="524"/>
      <c r="V85" s="524"/>
      <c r="W85" s="525"/>
    </row>
    <row r="86" spans="1:23" ht="15" x14ac:dyDescent="0.2">
      <c r="A86" s="532"/>
      <c r="C86" s="526">
        <f>+'1.a sz. Önkormányzat 2022. '!BZ33</f>
        <v>751000</v>
      </c>
      <c r="D86" s="520" t="s">
        <v>118</v>
      </c>
      <c r="E86" s="520"/>
      <c r="F86" s="520"/>
      <c r="G86" s="524"/>
      <c r="H86" s="524"/>
      <c r="I86" s="524"/>
      <c r="J86" s="524"/>
      <c r="K86" s="524"/>
      <c r="L86" s="524"/>
      <c r="M86" s="524"/>
      <c r="N86" s="524"/>
      <c r="O86" s="524"/>
      <c r="P86" s="524"/>
      <c r="Q86" s="524"/>
      <c r="R86" s="524"/>
      <c r="S86" s="524"/>
      <c r="T86" s="524"/>
      <c r="U86" s="524"/>
      <c r="V86" s="524"/>
      <c r="W86" s="525"/>
    </row>
    <row r="87" spans="1:23" ht="15" x14ac:dyDescent="0.2">
      <c r="A87" s="532"/>
      <c r="B87" s="519" t="s">
        <v>1281</v>
      </c>
      <c r="C87" s="526">
        <f>+'1.a sz. Önkormányzat 2022. '!BX33</f>
        <v>31800000</v>
      </c>
      <c r="D87" s="520"/>
      <c r="E87" s="520"/>
      <c r="F87" s="520"/>
      <c r="G87" s="524"/>
      <c r="H87" s="524"/>
      <c r="I87" s="524"/>
      <c r="J87" s="524"/>
      <c r="K87" s="524"/>
      <c r="L87" s="524"/>
      <c r="M87" s="524"/>
      <c r="N87" s="524"/>
      <c r="O87" s="524"/>
      <c r="P87" s="524"/>
      <c r="Q87" s="524"/>
      <c r="R87" s="524"/>
      <c r="S87" s="524"/>
      <c r="T87" s="524"/>
      <c r="U87" s="524"/>
      <c r="V87" s="524"/>
      <c r="W87" s="525"/>
    </row>
    <row r="88" spans="1:23" ht="15" x14ac:dyDescent="0.2">
      <c r="A88" s="532"/>
      <c r="B88" s="519" t="s">
        <v>1216</v>
      </c>
      <c r="C88" s="526"/>
      <c r="D88" s="520"/>
      <c r="E88" s="520"/>
      <c r="F88" s="520"/>
      <c r="G88" s="524"/>
      <c r="H88" s="524"/>
      <c r="I88" s="524"/>
      <c r="J88" s="524"/>
      <c r="K88" s="524"/>
      <c r="L88" s="524"/>
      <c r="M88" s="524"/>
      <c r="N88" s="524"/>
      <c r="O88" s="524"/>
      <c r="P88" s="524"/>
      <c r="Q88" s="524"/>
      <c r="R88" s="524"/>
      <c r="S88" s="524"/>
      <c r="T88" s="524"/>
      <c r="U88" s="524"/>
      <c r="V88" s="524"/>
      <c r="W88" s="525"/>
    </row>
    <row r="89" spans="1:23" ht="15" x14ac:dyDescent="0.2">
      <c r="A89" s="532"/>
      <c r="B89" s="519" t="s">
        <v>1217</v>
      </c>
      <c r="C89" s="526">
        <f>+'2.2. sz. Hétszínvirág Óvoda'!T34</f>
        <v>341394</v>
      </c>
      <c r="D89" s="520"/>
      <c r="E89" s="520"/>
      <c r="F89" s="520"/>
      <c r="G89" s="524"/>
      <c r="H89" s="524"/>
      <c r="I89" s="524"/>
      <c r="J89" s="524"/>
      <c r="K89" s="524"/>
      <c r="L89" s="524"/>
      <c r="M89" s="524"/>
      <c r="N89" s="524"/>
      <c r="O89" s="524"/>
      <c r="P89" s="524"/>
      <c r="Q89" s="524"/>
      <c r="R89" s="524"/>
      <c r="S89" s="524"/>
      <c r="T89" s="524"/>
      <c r="U89" s="524"/>
      <c r="V89" s="524"/>
      <c r="W89" s="525"/>
    </row>
    <row r="90" spans="1:23" ht="15" x14ac:dyDescent="0.2">
      <c r="A90" s="532"/>
      <c r="B90" s="519" t="s">
        <v>1218</v>
      </c>
      <c r="C90" s="526">
        <f>+'2.3. sz. Mese Óvoda'!P34</f>
        <v>499020</v>
      </c>
      <c r="D90" s="520"/>
      <c r="E90" s="520"/>
      <c r="F90" s="520"/>
      <c r="G90" s="524"/>
      <c r="H90" s="524"/>
      <c r="I90" s="524"/>
      <c r="J90" s="524"/>
      <c r="K90" s="524"/>
      <c r="L90" s="524"/>
      <c r="M90" s="524"/>
      <c r="N90" s="524"/>
      <c r="O90" s="524"/>
      <c r="P90" s="524"/>
      <c r="Q90" s="524"/>
      <c r="R90" s="524"/>
      <c r="S90" s="524"/>
      <c r="T90" s="524"/>
      <c r="U90" s="524"/>
      <c r="V90" s="524"/>
      <c r="W90" s="525"/>
    </row>
    <row r="91" spans="1:23" ht="15" x14ac:dyDescent="0.2">
      <c r="A91" s="532"/>
      <c r="B91" s="519" t="s">
        <v>1219</v>
      </c>
      <c r="C91" s="526">
        <f>+'2.8. sz. Műv.Ház'!H34+'2.8. sz. Műv.Ház'!L34</f>
        <v>5293100</v>
      </c>
      <c r="D91" s="520"/>
      <c r="E91" s="520"/>
      <c r="F91" s="520"/>
      <c r="G91" s="524"/>
      <c r="H91" s="524"/>
      <c r="I91" s="524"/>
      <c r="J91" s="524"/>
      <c r="K91" s="524"/>
      <c r="L91" s="524"/>
      <c r="M91" s="524"/>
      <c r="N91" s="524"/>
      <c r="O91" s="524"/>
      <c r="P91" s="524"/>
      <c r="Q91" s="524"/>
      <c r="R91" s="524"/>
      <c r="S91" s="524"/>
      <c r="T91" s="524"/>
      <c r="U91" s="524"/>
      <c r="V91" s="524"/>
      <c r="W91" s="525"/>
    </row>
    <row r="92" spans="1:23" ht="15" x14ac:dyDescent="0.2">
      <c r="A92" s="523"/>
      <c r="B92" s="519" t="s">
        <v>118</v>
      </c>
      <c r="C92" s="531">
        <f>SUM(C65:C91)</f>
        <v>1373672446</v>
      </c>
      <c r="D92" s="520"/>
      <c r="E92" s="520"/>
      <c r="F92" s="520"/>
      <c r="G92" s="524"/>
      <c r="H92" s="524"/>
      <c r="I92" s="524"/>
      <c r="J92" s="524"/>
      <c r="K92" s="524"/>
      <c r="L92" s="524"/>
      <c r="M92" s="524"/>
      <c r="N92" s="524"/>
      <c r="O92" s="524"/>
      <c r="P92" s="524"/>
      <c r="Q92" s="524"/>
      <c r="R92" s="524"/>
      <c r="S92" s="524"/>
      <c r="T92" s="524"/>
      <c r="U92" s="524"/>
      <c r="V92" s="524"/>
      <c r="W92" s="525"/>
    </row>
    <row r="93" spans="1:23" ht="15" x14ac:dyDescent="0.2">
      <c r="A93" s="523"/>
      <c r="B93" s="519"/>
      <c r="C93" s="526"/>
      <c r="D93" s="520"/>
      <c r="E93" s="520"/>
      <c r="F93" s="520"/>
      <c r="G93" s="524"/>
      <c r="H93" s="524"/>
      <c r="I93" s="524"/>
      <c r="J93" s="524"/>
      <c r="K93" s="524"/>
      <c r="L93" s="524"/>
      <c r="M93" s="524"/>
      <c r="N93" s="524"/>
      <c r="O93" s="524"/>
      <c r="P93" s="524"/>
      <c r="Q93" s="524"/>
      <c r="R93" s="524"/>
      <c r="S93" s="524"/>
      <c r="T93" s="524"/>
      <c r="U93" s="524"/>
      <c r="V93" s="524"/>
      <c r="W93" s="525"/>
    </row>
    <row r="94" spans="1:23" ht="15" x14ac:dyDescent="0.2">
      <c r="A94" s="523"/>
      <c r="B94" s="519" t="s">
        <v>1220</v>
      </c>
      <c r="C94" s="526"/>
      <c r="D94" s="520"/>
      <c r="E94" s="520"/>
      <c r="F94" s="520"/>
      <c r="G94" s="524"/>
      <c r="H94" s="524"/>
      <c r="I94" s="524"/>
      <c r="J94" s="524"/>
      <c r="K94" s="524"/>
      <c r="L94" s="524"/>
      <c r="M94" s="524"/>
      <c r="N94" s="524"/>
      <c r="O94" s="524"/>
      <c r="P94" s="524"/>
      <c r="Q94" s="524"/>
      <c r="R94" s="524"/>
      <c r="S94" s="524"/>
      <c r="T94" s="524"/>
      <c r="U94" s="524"/>
      <c r="V94" s="524"/>
      <c r="W94" s="525"/>
    </row>
    <row r="95" spans="1:23" ht="15" x14ac:dyDescent="0.2">
      <c r="A95" s="515"/>
      <c r="B95" s="518" t="s">
        <v>1221</v>
      </c>
      <c r="C95" s="531"/>
      <c r="D95" s="520"/>
      <c r="E95" s="520"/>
      <c r="F95" s="520"/>
      <c r="G95" s="524"/>
      <c r="H95" s="524"/>
      <c r="I95" s="524"/>
      <c r="J95" s="524"/>
      <c r="K95" s="524"/>
      <c r="L95" s="524"/>
      <c r="M95" s="524"/>
      <c r="N95" s="524"/>
      <c r="O95" s="524"/>
      <c r="P95" s="524"/>
      <c r="Q95" s="524"/>
      <c r="R95" s="524"/>
      <c r="S95" s="524"/>
      <c r="T95" s="524"/>
      <c r="U95" s="524"/>
      <c r="V95" s="524"/>
      <c r="W95" s="525"/>
    </row>
    <row r="96" spans="1:23" ht="15" x14ac:dyDescent="0.2">
      <c r="A96" s="523"/>
      <c r="B96" s="519"/>
      <c r="C96" s="526"/>
      <c r="D96" s="520"/>
      <c r="E96" s="520"/>
      <c r="F96" s="520"/>
      <c r="G96" s="524"/>
      <c r="H96" s="524"/>
      <c r="I96" s="524"/>
      <c r="J96" s="524"/>
      <c r="K96" s="524"/>
      <c r="L96" s="524"/>
      <c r="M96" s="524"/>
      <c r="N96" s="524"/>
      <c r="O96" s="524"/>
      <c r="P96" s="524"/>
      <c r="Q96" s="524"/>
      <c r="R96" s="524"/>
      <c r="S96" s="524"/>
      <c r="T96" s="524"/>
      <c r="U96" s="524"/>
      <c r="V96" s="524"/>
      <c r="W96" s="525"/>
    </row>
    <row r="97" spans="1:23" ht="15" x14ac:dyDescent="0.2">
      <c r="A97" s="523"/>
      <c r="B97" s="519" t="s">
        <v>1222</v>
      </c>
      <c r="C97" s="526"/>
      <c r="D97" s="520"/>
      <c r="E97" s="520"/>
      <c r="F97" s="520"/>
      <c r="G97" s="524"/>
      <c r="H97" s="524"/>
      <c r="I97" s="524"/>
      <c r="J97" s="524"/>
      <c r="K97" s="524"/>
      <c r="L97" s="524"/>
      <c r="M97" s="524"/>
      <c r="N97" s="524"/>
      <c r="O97" s="524"/>
      <c r="P97" s="524"/>
      <c r="Q97" s="524"/>
      <c r="R97" s="524"/>
      <c r="S97" s="524"/>
      <c r="T97" s="524"/>
      <c r="U97" s="524"/>
      <c r="V97" s="524"/>
      <c r="W97" s="525"/>
    </row>
    <row r="98" spans="1:23" ht="15" x14ac:dyDescent="0.2">
      <c r="A98" s="523"/>
      <c r="B98" s="519"/>
      <c r="C98" s="526"/>
      <c r="D98" s="520"/>
      <c r="E98" s="520"/>
      <c r="F98" s="520"/>
      <c r="G98" s="524"/>
      <c r="H98" s="524"/>
      <c r="I98" s="524"/>
      <c r="J98" s="524"/>
      <c r="K98" s="524"/>
      <c r="L98" s="524"/>
      <c r="M98" s="524"/>
      <c r="N98" s="524"/>
      <c r="O98" s="524"/>
      <c r="P98" s="524"/>
      <c r="Q98" s="524"/>
      <c r="R98" s="524"/>
      <c r="S98" s="524"/>
      <c r="T98" s="524"/>
      <c r="U98" s="524"/>
      <c r="V98" s="525"/>
    </row>
    <row r="99" spans="1:23" ht="15" x14ac:dyDescent="0.2">
      <c r="A99" s="523"/>
      <c r="B99" s="523"/>
      <c r="C99" s="524"/>
      <c r="D99" s="524"/>
      <c r="E99" s="524"/>
      <c r="F99" s="524"/>
      <c r="G99" s="524"/>
      <c r="H99" s="524"/>
      <c r="I99" s="524"/>
      <c r="J99" s="524"/>
      <c r="K99" s="524"/>
      <c r="L99" s="524"/>
      <c r="M99" s="524"/>
      <c r="N99" s="524"/>
      <c r="O99" s="524"/>
      <c r="P99" s="524"/>
      <c r="Q99" s="524"/>
      <c r="R99" s="524"/>
      <c r="S99" s="524"/>
      <c r="T99" s="524"/>
      <c r="U99" s="524"/>
      <c r="V99" s="525"/>
    </row>
    <row r="100" spans="1:23" ht="15" x14ac:dyDescent="0.2">
      <c r="A100" s="523"/>
      <c r="B100" s="523"/>
      <c r="C100" s="524"/>
      <c r="D100" s="524"/>
      <c r="E100" s="524"/>
      <c r="F100" s="524"/>
      <c r="G100" s="524"/>
      <c r="H100" s="524"/>
      <c r="I100" s="524"/>
      <c r="J100" s="524"/>
      <c r="K100" s="524"/>
      <c r="L100" s="524"/>
      <c r="M100" s="524"/>
      <c r="N100" s="524"/>
      <c r="O100" s="524"/>
      <c r="P100" s="524"/>
      <c r="Q100" s="524"/>
      <c r="R100" s="524"/>
      <c r="S100" s="524"/>
      <c r="T100" s="524"/>
      <c r="U100" s="524"/>
      <c r="V100" s="525"/>
    </row>
    <row r="101" spans="1:23" ht="15" x14ac:dyDescent="0.2">
      <c r="A101" s="523"/>
      <c r="B101" s="523"/>
      <c r="C101" s="524"/>
      <c r="D101" s="524"/>
      <c r="E101" s="524"/>
      <c r="F101" s="524"/>
      <c r="G101" s="524"/>
      <c r="H101" s="524"/>
      <c r="I101" s="524"/>
      <c r="J101" s="524"/>
      <c r="K101" s="524"/>
      <c r="L101" s="524"/>
      <c r="M101" s="524"/>
      <c r="N101" s="524"/>
      <c r="O101" s="524"/>
      <c r="P101" s="524"/>
      <c r="Q101" s="524"/>
      <c r="R101" s="524"/>
      <c r="S101" s="524"/>
      <c r="T101" s="524"/>
      <c r="U101" s="524"/>
      <c r="V101" s="525"/>
    </row>
    <row r="102" spans="1:23" ht="15" x14ac:dyDescent="0.2">
      <c r="A102" s="523"/>
      <c r="B102" s="523"/>
      <c r="C102" s="524"/>
      <c r="D102" s="524"/>
      <c r="E102" s="524"/>
      <c r="F102" s="524"/>
      <c r="G102" s="524"/>
      <c r="H102" s="524"/>
      <c r="I102" s="524"/>
      <c r="J102" s="524"/>
      <c r="K102" s="524"/>
      <c r="L102" s="524"/>
      <c r="M102" s="524"/>
      <c r="N102" s="524"/>
      <c r="O102" s="524"/>
      <c r="P102" s="524"/>
      <c r="Q102" s="524"/>
      <c r="R102" s="524"/>
      <c r="S102" s="524"/>
      <c r="T102" s="524"/>
      <c r="U102" s="524"/>
      <c r="V102" s="525"/>
    </row>
    <row r="103" spans="1:23" ht="15" x14ac:dyDescent="0.2">
      <c r="A103" s="523"/>
      <c r="B103" s="523"/>
      <c r="C103" s="524"/>
      <c r="D103" s="524"/>
      <c r="E103" s="524"/>
      <c r="F103" s="524"/>
      <c r="G103" s="524"/>
      <c r="H103" s="524"/>
      <c r="I103" s="524"/>
      <c r="J103" s="524"/>
      <c r="K103" s="524"/>
      <c r="L103" s="524"/>
      <c r="M103" s="524"/>
      <c r="N103" s="524"/>
      <c r="O103" s="524"/>
      <c r="P103" s="524"/>
      <c r="Q103" s="524"/>
      <c r="R103" s="524"/>
      <c r="S103" s="524"/>
      <c r="T103" s="524"/>
      <c r="U103" s="524"/>
      <c r="V103" s="525"/>
    </row>
    <row r="104" spans="1:23" ht="15" x14ac:dyDescent="0.2">
      <c r="A104" s="523"/>
      <c r="B104" s="523"/>
      <c r="C104" s="524"/>
      <c r="D104" s="524"/>
      <c r="E104" s="524"/>
      <c r="F104" s="524"/>
      <c r="G104" s="524"/>
      <c r="H104" s="524"/>
      <c r="I104" s="524"/>
      <c r="J104" s="524"/>
      <c r="K104" s="524"/>
      <c r="L104" s="524"/>
      <c r="M104" s="524"/>
      <c r="N104" s="524"/>
      <c r="O104" s="524"/>
      <c r="P104" s="524"/>
      <c r="Q104" s="524"/>
      <c r="R104" s="524"/>
      <c r="S104" s="524"/>
      <c r="T104" s="524"/>
      <c r="U104" s="524"/>
      <c r="V104" s="525"/>
    </row>
    <row r="105" spans="1:23" ht="15" x14ac:dyDescent="0.2">
      <c r="A105" s="523"/>
      <c r="B105" s="523"/>
      <c r="C105" s="524"/>
      <c r="D105" s="524"/>
      <c r="E105" s="524"/>
      <c r="F105" s="524"/>
      <c r="G105" s="524"/>
      <c r="H105" s="524"/>
      <c r="I105" s="524"/>
      <c r="J105" s="524"/>
      <c r="K105" s="524"/>
      <c r="L105" s="524"/>
      <c r="M105" s="524"/>
      <c r="N105" s="524"/>
      <c r="O105" s="524"/>
      <c r="P105" s="524"/>
      <c r="Q105" s="524"/>
      <c r="R105" s="524"/>
      <c r="S105" s="524"/>
      <c r="T105" s="524"/>
      <c r="U105" s="524"/>
      <c r="V105" s="525"/>
    </row>
    <row r="106" spans="1:23" ht="15" x14ac:dyDescent="0.2">
      <c r="A106" s="523"/>
      <c r="B106" s="523"/>
      <c r="C106" s="524"/>
      <c r="D106" s="524"/>
      <c r="E106" s="524"/>
      <c r="F106" s="524"/>
      <c r="G106" s="524"/>
      <c r="H106" s="524"/>
      <c r="I106" s="524"/>
      <c r="J106" s="524"/>
      <c r="K106" s="524"/>
      <c r="L106" s="524"/>
      <c r="M106" s="524"/>
      <c r="N106" s="524"/>
      <c r="O106" s="524"/>
      <c r="P106" s="524"/>
      <c r="Q106" s="524"/>
      <c r="R106" s="524"/>
      <c r="S106" s="524"/>
      <c r="T106" s="524"/>
      <c r="U106" s="524"/>
      <c r="V106" s="525"/>
    </row>
    <row r="107" spans="1:23" ht="15" x14ac:dyDescent="0.2">
      <c r="A107" s="523"/>
      <c r="B107" s="523"/>
      <c r="C107" s="524"/>
      <c r="D107" s="524"/>
      <c r="E107" s="524"/>
      <c r="F107" s="524"/>
      <c r="G107" s="524"/>
      <c r="H107" s="524"/>
      <c r="I107" s="524"/>
      <c r="J107" s="524"/>
      <c r="K107" s="524"/>
      <c r="L107" s="524"/>
      <c r="M107" s="524"/>
      <c r="N107" s="524"/>
      <c r="O107" s="524"/>
      <c r="P107" s="524"/>
      <c r="Q107" s="524"/>
      <c r="R107" s="524"/>
      <c r="S107" s="524"/>
      <c r="T107" s="524"/>
      <c r="U107" s="524"/>
      <c r="V107" s="525"/>
    </row>
  </sheetData>
  <mergeCells count="5">
    <mergeCell ref="A49:A56"/>
    <mergeCell ref="C1:K1"/>
    <mergeCell ref="L1:T1"/>
    <mergeCell ref="B49:B53"/>
    <mergeCell ref="C49:C53"/>
  </mergeCells>
  <phoneticPr fontId="45" type="noConversion"/>
  <printOptions horizontalCentered="1" verticalCentered="1"/>
  <pageMargins left="0.19685039370078741" right="0.19685039370078741" top="0" bottom="0" header="0.31496062992125984" footer="0.31496062992125984"/>
  <pageSetup paperSize="9" scale="52" orientation="landscape" r:id="rId1"/>
  <headerFooter>
    <oddHeader>&amp;C2022. évi költségvetés &amp;R&amp;A</oddHeader>
    <oddFooter xml:space="preserve">&amp;C&amp;P/&amp;N
</oddFooter>
  </headerFooter>
  <rowBreaks count="1" manualBreakCount="1">
    <brk id="47" max="16383" man="1"/>
  </rowBreaks>
  <colBreaks count="1" manualBreakCount="1">
    <brk id="11" max="46"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view="pageBreakPreview" topLeftCell="A4" zoomScale="78" zoomScaleNormal="80" zoomScaleSheetLayoutView="78" workbookViewId="0">
      <selection activeCell="I34" sqref="I34"/>
    </sheetView>
  </sheetViews>
  <sheetFormatPr defaultRowHeight="12.75" x14ac:dyDescent="0.2"/>
  <cols>
    <col min="1" max="1" width="6" style="1606" customWidth="1"/>
    <col min="2" max="2" width="40.140625" style="1606" customWidth="1"/>
    <col min="3" max="3" width="6.140625" style="1606" customWidth="1"/>
    <col min="4" max="4" width="14.85546875" style="1615" bestFit="1" customWidth="1"/>
    <col min="5" max="5" width="14.85546875" style="1615" customWidth="1"/>
    <col min="6" max="6" width="15.140625" style="1615" customWidth="1"/>
    <col min="7" max="7" width="15.85546875" style="1606" customWidth="1"/>
    <col min="8" max="8" width="15.140625" style="1606" bestFit="1" customWidth="1"/>
    <col min="9" max="9" width="14.7109375" style="1606" customWidth="1"/>
    <col min="10" max="10" width="14.42578125" style="1606" customWidth="1"/>
    <col min="11" max="11" width="17.28515625" style="1606" customWidth="1"/>
    <col min="12" max="13" width="15.140625" style="1606" customWidth="1"/>
    <col min="14" max="14" width="14.5703125" style="1606" customWidth="1"/>
    <col min="15" max="15" width="20.140625" style="1606" bestFit="1" customWidth="1"/>
    <col min="16" max="16" width="17.42578125" style="1606" bestFit="1" customWidth="1"/>
    <col min="17" max="17" width="17.28515625" style="1605" bestFit="1" customWidth="1"/>
    <col min="18" max="18" width="20.7109375" style="1606" customWidth="1"/>
    <col min="19" max="19" width="17.42578125" style="1606" bestFit="1" customWidth="1"/>
    <col min="20" max="20" width="13.5703125" style="1606" bestFit="1" customWidth="1"/>
    <col min="21" max="21" width="17.42578125" style="1606" bestFit="1" customWidth="1"/>
    <col min="22" max="22" width="17.28515625" style="537" bestFit="1" customWidth="1"/>
    <col min="23" max="16384" width="9.140625" style="1606"/>
  </cols>
  <sheetData>
    <row r="1" spans="1:22" ht="15.75" x14ac:dyDescent="0.2">
      <c r="A1" s="1968" t="s">
        <v>1364</v>
      </c>
      <c r="B1" s="1968"/>
      <c r="C1" s="1968"/>
      <c r="D1" s="1968"/>
      <c r="E1" s="1968"/>
      <c r="F1" s="1968"/>
      <c r="G1" s="1968"/>
      <c r="H1" s="1968"/>
      <c r="I1" s="1968"/>
      <c r="J1" s="1968"/>
      <c r="K1" s="1968"/>
      <c r="L1" s="1968"/>
      <c r="M1" s="1968"/>
      <c r="N1" s="1968"/>
      <c r="O1" s="1968"/>
      <c r="P1" s="1968"/>
    </row>
    <row r="2" spans="1:22" ht="20.25" customHeight="1" x14ac:dyDescent="0.2">
      <c r="A2" s="538"/>
      <c r="B2" s="538"/>
      <c r="C2" s="536"/>
      <c r="D2" s="539"/>
      <c r="E2" s="539"/>
      <c r="F2" s="539"/>
      <c r="G2" s="538"/>
      <c r="H2" s="538"/>
      <c r="I2" s="538"/>
      <c r="J2" s="538"/>
      <c r="K2" s="538"/>
      <c r="L2" s="538"/>
      <c r="M2" s="538"/>
      <c r="N2" s="538"/>
      <c r="O2" s="538"/>
      <c r="P2" s="538"/>
    </row>
    <row r="3" spans="1:22" ht="30" customHeight="1" x14ac:dyDescent="0.2">
      <c r="A3" s="540" t="s">
        <v>37</v>
      </c>
      <c r="B3" s="1607" t="s">
        <v>2</v>
      </c>
      <c r="C3" s="1282" t="s">
        <v>1223</v>
      </c>
      <c r="D3" s="541" t="s">
        <v>93</v>
      </c>
      <c r="E3" s="541" t="s">
        <v>94</v>
      </c>
      <c r="F3" s="541" t="s">
        <v>97</v>
      </c>
      <c r="G3" s="1283" t="s">
        <v>1224</v>
      </c>
      <c r="H3" s="1283" t="s">
        <v>1225</v>
      </c>
      <c r="I3" s="1283" t="s">
        <v>1226</v>
      </c>
      <c r="J3" s="1283" t="s">
        <v>1227</v>
      </c>
      <c r="K3" s="1283" t="s">
        <v>1228</v>
      </c>
      <c r="L3" s="1283" t="s">
        <v>1229</v>
      </c>
      <c r="M3" s="1283" t="s">
        <v>1230</v>
      </c>
      <c r="N3" s="1283" t="s">
        <v>1231</v>
      </c>
      <c r="O3" s="1283" t="s">
        <v>1232</v>
      </c>
      <c r="P3" s="1608" t="s">
        <v>118</v>
      </c>
    </row>
    <row r="4" spans="1:22" ht="22.5" customHeight="1" x14ac:dyDescent="0.2">
      <c r="A4" s="542"/>
      <c r="B4" s="1609" t="s">
        <v>1009</v>
      </c>
      <c r="C4" s="1282"/>
      <c r="D4" s="541"/>
      <c r="E4" s="541"/>
      <c r="F4" s="541"/>
      <c r="G4" s="1283"/>
      <c r="H4" s="1283"/>
      <c r="I4" s="1283"/>
      <c r="J4" s="1283"/>
      <c r="K4" s="1283"/>
      <c r="L4" s="1283"/>
      <c r="M4" s="1283"/>
      <c r="N4" s="1283"/>
      <c r="O4" s="1283"/>
      <c r="P4" s="1608"/>
    </row>
    <row r="5" spans="1:22" ht="22.5" customHeight="1" x14ac:dyDescent="0.2">
      <c r="A5" s="542" t="s">
        <v>194</v>
      </c>
      <c r="B5" s="1609" t="s">
        <v>1233</v>
      </c>
      <c r="C5" s="1282"/>
      <c r="D5" s="705">
        <v>3784617809</v>
      </c>
      <c r="E5" s="544">
        <f>+D30</f>
        <v>3852108029</v>
      </c>
      <c r="F5" s="544">
        <f t="shared" ref="F5:N5" si="0">+E30</f>
        <v>3398948688</v>
      </c>
      <c r="G5" s="545">
        <f t="shared" si="0"/>
        <v>4585345974</v>
      </c>
      <c r="H5" s="545">
        <f t="shared" si="0"/>
        <v>4107517042</v>
      </c>
      <c r="I5" s="545">
        <f t="shared" si="0"/>
        <v>7360550555</v>
      </c>
      <c r="J5" s="545">
        <f t="shared" si="0"/>
        <v>7677248058</v>
      </c>
      <c r="K5" s="545">
        <f t="shared" si="0"/>
        <v>7154916025</v>
      </c>
      <c r="L5" s="545">
        <f t="shared" si="0"/>
        <v>6813243474</v>
      </c>
      <c r="M5" s="545">
        <f t="shared" si="0"/>
        <v>8501258092</v>
      </c>
      <c r="N5" s="545">
        <f t="shared" si="0"/>
        <v>8119301483</v>
      </c>
      <c r="O5" s="545">
        <f>+N30</f>
        <v>8072559755</v>
      </c>
      <c r="P5" s="546" t="s">
        <v>636</v>
      </c>
    </row>
    <row r="6" spans="1:22" ht="27.75" customHeight="1" x14ac:dyDescent="0.2">
      <c r="A6" s="542" t="s">
        <v>195</v>
      </c>
      <c r="B6" s="547" t="s">
        <v>52</v>
      </c>
      <c r="C6" s="548" t="s">
        <v>215</v>
      </c>
      <c r="D6" s="549">
        <v>25316180</v>
      </c>
      <c r="E6" s="549">
        <v>37462358</v>
      </c>
      <c r="F6" s="549">
        <v>479479313</v>
      </c>
      <c r="G6" s="549">
        <v>152868101</v>
      </c>
      <c r="H6" s="549">
        <v>310403376</v>
      </c>
      <c r="I6" s="549">
        <v>365825017</v>
      </c>
      <c r="J6" s="549">
        <v>161877884</v>
      </c>
      <c r="K6" s="549">
        <v>161673595</v>
      </c>
      <c r="L6" s="549">
        <v>161168417</v>
      </c>
      <c r="M6" s="549">
        <v>351862748</v>
      </c>
      <c r="N6" s="549">
        <v>284716798</v>
      </c>
      <c r="O6" s="549">
        <v>197936821</v>
      </c>
      <c r="P6" s="550">
        <f>SUM(D6:O6)</f>
        <v>2690590608</v>
      </c>
      <c r="Q6" s="1610">
        <f>+'[4]3. sz.Városi szintű összesen'!K30</f>
        <v>2690598608</v>
      </c>
      <c r="R6" s="1611">
        <f t="shared" ref="R6:R27" si="1">+P6-Q6</f>
        <v>-8000</v>
      </c>
      <c r="S6" s="1606">
        <f>+R6/12</f>
        <v>-666.66666666666663</v>
      </c>
      <c r="V6" s="537">
        <f>+Q6/12</f>
        <v>224216550.66666666</v>
      </c>
    </row>
    <row r="7" spans="1:22" ht="31.5" customHeight="1" x14ac:dyDescent="0.2">
      <c r="A7" s="542" t="s">
        <v>196</v>
      </c>
      <c r="B7" s="547" t="s">
        <v>226</v>
      </c>
      <c r="C7" s="548" t="s">
        <v>216</v>
      </c>
      <c r="D7" s="549"/>
      <c r="E7" s="549"/>
      <c r="F7" s="549"/>
      <c r="G7" s="549">
        <v>4690003</v>
      </c>
      <c r="H7" s="549"/>
      <c r="I7" s="549">
        <v>49565206</v>
      </c>
      <c r="J7" s="549"/>
      <c r="K7" s="549"/>
      <c r="L7" s="549"/>
      <c r="M7" s="549"/>
      <c r="N7" s="549"/>
      <c r="O7" s="549"/>
      <c r="P7" s="550">
        <f t="shared" ref="P7:P14" si="2">SUM(D7:O7)</f>
        <v>54255209</v>
      </c>
      <c r="Q7" s="1610">
        <f>+'[4]3. sz.Városi szintű összesen'!K31</f>
        <v>54255209</v>
      </c>
      <c r="R7" s="1611">
        <f t="shared" si="1"/>
        <v>0</v>
      </c>
      <c r="S7" s="1606">
        <f t="shared" ref="S7:S30" si="3">+R7/12</f>
        <v>0</v>
      </c>
    </row>
    <row r="8" spans="1:22" ht="21" customHeight="1" x14ac:dyDescent="0.2">
      <c r="A8" s="542" t="s">
        <v>197</v>
      </c>
      <c r="B8" s="547" t="s">
        <v>225</v>
      </c>
      <c r="C8" s="548" t="s">
        <v>217</v>
      </c>
      <c r="D8" s="549">
        <v>145000</v>
      </c>
      <c r="E8" s="549">
        <v>240000</v>
      </c>
      <c r="F8" s="549">
        <v>1581315000</v>
      </c>
      <c r="G8" s="549">
        <v>370000</v>
      </c>
      <c r="H8" s="549">
        <v>570000</v>
      </c>
      <c r="I8" s="549">
        <v>574590000</v>
      </c>
      <c r="J8" s="549">
        <v>280000</v>
      </c>
      <c r="K8" s="549">
        <v>100680000</v>
      </c>
      <c r="L8" s="549">
        <v>2046880000</v>
      </c>
      <c r="M8" s="549">
        <v>130470000</v>
      </c>
      <c r="N8" s="549">
        <v>103300000</v>
      </c>
      <c r="O8" s="549">
        <v>129326677</v>
      </c>
      <c r="P8" s="550">
        <f t="shared" si="2"/>
        <v>4668166677</v>
      </c>
      <c r="Q8" s="1610">
        <f>+'[4]3. sz.Városi szintű összesen'!K32</f>
        <v>4723504433</v>
      </c>
      <c r="R8" s="1611">
        <f t="shared" si="1"/>
        <v>-55337756</v>
      </c>
      <c r="S8" s="1606">
        <f t="shared" si="3"/>
        <v>-4611479.666666667</v>
      </c>
    </row>
    <row r="9" spans="1:22" ht="21" customHeight="1" x14ac:dyDescent="0.2">
      <c r="A9" s="542" t="s">
        <v>198</v>
      </c>
      <c r="B9" s="547" t="s">
        <v>1010</v>
      </c>
      <c r="C9" s="548" t="s">
        <v>218</v>
      </c>
      <c r="D9" s="549">
        <v>280831507</v>
      </c>
      <c r="E9" s="549">
        <v>29145382</v>
      </c>
      <c r="F9" s="549">
        <v>38376487</v>
      </c>
      <c r="G9" s="549">
        <v>41933339</v>
      </c>
      <c r="H9" s="549">
        <v>36511969</v>
      </c>
      <c r="I9" s="549">
        <v>44177816</v>
      </c>
      <c r="J9" s="549">
        <v>37240795</v>
      </c>
      <c r="K9" s="549">
        <v>36023815</v>
      </c>
      <c r="L9" s="549">
        <v>46372276</v>
      </c>
      <c r="M9" s="549">
        <v>65028263</v>
      </c>
      <c r="N9" s="549">
        <v>86557610</v>
      </c>
      <c r="O9" s="549">
        <v>91332352</v>
      </c>
      <c r="P9" s="550">
        <f t="shared" si="2"/>
        <v>833531611</v>
      </c>
      <c r="Q9" s="1610">
        <f>+'[4]3. sz.Városi szintű összesen'!K33</f>
        <v>884721530</v>
      </c>
      <c r="R9" s="1611">
        <f t="shared" si="1"/>
        <v>-51189919</v>
      </c>
      <c r="S9" s="1606">
        <f t="shared" si="3"/>
        <v>-4265826.583333333</v>
      </c>
    </row>
    <row r="10" spans="1:22" ht="21" customHeight="1" x14ac:dyDescent="0.2">
      <c r="A10" s="542" t="s">
        <v>199</v>
      </c>
      <c r="B10" s="547" t="s">
        <v>248</v>
      </c>
      <c r="C10" s="548" t="s">
        <v>219</v>
      </c>
      <c r="D10" s="549">
        <v>681454000</v>
      </c>
      <c r="E10" s="549"/>
      <c r="F10" s="549">
        <v>8630203</v>
      </c>
      <c r="G10" s="549"/>
      <c r="H10" s="549">
        <v>75000</v>
      </c>
      <c r="I10" s="549"/>
      <c r="J10" s="549"/>
      <c r="K10" s="549">
        <v>4064000</v>
      </c>
      <c r="L10" s="549"/>
      <c r="N10" s="549">
        <v>42988594</v>
      </c>
      <c r="O10" s="549">
        <v>4767000</v>
      </c>
      <c r="P10" s="550">
        <f t="shared" si="2"/>
        <v>741978797</v>
      </c>
      <c r="Q10" s="1610">
        <f>+'[4]3. sz.Városi szintű összesen'!K34</f>
        <v>741978797</v>
      </c>
      <c r="R10" s="1611">
        <f t="shared" si="1"/>
        <v>0</v>
      </c>
      <c r="S10" s="1606">
        <f t="shared" si="3"/>
        <v>0</v>
      </c>
    </row>
    <row r="11" spans="1:22" ht="21" customHeight="1" x14ac:dyDescent="0.2">
      <c r="A11" s="542" t="s">
        <v>200</v>
      </c>
      <c r="B11" s="547" t="s">
        <v>243</v>
      </c>
      <c r="C11" s="548" t="s">
        <v>220</v>
      </c>
      <c r="D11" s="549"/>
      <c r="E11" s="549"/>
      <c r="F11" s="549"/>
      <c r="G11" s="549"/>
      <c r="H11" s="549"/>
      <c r="I11" s="549"/>
      <c r="J11" s="549"/>
      <c r="K11" s="549"/>
      <c r="L11" s="549">
        <v>295000</v>
      </c>
      <c r="M11" s="549"/>
      <c r="N11" s="549"/>
      <c r="O11" s="549"/>
      <c r="P11" s="550">
        <f t="shared" si="2"/>
        <v>295000</v>
      </c>
      <c r="Q11" s="1610">
        <f>+'[4]3. sz.Városi szintű összesen'!K35</f>
        <v>295000</v>
      </c>
      <c r="R11" s="1611">
        <f t="shared" si="1"/>
        <v>0</v>
      </c>
      <c r="S11" s="1606">
        <f t="shared" si="3"/>
        <v>0</v>
      </c>
    </row>
    <row r="12" spans="1:22" ht="21" customHeight="1" x14ac:dyDescent="0.2">
      <c r="A12" s="542" t="s">
        <v>201</v>
      </c>
      <c r="B12" s="547" t="s">
        <v>244</v>
      </c>
      <c r="C12" s="548" t="s">
        <v>221</v>
      </c>
      <c r="D12" s="549">
        <v>738100</v>
      </c>
      <c r="E12" s="549">
        <v>2412200</v>
      </c>
      <c r="F12" s="549">
        <v>563100</v>
      </c>
      <c r="G12" s="549">
        <v>449800</v>
      </c>
      <c r="H12" s="549">
        <v>521100</v>
      </c>
      <c r="I12" s="549">
        <v>578700</v>
      </c>
      <c r="J12" s="549">
        <v>610000</v>
      </c>
      <c r="K12" s="549">
        <v>639250</v>
      </c>
      <c r="L12" s="549">
        <v>699550</v>
      </c>
      <c r="M12" s="549">
        <v>743150</v>
      </c>
      <c r="N12" s="549">
        <v>714150</v>
      </c>
      <c r="O12" s="549">
        <v>739150</v>
      </c>
      <c r="P12" s="550">
        <f t="shared" si="2"/>
        <v>9408250</v>
      </c>
      <c r="Q12" s="1610">
        <f>+'[4]3. sz.Városi szintű összesen'!K36</f>
        <v>9541550</v>
      </c>
      <c r="R12" s="1611">
        <f t="shared" si="1"/>
        <v>-133300</v>
      </c>
      <c r="S12" s="1606">
        <f t="shared" si="3"/>
        <v>-11108.333333333334</v>
      </c>
    </row>
    <row r="13" spans="1:22" ht="21" customHeight="1" x14ac:dyDescent="0.2">
      <c r="A13" s="542" t="s">
        <v>202</v>
      </c>
      <c r="B13" s="552" t="s">
        <v>245</v>
      </c>
      <c r="C13" s="553" t="s">
        <v>222</v>
      </c>
      <c r="D13" s="554">
        <f>SUM(D6:D12)</f>
        <v>988484787</v>
      </c>
      <c r="E13" s="554">
        <f t="shared" ref="E13:P13" si="4">SUM(E6:E12)</f>
        <v>69259940</v>
      </c>
      <c r="F13" s="554">
        <f t="shared" si="4"/>
        <v>2108364103</v>
      </c>
      <c r="G13" s="554">
        <f t="shared" si="4"/>
        <v>200311243</v>
      </c>
      <c r="H13" s="554">
        <f t="shared" si="4"/>
        <v>348081445</v>
      </c>
      <c r="I13" s="554">
        <f t="shared" si="4"/>
        <v>1034736739</v>
      </c>
      <c r="J13" s="554">
        <f t="shared" si="4"/>
        <v>200008679</v>
      </c>
      <c r="K13" s="554">
        <f t="shared" si="4"/>
        <v>303080660</v>
      </c>
      <c r="L13" s="554">
        <f t="shared" si="4"/>
        <v>2255415243</v>
      </c>
      <c r="M13" s="554">
        <f t="shared" si="4"/>
        <v>548104161</v>
      </c>
      <c r="N13" s="554">
        <f t="shared" si="4"/>
        <v>518277152</v>
      </c>
      <c r="O13" s="554">
        <f t="shared" si="4"/>
        <v>424102000</v>
      </c>
      <c r="P13" s="554">
        <f t="shared" si="4"/>
        <v>8998226152</v>
      </c>
      <c r="Q13" s="1610">
        <f>SUM(Q6:Q12)</f>
        <v>9104895127</v>
      </c>
      <c r="R13" s="1611">
        <f t="shared" si="1"/>
        <v>-106668975</v>
      </c>
      <c r="S13" s="1606">
        <f t="shared" si="3"/>
        <v>-8889081.25</v>
      </c>
      <c r="T13" s="1611"/>
      <c r="U13" s="1611"/>
    </row>
    <row r="14" spans="1:22" ht="21" customHeight="1" x14ac:dyDescent="0.2">
      <c r="A14" s="626" t="s">
        <v>203</v>
      </c>
      <c r="B14" s="627" t="s">
        <v>1234</v>
      </c>
      <c r="C14" s="628" t="s">
        <v>224</v>
      </c>
      <c r="D14" s="629">
        <v>132690675</v>
      </c>
      <c r="E14" s="629">
        <v>148328356</v>
      </c>
      <c r="F14" s="629">
        <v>407382394</v>
      </c>
      <c r="G14" s="629">
        <v>389695576</v>
      </c>
      <c r="H14" s="629">
        <v>4047458080</v>
      </c>
      <c r="I14" s="629">
        <v>340456258</v>
      </c>
      <c r="J14" s="629">
        <v>289596460</v>
      </c>
      <c r="K14" s="629">
        <f>3174653074-2800000000</f>
        <v>374653074</v>
      </c>
      <c r="L14" s="629">
        <f>6252739831-6160000000</f>
        <v>92739831</v>
      </c>
      <c r="M14" s="629">
        <f>4490131857-3950000000</f>
        <v>540131857</v>
      </c>
      <c r="N14" s="629">
        <f>6328253608-6090000000</f>
        <v>238253608</v>
      </c>
      <c r="O14" s="629">
        <f>9578403195-9200000000</f>
        <v>378403195</v>
      </c>
      <c r="P14" s="629">
        <f t="shared" si="2"/>
        <v>7379789364</v>
      </c>
      <c r="Q14" s="1610">
        <f>+'[4]3. sz.Városi szintű összesen'!K38</f>
        <v>7941777357</v>
      </c>
      <c r="R14" s="1611">
        <f>+P14-Q14</f>
        <v>-561987993</v>
      </c>
      <c r="S14" s="1606">
        <f t="shared" si="3"/>
        <v>-46832332.75</v>
      </c>
      <c r="V14" s="630"/>
    </row>
    <row r="15" spans="1:22" ht="33" customHeight="1" x14ac:dyDescent="0.2">
      <c r="A15" s="542" t="s">
        <v>204</v>
      </c>
      <c r="B15" s="557" t="s">
        <v>1235</v>
      </c>
      <c r="C15" s="558"/>
      <c r="D15" s="554">
        <f>+D13+D14</f>
        <v>1121175462</v>
      </c>
      <c r="E15" s="554">
        <f t="shared" ref="E15:P15" si="5">+E13+E14</f>
        <v>217588296</v>
      </c>
      <c r="F15" s="554">
        <f t="shared" si="5"/>
        <v>2515746497</v>
      </c>
      <c r="G15" s="554">
        <f t="shared" si="5"/>
        <v>590006819</v>
      </c>
      <c r="H15" s="554">
        <f t="shared" si="5"/>
        <v>4395539525</v>
      </c>
      <c r="I15" s="554">
        <f t="shared" si="5"/>
        <v>1375192997</v>
      </c>
      <c r="J15" s="554">
        <f t="shared" si="5"/>
        <v>489605139</v>
      </c>
      <c r="K15" s="554">
        <f t="shared" si="5"/>
        <v>677733734</v>
      </c>
      <c r="L15" s="554">
        <f t="shared" si="5"/>
        <v>2348155074</v>
      </c>
      <c r="M15" s="554">
        <f t="shared" si="5"/>
        <v>1088236018</v>
      </c>
      <c r="N15" s="554">
        <f t="shared" si="5"/>
        <v>756530760</v>
      </c>
      <c r="O15" s="554">
        <f t="shared" si="5"/>
        <v>802505195</v>
      </c>
      <c r="P15" s="554">
        <f t="shared" si="5"/>
        <v>16378015516</v>
      </c>
      <c r="Q15" s="1610">
        <f>Q13+Q14</f>
        <v>17046672484</v>
      </c>
      <c r="R15" s="1611">
        <f t="shared" si="1"/>
        <v>-668656968</v>
      </c>
      <c r="S15" s="1606">
        <f t="shared" si="3"/>
        <v>-55721414</v>
      </c>
      <c r="T15" s="1611"/>
      <c r="U15" s="1611"/>
    </row>
    <row r="16" spans="1:22" ht="22.5" customHeight="1" x14ac:dyDescent="0.2">
      <c r="A16" s="542"/>
      <c r="B16" s="1609" t="s">
        <v>258</v>
      </c>
      <c r="C16" s="1282"/>
      <c r="D16" s="544"/>
      <c r="E16" s="544"/>
      <c r="F16" s="544"/>
      <c r="G16" s="545"/>
      <c r="H16" s="545"/>
      <c r="I16" s="545"/>
      <c r="J16" s="545"/>
      <c r="K16" s="545"/>
      <c r="L16" s="545"/>
      <c r="M16" s="544"/>
      <c r="N16" s="544"/>
      <c r="O16" s="544"/>
      <c r="P16" s="546"/>
      <c r="Q16" s="1610"/>
      <c r="R16" s="1611">
        <f t="shared" si="1"/>
        <v>0</v>
      </c>
      <c r="S16" s="1606">
        <f t="shared" si="3"/>
        <v>0</v>
      </c>
    </row>
    <row r="17" spans="1:22" ht="20.25" customHeight="1" x14ac:dyDescent="0.2">
      <c r="A17" s="542" t="s">
        <v>231</v>
      </c>
      <c r="B17" s="559" t="s">
        <v>1236</v>
      </c>
      <c r="C17" s="548" t="s">
        <v>205</v>
      </c>
      <c r="D17" s="549">
        <v>140961308</v>
      </c>
      <c r="E17" s="549">
        <v>151222803</v>
      </c>
      <c r="F17" s="549">
        <v>167371221</v>
      </c>
      <c r="G17" s="549">
        <v>232619783</v>
      </c>
      <c r="H17" s="549">
        <v>174466235</v>
      </c>
      <c r="I17" s="549">
        <v>230600816</v>
      </c>
      <c r="J17" s="549">
        <v>194041266</v>
      </c>
      <c r="K17" s="549">
        <v>172048233</v>
      </c>
      <c r="L17" s="549">
        <v>163222918</v>
      </c>
      <c r="M17" s="549">
        <v>388679367</v>
      </c>
      <c r="N17" s="549">
        <v>166991430</v>
      </c>
      <c r="O17" s="549">
        <v>191021365</v>
      </c>
      <c r="P17" s="550">
        <f>SUM(D17:O17)</f>
        <v>2373246745</v>
      </c>
      <c r="Q17" s="1610">
        <f>+'[4]3. sz.Városi szintű összesen'!K8</f>
        <v>2706495246</v>
      </c>
      <c r="R17" s="1611">
        <f t="shared" si="1"/>
        <v>-333248501</v>
      </c>
      <c r="S17" s="1606">
        <f t="shared" si="3"/>
        <v>-27770708.416666668</v>
      </c>
      <c r="U17" s="1606">
        <v>1</v>
      </c>
    </row>
    <row r="18" spans="1:22" ht="29.25" customHeight="1" x14ac:dyDescent="0.2">
      <c r="A18" s="542" t="s">
        <v>232</v>
      </c>
      <c r="B18" s="547" t="s">
        <v>206</v>
      </c>
      <c r="C18" s="548" t="s">
        <v>207</v>
      </c>
      <c r="D18" s="549">
        <v>26801406</v>
      </c>
      <c r="E18" s="549">
        <v>19353120</v>
      </c>
      <c r="F18" s="549">
        <v>21310834</v>
      </c>
      <c r="G18" s="549">
        <v>46305281</v>
      </c>
      <c r="H18" s="549">
        <v>23565904</v>
      </c>
      <c r="I18" s="549">
        <v>29039316</v>
      </c>
      <c r="J18" s="549">
        <v>31292177</v>
      </c>
      <c r="K18" s="549">
        <v>22109438</v>
      </c>
      <c r="L18" s="549">
        <v>20719336</v>
      </c>
      <c r="M18" s="549">
        <v>56589274</v>
      </c>
      <c r="N18" s="549">
        <v>21160563</v>
      </c>
      <c r="O18" s="549">
        <v>21641759</v>
      </c>
      <c r="P18" s="550">
        <f t="shared" ref="P18:P24" si="6">SUM(D18:O18)</f>
        <v>339888408</v>
      </c>
      <c r="Q18" s="1610">
        <f>+'[4]3. sz.Városi szintű összesen'!K9</f>
        <v>400975191</v>
      </c>
      <c r="R18" s="1611">
        <f t="shared" si="1"/>
        <v>-61086783</v>
      </c>
      <c r="S18" s="1606">
        <f t="shared" si="3"/>
        <v>-5090565.25</v>
      </c>
    </row>
    <row r="19" spans="1:22" ht="21.75" customHeight="1" x14ac:dyDescent="0.2">
      <c r="A19" s="542" t="s">
        <v>233</v>
      </c>
      <c r="B19" s="547" t="s">
        <v>336</v>
      </c>
      <c r="C19" s="548" t="s">
        <v>208</v>
      </c>
      <c r="D19" s="549">
        <v>773145479</v>
      </c>
      <c r="E19" s="549">
        <v>371750003</v>
      </c>
      <c r="F19" s="549">
        <v>186254491</v>
      </c>
      <c r="G19" s="549">
        <v>236143849</v>
      </c>
      <c r="H19" s="549">
        <v>203327994</v>
      </c>
      <c r="I19" s="549">
        <v>252039491</v>
      </c>
      <c r="J19" s="549">
        <v>145697729</v>
      </c>
      <c r="K19" s="549">
        <v>258907813</v>
      </c>
      <c r="L19" s="549">
        <v>182326059</v>
      </c>
      <c r="M19" s="549">
        <v>222873267</v>
      </c>
      <c r="N19" s="549">
        <v>237947206</v>
      </c>
      <c r="O19" s="549">
        <v>296348327</v>
      </c>
      <c r="P19" s="550">
        <f t="shared" si="6"/>
        <v>3366761708</v>
      </c>
      <c r="Q19" s="1610">
        <f>+'[4]3. sz.Városi szintű összesen'!K10</f>
        <v>4184667018</v>
      </c>
      <c r="R19" s="1611">
        <f t="shared" si="1"/>
        <v>-817905310</v>
      </c>
      <c r="S19" s="1606">
        <f t="shared" si="3"/>
        <v>-68158775.833333328</v>
      </c>
    </row>
    <row r="20" spans="1:22" ht="21.75" customHeight="1" x14ac:dyDescent="0.2">
      <c r="A20" s="542" t="s">
        <v>234</v>
      </c>
      <c r="B20" s="560" t="s">
        <v>1237</v>
      </c>
      <c r="C20" s="548" t="s">
        <v>209</v>
      </c>
      <c r="D20" s="549">
        <v>1373540</v>
      </c>
      <c r="E20" s="549">
        <v>1210991</v>
      </c>
      <c r="F20" s="549">
        <v>2448665</v>
      </c>
      <c r="G20" s="549">
        <v>1324293</v>
      </c>
      <c r="H20" s="549">
        <v>3444349</v>
      </c>
      <c r="I20" s="549">
        <v>1734237</v>
      </c>
      <c r="J20" s="549">
        <v>1367685</v>
      </c>
      <c r="K20" s="549">
        <v>2324999</v>
      </c>
      <c r="L20" s="549">
        <v>2012745</v>
      </c>
      <c r="M20" s="549">
        <v>2543127</v>
      </c>
      <c r="N20" s="549">
        <v>3069041</v>
      </c>
      <c r="O20" s="549">
        <v>8960457</v>
      </c>
      <c r="P20" s="550">
        <f t="shared" si="6"/>
        <v>31814129</v>
      </c>
      <c r="Q20" s="1610">
        <f>+'[4]3. sz.Városi szintű összesen'!K11</f>
        <v>47819430</v>
      </c>
      <c r="R20" s="1611">
        <f t="shared" si="1"/>
        <v>-16005301</v>
      </c>
      <c r="S20" s="1606">
        <f t="shared" si="3"/>
        <v>-1333775.0833333333</v>
      </c>
    </row>
    <row r="21" spans="1:22" ht="21.75" customHeight="1" x14ac:dyDescent="0.2">
      <c r="A21" s="542" t="s">
        <v>235</v>
      </c>
      <c r="B21" s="560" t="s">
        <v>240</v>
      </c>
      <c r="C21" s="548" t="s">
        <v>210</v>
      </c>
      <c r="D21" s="549">
        <v>26327510</v>
      </c>
      <c r="E21" s="549">
        <v>9988000</v>
      </c>
      <c r="F21" s="549">
        <v>262784285</v>
      </c>
      <c r="G21" s="549">
        <v>96579653</v>
      </c>
      <c r="H21" s="549">
        <v>301062360</v>
      </c>
      <c r="I21" s="549">
        <v>99335502</v>
      </c>
      <c r="J21" s="549">
        <v>123015835</v>
      </c>
      <c r="K21" s="549">
        <v>84615653</v>
      </c>
      <c r="L21" s="549">
        <v>83740653</v>
      </c>
      <c r="M21" s="549">
        <v>127460588</v>
      </c>
      <c r="N21" s="549">
        <v>91765753</v>
      </c>
      <c r="O21" s="549">
        <v>80780916</v>
      </c>
      <c r="P21" s="550">
        <f t="shared" si="6"/>
        <v>1387456708</v>
      </c>
      <c r="Q21" s="1610">
        <f>+'[4]3. sz.Városi szintű összesen'!K12</f>
        <v>3268729967</v>
      </c>
      <c r="R21" s="1611">
        <f t="shared" si="1"/>
        <v>-1881273259</v>
      </c>
      <c r="S21" s="1606">
        <f t="shared" si="3"/>
        <v>-156772771.58333334</v>
      </c>
    </row>
    <row r="22" spans="1:22" ht="21.75" customHeight="1" x14ac:dyDescent="0.2">
      <c r="A22" s="542" t="s">
        <v>236</v>
      </c>
      <c r="B22" s="547" t="s">
        <v>247</v>
      </c>
      <c r="C22" s="548" t="s">
        <v>211</v>
      </c>
      <c r="D22" s="549">
        <v>5701268</v>
      </c>
      <c r="E22" s="549">
        <v>3912370</v>
      </c>
      <c r="F22" s="549">
        <v>88984138</v>
      </c>
      <c r="G22" s="549">
        <v>42826658</v>
      </c>
      <c r="H22" s="549">
        <v>171490317</v>
      </c>
      <c r="I22" s="549">
        <v>94240267</v>
      </c>
      <c r="J22" s="549">
        <v>224814420</v>
      </c>
      <c r="K22" s="549">
        <v>89940812</v>
      </c>
      <c r="L22" s="561">
        <v>78033252</v>
      </c>
      <c r="M22" s="549">
        <v>124822027</v>
      </c>
      <c r="N22" s="549">
        <v>39452382</v>
      </c>
      <c r="O22" s="549">
        <v>50439467</v>
      </c>
      <c r="P22" s="550">
        <f t="shared" si="6"/>
        <v>1014657378</v>
      </c>
      <c r="Q22" s="1610">
        <f>+'[4]3. sz.Városi szintű összesen'!K16</f>
        <v>2057444045</v>
      </c>
      <c r="R22" s="1611">
        <f t="shared" si="1"/>
        <v>-1042786667</v>
      </c>
      <c r="S22" s="1606">
        <f t="shared" si="3"/>
        <v>-86898888.916666672</v>
      </c>
    </row>
    <row r="23" spans="1:22" ht="21.75" customHeight="1" x14ac:dyDescent="0.2">
      <c r="A23" s="542" t="s">
        <v>237</v>
      </c>
      <c r="B23" s="560" t="s">
        <v>1238</v>
      </c>
      <c r="C23" s="548" t="s">
        <v>212</v>
      </c>
      <c r="D23" s="549">
        <v>374731</v>
      </c>
      <c r="E23" s="549">
        <v>19310350</v>
      </c>
      <c r="F23" s="549">
        <v>8735060</v>
      </c>
      <c r="G23" s="549">
        <v>20734458</v>
      </c>
      <c r="H23" s="549">
        <v>1298804</v>
      </c>
      <c r="I23" s="549">
        <v>0</v>
      </c>
      <c r="J23" s="549">
        <v>0</v>
      </c>
      <c r="K23" s="549">
        <v>14806263</v>
      </c>
      <c r="L23" s="549">
        <v>24780006</v>
      </c>
      <c r="M23" s="549">
        <v>6751320</v>
      </c>
      <c r="N23" s="549">
        <v>2782570</v>
      </c>
      <c r="O23" s="549">
        <v>30703640</v>
      </c>
      <c r="P23" s="550">
        <f t="shared" si="6"/>
        <v>130277202</v>
      </c>
      <c r="Q23" s="1610">
        <f>+'[4]3. sz.Városi szintű összesen'!K17</f>
        <v>174757458</v>
      </c>
      <c r="R23" s="1611">
        <f t="shared" si="1"/>
        <v>-44480256</v>
      </c>
      <c r="S23" s="1606">
        <f t="shared" si="3"/>
        <v>-3706688</v>
      </c>
    </row>
    <row r="24" spans="1:22" ht="21.75" customHeight="1" x14ac:dyDescent="0.2">
      <c r="A24" s="542" t="s">
        <v>238</v>
      </c>
      <c r="B24" s="560" t="s">
        <v>241</v>
      </c>
      <c r="C24" s="548" t="s">
        <v>213</v>
      </c>
      <c r="D24" s="549">
        <v>0</v>
      </c>
      <c r="E24" s="549">
        <v>0</v>
      </c>
      <c r="F24" s="549">
        <v>5500000</v>
      </c>
      <c r="G24" s="549">
        <v>1606200</v>
      </c>
      <c r="H24" s="549">
        <v>6316000</v>
      </c>
      <c r="I24" s="549">
        <v>4003951</v>
      </c>
      <c r="J24" s="549">
        <v>2111600</v>
      </c>
      <c r="K24" s="549">
        <v>0</v>
      </c>
      <c r="L24" s="549">
        <v>5520000</v>
      </c>
      <c r="M24" s="549">
        <v>341800</v>
      </c>
      <c r="N24" s="549">
        <v>1849935</v>
      </c>
      <c r="O24" s="549">
        <v>1702285</v>
      </c>
      <c r="P24" s="550">
        <f t="shared" si="6"/>
        <v>28951771</v>
      </c>
      <c r="Q24" s="1610">
        <f>+'[4]3. sz.Városi szintű összesen'!K18</f>
        <v>34271261</v>
      </c>
      <c r="R24" s="1611">
        <f t="shared" si="1"/>
        <v>-5319490</v>
      </c>
      <c r="S24" s="1606">
        <f t="shared" si="3"/>
        <v>-443290.83333333331</v>
      </c>
    </row>
    <row r="25" spans="1:22" ht="21.75" customHeight="1" x14ac:dyDescent="0.2">
      <c r="A25" s="542" t="s">
        <v>239</v>
      </c>
      <c r="B25" s="552" t="s">
        <v>1239</v>
      </c>
      <c r="C25" s="553" t="s">
        <v>214</v>
      </c>
      <c r="D25" s="554">
        <f>SUM(D17:D24)</f>
        <v>974685242</v>
      </c>
      <c r="E25" s="554">
        <f t="shared" ref="E25:P25" si="7">SUM(E17:E24)</f>
        <v>576747637</v>
      </c>
      <c r="F25" s="554">
        <f t="shared" si="7"/>
        <v>743388694</v>
      </c>
      <c r="G25" s="554">
        <f t="shared" si="7"/>
        <v>678140175</v>
      </c>
      <c r="H25" s="554">
        <f t="shared" si="7"/>
        <v>884971963</v>
      </c>
      <c r="I25" s="554">
        <f t="shared" si="7"/>
        <v>710993580</v>
      </c>
      <c r="J25" s="554">
        <f t="shared" si="7"/>
        <v>722340712</v>
      </c>
      <c r="K25" s="554">
        <f t="shared" si="7"/>
        <v>644753211</v>
      </c>
      <c r="L25" s="554">
        <f t="shared" si="7"/>
        <v>560354969</v>
      </c>
      <c r="M25" s="554">
        <f t="shared" si="7"/>
        <v>930060770</v>
      </c>
      <c r="N25" s="554">
        <f t="shared" si="7"/>
        <v>565018880</v>
      </c>
      <c r="O25" s="554">
        <f t="shared" si="7"/>
        <v>681598216</v>
      </c>
      <c r="P25" s="554">
        <f t="shared" si="7"/>
        <v>8673054049</v>
      </c>
      <c r="Q25" s="1610">
        <f>SUM(Q17:Q24)</f>
        <v>12875159616</v>
      </c>
      <c r="R25" s="1611">
        <f t="shared" si="1"/>
        <v>-4202105567</v>
      </c>
      <c r="S25" s="1606">
        <f t="shared" si="3"/>
        <v>-350175463.91666669</v>
      </c>
      <c r="T25" s="1611"/>
      <c r="U25" s="1611"/>
    </row>
    <row r="26" spans="1:22" ht="21.75" customHeight="1" x14ac:dyDescent="0.2">
      <c r="A26" s="542" t="s">
        <v>266</v>
      </c>
      <c r="B26" s="555" t="s">
        <v>1240</v>
      </c>
      <c r="C26" s="556" t="s">
        <v>223</v>
      </c>
      <c r="D26" s="549">
        <v>79000000</v>
      </c>
      <c r="E26" s="549">
        <v>94000000</v>
      </c>
      <c r="F26" s="549">
        <v>585960517</v>
      </c>
      <c r="G26" s="549">
        <v>389695576</v>
      </c>
      <c r="H26" s="549">
        <v>257534049</v>
      </c>
      <c r="I26" s="549">
        <v>347501914</v>
      </c>
      <c r="J26" s="549">
        <f>2289596460-2000000000</f>
        <v>289596460</v>
      </c>
      <c r="K26" s="549">
        <f>2974653074-2600000000</f>
        <v>374653074</v>
      </c>
      <c r="L26" s="549">
        <f>7309785487-7210000000</f>
        <v>99785487</v>
      </c>
      <c r="M26" s="549">
        <f>5130131857-4590000000</f>
        <v>540131857</v>
      </c>
      <c r="N26" s="549">
        <f>6038253608-5800000000</f>
        <v>238253608</v>
      </c>
      <c r="O26" s="549">
        <f>6313412333-6000000000</f>
        <v>313412333</v>
      </c>
      <c r="P26" s="554">
        <f>SUM(D26:O26)</f>
        <v>3609524875</v>
      </c>
      <c r="Q26" s="1610">
        <f>+'[4]3. sz.Városi szintű összesen'!K21</f>
        <v>4171512868</v>
      </c>
      <c r="R26" s="1611">
        <f t="shared" si="1"/>
        <v>-561987993</v>
      </c>
      <c r="S26" s="1606">
        <f t="shared" si="3"/>
        <v>-46832332.75</v>
      </c>
    </row>
    <row r="27" spans="1:22" ht="35.25" customHeight="1" x14ac:dyDescent="0.2">
      <c r="A27" s="542" t="s">
        <v>267</v>
      </c>
      <c r="B27" s="557" t="s">
        <v>1241</v>
      </c>
      <c r="C27" s="558"/>
      <c r="D27" s="554">
        <f>+D25+D26</f>
        <v>1053685242</v>
      </c>
      <c r="E27" s="554">
        <f t="shared" ref="E27:O27" si="8">+E25+E26</f>
        <v>670747637</v>
      </c>
      <c r="F27" s="554">
        <f t="shared" si="8"/>
        <v>1329349211</v>
      </c>
      <c r="G27" s="554">
        <f t="shared" si="8"/>
        <v>1067835751</v>
      </c>
      <c r="H27" s="554">
        <f t="shared" si="8"/>
        <v>1142506012</v>
      </c>
      <c r="I27" s="554">
        <f t="shared" si="8"/>
        <v>1058495494</v>
      </c>
      <c r="J27" s="554">
        <f t="shared" si="8"/>
        <v>1011937172</v>
      </c>
      <c r="K27" s="554">
        <f t="shared" si="8"/>
        <v>1019406285</v>
      </c>
      <c r="L27" s="554">
        <f t="shared" si="8"/>
        <v>660140456</v>
      </c>
      <c r="M27" s="554">
        <f t="shared" si="8"/>
        <v>1470192627</v>
      </c>
      <c r="N27" s="554">
        <f t="shared" si="8"/>
        <v>803272488</v>
      </c>
      <c r="O27" s="554">
        <f t="shared" si="8"/>
        <v>995010549</v>
      </c>
      <c r="P27" s="554">
        <f>P25+P26</f>
        <v>12282578924</v>
      </c>
      <c r="Q27" s="1610">
        <f>Q25+Q26</f>
        <v>17046672484</v>
      </c>
      <c r="R27" s="1611">
        <f t="shared" si="1"/>
        <v>-4764093560</v>
      </c>
      <c r="S27" s="1606">
        <f t="shared" si="3"/>
        <v>-397007796.66666669</v>
      </c>
      <c r="T27" s="1611"/>
      <c r="U27" s="1611"/>
    </row>
    <row r="28" spans="1:22" ht="20.25" customHeight="1" x14ac:dyDescent="0.2">
      <c r="A28" s="542" t="s">
        <v>268</v>
      </c>
      <c r="B28" s="557" t="s">
        <v>1242</v>
      </c>
      <c r="C28" s="558"/>
      <c r="D28" s="554">
        <f>+D15-D27</f>
        <v>67490220</v>
      </c>
      <c r="E28" s="554">
        <f t="shared" ref="E28:N28" si="9">+E15-E27</f>
        <v>-453159341</v>
      </c>
      <c r="F28" s="554">
        <f t="shared" si="9"/>
        <v>1186397286</v>
      </c>
      <c r="G28" s="554">
        <f t="shared" si="9"/>
        <v>-477828932</v>
      </c>
      <c r="H28" s="554">
        <f t="shared" si="9"/>
        <v>3253033513</v>
      </c>
      <c r="I28" s="554">
        <f t="shared" si="9"/>
        <v>316697503</v>
      </c>
      <c r="J28" s="554">
        <f>+J15-J27</f>
        <v>-522332033</v>
      </c>
      <c r="K28" s="554">
        <f t="shared" si="9"/>
        <v>-341672551</v>
      </c>
      <c r="L28" s="554">
        <f t="shared" si="9"/>
        <v>1688014618</v>
      </c>
      <c r="M28" s="554">
        <f t="shared" si="9"/>
        <v>-381956609</v>
      </c>
      <c r="N28" s="554">
        <f t="shared" si="9"/>
        <v>-46741728</v>
      </c>
      <c r="O28" s="554">
        <f>+O15-O27</f>
        <v>-192505354</v>
      </c>
      <c r="P28" s="554">
        <f>+P15-P27</f>
        <v>4095436592</v>
      </c>
      <c r="Q28" s="1610"/>
      <c r="R28" s="1611"/>
      <c r="S28" s="1606">
        <f t="shared" si="3"/>
        <v>0</v>
      </c>
      <c r="U28" s="1612">
        <f>+O29+D5</f>
        <v>-61498229</v>
      </c>
    </row>
    <row r="29" spans="1:22" ht="20.25" customHeight="1" x14ac:dyDescent="0.2">
      <c r="A29" s="542"/>
      <c r="B29" s="557" t="s">
        <v>3543</v>
      </c>
      <c r="C29" s="558"/>
      <c r="D29" s="554"/>
      <c r="E29" s="554"/>
      <c r="F29" s="554"/>
      <c r="G29" s="554"/>
      <c r="H29" s="554"/>
      <c r="I29" s="554"/>
      <c r="J29" s="554"/>
      <c r="K29" s="554"/>
      <c r="L29" s="554"/>
      <c r="M29" s="554"/>
      <c r="N29" s="554"/>
      <c r="O29" s="554">
        <v>-3846116038</v>
      </c>
      <c r="P29" s="554"/>
      <c r="Q29" s="1610"/>
      <c r="R29" s="1611"/>
    </row>
    <row r="30" spans="1:22" s="1605" customFormat="1" ht="21" customHeight="1" x14ac:dyDescent="0.25">
      <c r="A30" s="540" t="s">
        <v>269</v>
      </c>
      <c r="B30" s="1613" t="s">
        <v>1243</v>
      </c>
      <c r="C30" s="1614"/>
      <c r="D30" s="554">
        <f>+D5+D15-D27</f>
        <v>3852108029</v>
      </c>
      <c r="E30" s="554">
        <f>+E5+E15-E27</f>
        <v>3398948688</v>
      </c>
      <c r="F30" s="554">
        <f t="shared" ref="F30:N30" si="10">+F5+F15-F27</f>
        <v>4585345974</v>
      </c>
      <c r="G30" s="554">
        <f t="shared" si="10"/>
        <v>4107517042</v>
      </c>
      <c r="H30" s="554">
        <f t="shared" si="10"/>
        <v>7360550555</v>
      </c>
      <c r="I30" s="554">
        <f t="shared" si="10"/>
        <v>7677248058</v>
      </c>
      <c r="J30" s="554">
        <f t="shared" si="10"/>
        <v>7154916025</v>
      </c>
      <c r="K30" s="554">
        <f t="shared" si="10"/>
        <v>6813243474</v>
      </c>
      <c r="L30" s="554">
        <f t="shared" si="10"/>
        <v>8501258092</v>
      </c>
      <c r="M30" s="554">
        <f t="shared" si="10"/>
        <v>8119301483</v>
      </c>
      <c r="N30" s="554">
        <f t="shared" si="10"/>
        <v>8072559755</v>
      </c>
      <c r="O30" s="554">
        <f>+O5+O28+O29</f>
        <v>4033938363</v>
      </c>
      <c r="P30" s="554"/>
      <c r="Q30" s="1610">
        <f>+'[3]3. sz.Városi szintű összesen'!G29</f>
        <v>10344621437</v>
      </c>
      <c r="R30" s="1610"/>
      <c r="S30" s="1606">
        <f t="shared" si="3"/>
        <v>0</v>
      </c>
      <c r="V30" s="562"/>
    </row>
    <row r="31" spans="1:22" x14ac:dyDescent="0.2">
      <c r="O31" s="1616">
        <v>4033938363</v>
      </c>
      <c r="P31" s="1617">
        <f>+O30-O31</f>
        <v>0</v>
      </c>
    </row>
    <row r="32" spans="1:22" x14ac:dyDescent="0.2">
      <c r="Q32" s="1618">
        <f>+P15-P27</f>
        <v>4095436592</v>
      </c>
      <c r="R32" s="1606" t="s">
        <v>3544</v>
      </c>
      <c r="S32" s="1617">
        <f>+Q32-O31</f>
        <v>61498229</v>
      </c>
    </row>
    <row r="33" spans="8:19" x14ac:dyDescent="0.2">
      <c r="K33" s="1612">
        <f>+K26+K25</f>
        <v>1019406285</v>
      </c>
      <c r="N33" s="1606" t="s">
        <v>3545</v>
      </c>
      <c r="O33" s="1616">
        <v>-3789924031</v>
      </c>
      <c r="R33" s="1617"/>
      <c r="S33" s="1617">
        <f>+O33+5306221</f>
        <v>-3784617810</v>
      </c>
    </row>
    <row r="34" spans="8:19" x14ac:dyDescent="0.2">
      <c r="N34" s="1606" t="s">
        <v>3546</v>
      </c>
      <c r="O34" s="1616">
        <v>67211332</v>
      </c>
      <c r="P34" s="1616">
        <v>61498229</v>
      </c>
      <c r="S34" s="1612"/>
    </row>
    <row r="35" spans="8:19" x14ac:dyDescent="0.2">
      <c r="O35" s="1616">
        <f>+O33+O34</f>
        <v>-3722712699</v>
      </c>
      <c r="Q35" s="1619">
        <v>4095436592</v>
      </c>
    </row>
    <row r="36" spans="8:19" x14ac:dyDescent="0.2">
      <c r="J36" s="1606" t="s">
        <v>3547</v>
      </c>
      <c r="O36" s="1616"/>
      <c r="Q36" s="1619">
        <f>+O29</f>
        <v>-3846116038</v>
      </c>
    </row>
    <row r="37" spans="8:19" x14ac:dyDescent="0.2">
      <c r="J37" s="1606">
        <v>36411</v>
      </c>
      <c r="L37" s="1606">
        <v>-580500</v>
      </c>
      <c r="O37" s="1616"/>
      <c r="Q37" s="1620">
        <f>+O5+Q35+Q36</f>
        <v>8321880309</v>
      </c>
    </row>
    <row r="38" spans="8:19" x14ac:dyDescent="0.2">
      <c r="J38" s="1606">
        <v>36413</v>
      </c>
      <c r="K38" s="1616">
        <f>(5845456+4441)</f>
        <v>5849897</v>
      </c>
      <c r="L38" s="1606">
        <f>19249467+1016111+1352103-13823719-1016111-1347662</f>
        <v>5430189</v>
      </c>
      <c r="M38" s="1617"/>
      <c r="O38" s="1616"/>
    </row>
    <row r="39" spans="8:19" x14ac:dyDescent="0.2">
      <c r="H39" s="1606">
        <v>365</v>
      </c>
      <c r="I39" s="1616">
        <f>1915298411-1862851615</f>
        <v>52446796</v>
      </c>
      <c r="J39" s="1606">
        <v>36512</v>
      </c>
      <c r="K39" s="1616">
        <f>50528885+8111286</f>
        <v>58640171</v>
      </c>
      <c r="L39" s="1606">
        <v>52446796</v>
      </c>
      <c r="N39" s="1606" t="s">
        <v>3545</v>
      </c>
      <c r="O39" s="1616">
        <v>-3789924031</v>
      </c>
    </row>
    <row r="40" spans="8:19" x14ac:dyDescent="0.2">
      <c r="I40" s="1616"/>
      <c r="J40" s="1606">
        <v>36513</v>
      </c>
      <c r="K40" s="1606">
        <f>366784+3994809-366784-3994809</f>
        <v>0</v>
      </c>
      <c r="N40" s="1606" t="s">
        <v>3546</v>
      </c>
      <c r="O40" s="1616">
        <f>-K50</f>
        <v>-61498229</v>
      </c>
      <c r="P40" s="1606" t="s">
        <v>3548</v>
      </c>
    </row>
    <row r="41" spans="8:19" x14ac:dyDescent="0.2">
      <c r="I41" s="1616"/>
      <c r="J41" s="1606">
        <v>36514</v>
      </c>
      <c r="K41" s="1616">
        <v>300000</v>
      </c>
      <c r="N41" s="1606" t="s">
        <v>3549</v>
      </c>
      <c r="O41" s="1616">
        <v>-2343075779</v>
      </c>
      <c r="R41" s="1612">
        <f>+O5+O28</f>
        <v>7880054401</v>
      </c>
    </row>
    <row r="42" spans="8:19" x14ac:dyDescent="0.2">
      <c r="I42" s="1616"/>
      <c r="J42" s="1606">
        <v>36515</v>
      </c>
      <c r="K42" s="1616">
        <v>150000</v>
      </c>
      <c r="N42" s="1606" t="s">
        <v>3550</v>
      </c>
      <c r="O42" s="1616">
        <f>--2348382001</f>
        <v>2348382001</v>
      </c>
      <c r="R42" s="1612">
        <f>4033938363-R41</f>
        <v>-3846116038</v>
      </c>
    </row>
    <row r="43" spans="8:19" x14ac:dyDescent="0.2">
      <c r="I43" s="1616"/>
      <c r="J43" s="1606">
        <v>36516</v>
      </c>
      <c r="K43" s="1616">
        <v>974497</v>
      </c>
    </row>
    <row r="44" spans="8:19" x14ac:dyDescent="0.2">
      <c r="I44" s="1616"/>
      <c r="J44" s="1606">
        <v>3654</v>
      </c>
      <c r="K44" s="1616">
        <v>550000</v>
      </c>
      <c r="O44" s="1616">
        <f>SUM(O39:O43)</f>
        <v>-3846116038</v>
      </c>
    </row>
    <row r="45" spans="8:19" x14ac:dyDescent="0.2">
      <c r="I45" s="1616"/>
      <c r="J45" s="1606">
        <v>3661</v>
      </c>
      <c r="K45" s="1616">
        <v>197263</v>
      </c>
      <c r="L45" s="1606">
        <v>197263</v>
      </c>
      <c r="R45" s="1612">
        <f>+O39-R42</f>
        <v>56192007</v>
      </c>
    </row>
    <row r="46" spans="8:19" x14ac:dyDescent="0.2">
      <c r="I46" s="1616"/>
      <c r="J46" s="1606">
        <v>36711</v>
      </c>
      <c r="K46" s="1616">
        <f>-(722764+38000+523737+2044893)</f>
        <v>-3329394</v>
      </c>
      <c r="L46" s="1606">
        <f>30982066+515059+2703741+1168712435+4792157867-31640648-435459-3062695-1168712435-4792157867</f>
        <v>-937936</v>
      </c>
    </row>
    <row r="47" spans="8:19" x14ac:dyDescent="0.2">
      <c r="I47" s="1616"/>
      <c r="J47" s="1606">
        <v>3673</v>
      </c>
      <c r="K47" s="1616">
        <v>-712340</v>
      </c>
      <c r="L47" s="1606">
        <f>5938666-5320071</f>
        <v>618595</v>
      </c>
    </row>
    <row r="48" spans="8:19" x14ac:dyDescent="0.2">
      <c r="I48" s="1616"/>
      <c r="J48" s="1606">
        <v>3678</v>
      </c>
      <c r="K48" s="1616">
        <v>-1121865</v>
      </c>
      <c r="L48" s="1606">
        <f>17600-1000000</f>
        <v>-982400</v>
      </c>
    </row>
    <row r="49" spans="9:15" x14ac:dyDescent="0.2">
      <c r="I49" s="1616"/>
      <c r="L49" s="1617">
        <f>SUM(L37:L48)</f>
        <v>56192007</v>
      </c>
      <c r="N49" s="1606" t="s">
        <v>3545</v>
      </c>
      <c r="O49" s="1616">
        <v>-3789924031</v>
      </c>
    </row>
    <row r="50" spans="9:15" x14ac:dyDescent="0.2">
      <c r="I50" s="1616"/>
      <c r="K50" s="1617">
        <f>SUM(K38:K49)</f>
        <v>61498229</v>
      </c>
      <c r="O50" s="1617">
        <f>-+L49</f>
        <v>-56192007</v>
      </c>
    </row>
    <row r="51" spans="9:15" x14ac:dyDescent="0.2">
      <c r="I51" s="1616"/>
      <c r="O51" s="1617">
        <f>SUM(O49:O50)</f>
        <v>-3846116038</v>
      </c>
    </row>
    <row r="52" spans="9:15" x14ac:dyDescent="0.2">
      <c r="I52" s="1616"/>
      <c r="K52" s="1616">
        <v>56192007</v>
      </c>
    </row>
    <row r="53" spans="9:15" x14ac:dyDescent="0.2">
      <c r="I53" s="1616"/>
      <c r="K53" s="1617">
        <f>+K50-K52</f>
        <v>5306222</v>
      </c>
    </row>
    <row r="55" spans="9:15" x14ac:dyDescent="0.2">
      <c r="L55" s="1617">
        <f>+L49-K52</f>
        <v>0</v>
      </c>
    </row>
  </sheetData>
  <mergeCells count="1">
    <mergeCell ref="A1:P1"/>
  </mergeCells>
  <printOptions horizontalCentered="1" verticalCentered="1"/>
  <pageMargins left="0.19685039370078741" right="0.19685039370078741" top="0.35433070866141736" bottom="0.35433070866141736" header="0.31496062992125984" footer="0.31496062992125984"/>
  <pageSetup paperSize="9" scale="56" orientation="landscape" r:id="rId1"/>
  <headerFooter>
    <oddHeader>&amp;C2022. évi költségvetés&amp;R&amp;A</oddHeader>
    <oddFooter>&amp;C&amp;P/&amp;N</oddFooter>
  </headerFooter>
  <colBreaks count="1" manualBreakCount="1">
    <brk id="1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view="pageBreakPreview" topLeftCell="A4" zoomScale="90" zoomScaleNormal="100" zoomScaleSheetLayoutView="90" workbookViewId="0">
      <selection activeCell="N30" sqref="N30"/>
    </sheetView>
  </sheetViews>
  <sheetFormatPr defaultRowHeight="12.75" x14ac:dyDescent="0.2"/>
  <cols>
    <col min="1" max="1" width="4.85546875" customWidth="1"/>
    <col min="2" max="2" width="43.42578125" customWidth="1"/>
    <col min="3" max="3" width="6.42578125" bestFit="1" customWidth="1"/>
    <col min="4" max="4" width="14.28515625" bestFit="1" customWidth="1"/>
    <col min="5" max="5" width="12.7109375" customWidth="1"/>
    <col min="6" max="6" width="14.7109375" customWidth="1"/>
    <col min="7" max="7" width="14.28515625" bestFit="1" customWidth="1"/>
    <col min="8" max="8" width="14.7109375" customWidth="1"/>
    <col min="9" max="9" width="15.140625" customWidth="1"/>
    <col min="10" max="10" width="14.5703125" customWidth="1"/>
    <col min="11" max="11" width="14.7109375" customWidth="1"/>
    <col min="12" max="12" width="14.140625" customWidth="1"/>
    <col min="13" max="13" width="14.28515625" bestFit="1" customWidth="1"/>
    <col min="14" max="15" width="14.28515625" customWidth="1"/>
    <col min="16" max="16" width="15.5703125" customWidth="1"/>
    <col min="17" max="17" width="18.140625" customWidth="1"/>
    <col min="18" max="18" width="13.85546875" customWidth="1"/>
  </cols>
  <sheetData>
    <row r="1" spans="1:18" ht="30" customHeight="1" x14ac:dyDescent="0.25">
      <c r="A1" s="1968" t="s">
        <v>1365</v>
      </c>
      <c r="B1" s="1968"/>
      <c r="C1" s="1968"/>
      <c r="D1" s="1968"/>
      <c r="E1" s="1968"/>
      <c r="F1" s="1968"/>
      <c r="G1" s="1968"/>
      <c r="H1" s="1968"/>
      <c r="I1" s="1968"/>
      <c r="J1" s="1968"/>
      <c r="K1" s="1968"/>
      <c r="L1" s="1968"/>
      <c r="M1" s="1968"/>
      <c r="N1" s="1968"/>
      <c r="O1" s="1968"/>
      <c r="P1" s="1968"/>
      <c r="Q1" s="434"/>
    </row>
    <row r="2" spans="1:18" ht="30" customHeight="1" x14ac:dyDescent="0.25">
      <c r="A2" s="536"/>
      <c r="B2" s="536"/>
      <c r="C2" s="536"/>
      <c r="D2" s="538"/>
      <c r="E2" s="538"/>
      <c r="F2" s="538"/>
      <c r="G2" s="538"/>
      <c r="H2" s="538"/>
      <c r="I2" s="538"/>
      <c r="J2" s="538"/>
      <c r="K2" s="538"/>
      <c r="L2" s="538"/>
      <c r="M2" s="538"/>
      <c r="N2" s="538"/>
      <c r="O2" s="538"/>
      <c r="P2" s="538"/>
      <c r="Q2" s="434"/>
    </row>
    <row r="3" spans="1:18" ht="15" x14ac:dyDescent="0.25">
      <c r="A3" s="1970" t="s">
        <v>1244</v>
      </c>
      <c r="B3" s="1971"/>
      <c r="C3" s="1976" t="s">
        <v>1223</v>
      </c>
      <c r="D3" s="1979" t="s">
        <v>93</v>
      </c>
      <c r="E3" s="1979" t="s">
        <v>94</v>
      </c>
      <c r="F3" s="1979" t="s">
        <v>97</v>
      </c>
      <c r="G3" s="1979" t="s">
        <v>1224</v>
      </c>
      <c r="H3" s="1979" t="s">
        <v>1225</v>
      </c>
      <c r="I3" s="1979" t="s">
        <v>1226</v>
      </c>
      <c r="J3" s="1979" t="s">
        <v>1227</v>
      </c>
      <c r="K3" s="1979" t="s">
        <v>1228</v>
      </c>
      <c r="L3" s="1979" t="s">
        <v>1229</v>
      </c>
      <c r="M3" s="1979" t="s">
        <v>1230</v>
      </c>
      <c r="N3" s="1979" t="s">
        <v>1231</v>
      </c>
      <c r="O3" s="1979" t="s">
        <v>1232</v>
      </c>
      <c r="P3" s="1969" t="s">
        <v>1366</v>
      </c>
      <c r="Q3" s="563"/>
    </row>
    <row r="4" spans="1:18" ht="15" x14ac:dyDescent="0.25">
      <c r="A4" s="1972"/>
      <c r="B4" s="1973"/>
      <c r="C4" s="1977"/>
      <c r="D4" s="1979"/>
      <c r="E4" s="1979"/>
      <c r="F4" s="1979"/>
      <c r="G4" s="1979"/>
      <c r="H4" s="1979"/>
      <c r="I4" s="1979"/>
      <c r="J4" s="1979"/>
      <c r="K4" s="1979"/>
      <c r="L4" s="1979"/>
      <c r="M4" s="1979"/>
      <c r="N4" s="1979"/>
      <c r="O4" s="1979"/>
      <c r="P4" s="1969"/>
      <c r="Q4" s="563"/>
    </row>
    <row r="5" spans="1:18" ht="15" x14ac:dyDescent="0.25">
      <c r="A5" s="1974"/>
      <c r="B5" s="1975"/>
      <c r="C5" s="1978"/>
      <c r="D5" s="1979"/>
      <c r="E5" s="1979"/>
      <c r="F5" s="1979"/>
      <c r="G5" s="1979"/>
      <c r="H5" s="1979"/>
      <c r="I5" s="1979"/>
      <c r="J5" s="1979"/>
      <c r="K5" s="1979"/>
      <c r="L5" s="1979"/>
      <c r="M5" s="1979"/>
      <c r="N5" s="1979"/>
      <c r="O5" s="1979"/>
      <c r="P5" s="1969"/>
      <c r="Q5" s="563"/>
    </row>
    <row r="6" spans="1:18" ht="21" customHeight="1" x14ac:dyDescent="0.2">
      <c r="A6" s="542"/>
      <c r="B6" s="543" t="s">
        <v>1009</v>
      </c>
      <c r="C6" s="1282"/>
      <c r="D6" s="1283"/>
      <c r="E6" s="1283"/>
      <c r="F6" s="1283"/>
      <c r="G6" s="1283"/>
      <c r="H6" s="1283"/>
      <c r="I6" s="1283"/>
      <c r="J6" s="1283"/>
      <c r="K6" s="1283"/>
      <c r="L6" s="1283"/>
      <c r="M6" s="1283"/>
      <c r="N6" s="1283"/>
      <c r="O6" s="1283"/>
      <c r="P6" s="1281"/>
      <c r="Q6" s="9"/>
      <c r="R6" s="522">
        <f>+Q6-P6</f>
        <v>0</v>
      </c>
    </row>
    <row r="7" spans="1:18" ht="21" customHeight="1" x14ac:dyDescent="0.2">
      <c r="A7" s="542" t="s">
        <v>195</v>
      </c>
      <c r="B7" s="547" t="s">
        <v>52</v>
      </c>
      <c r="C7" s="548" t="s">
        <v>215</v>
      </c>
      <c r="D7" s="549">
        <v>25316180</v>
      </c>
      <c r="E7" s="549">
        <v>37462358</v>
      </c>
      <c r="F7" s="549">
        <v>479479313</v>
      </c>
      <c r="G7" s="549">
        <v>152868101</v>
      </c>
      <c r="H7" s="549">
        <v>310403376</v>
      </c>
      <c r="I7" s="549">
        <v>365825017</v>
      </c>
      <c r="J7" s="549">
        <v>161877884</v>
      </c>
      <c r="K7" s="549">
        <v>161673595</v>
      </c>
      <c r="L7" s="549">
        <v>161168417</v>
      </c>
      <c r="M7" s="549">
        <v>351862748</v>
      </c>
      <c r="N7" s="549">
        <v>284716798</v>
      </c>
      <c r="O7" s="549">
        <v>197936821</v>
      </c>
      <c r="P7" s="550">
        <f>SUM(D7:O7)</f>
        <v>2690590608</v>
      </c>
      <c r="Q7" s="551"/>
      <c r="R7" s="522"/>
    </row>
    <row r="8" spans="1:18" ht="27" customHeight="1" x14ac:dyDescent="0.2">
      <c r="A8" s="542" t="s">
        <v>196</v>
      </c>
      <c r="B8" s="547" t="s">
        <v>226</v>
      </c>
      <c r="C8" s="548" t="s">
        <v>216</v>
      </c>
      <c r="D8" s="549"/>
      <c r="E8" s="549"/>
      <c r="F8" s="549"/>
      <c r="G8" s="549">
        <v>4690003</v>
      </c>
      <c r="H8" s="549"/>
      <c r="I8" s="549">
        <v>49565206</v>
      </c>
      <c r="J8" s="549"/>
      <c r="K8" s="549"/>
      <c r="L8" s="549"/>
      <c r="M8" s="549"/>
      <c r="N8" s="549"/>
      <c r="O8" s="549"/>
      <c r="P8" s="550">
        <f t="shared" ref="P8:P15" si="0">SUM(D8:O8)</f>
        <v>54255209</v>
      </c>
      <c r="Q8" s="551"/>
      <c r="R8" s="522"/>
    </row>
    <row r="9" spans="1:18" ht="21" customHeight="1" x14ac:dyDescent="0.2">
      <c r="A9" s="542" t="s">
        <v>197</v>
      </c>
      <c r="B9" s="547" t="s">
        <v>225</v>
      </c>
      <c r="C9" s="548" t="s">
        <v>217</v>
      </c>
      <c r="D9" s="549">
        <v>145000</v>
      </c>
      <c r="E9" s="549">
        <v>240000</v>
      </c>
      <c r="F9" s="549">
        <v>1581315000</v>
      </c>
      <c r="G9" s="549">
        <v>370000</v>
      </c>
      <c r="H9" s="549">
        <v>570000</v>
      </c>
      <c r="I9" s="549">
        <v>574590000</v>
      </c>
      <c r="J9" s="549">
        <v>280000</v>
      </c>
      <c r="K9" s="549">
        <v>100680000</v>
      </c>
      <c r="L9" s="549">
        <v>2046880000</v>
      </c>
      <c r="M9" s="549">
        <v>130470000</v>
      </c>
      <c r="N9" s="549">
        <v>103300000</v>
      </c>
      <c r="O9" s="549">
        <v>129326677</v>
      </c>
      <c r="P9" s="550">
        <f t="shared" si="0"/>
        <v>4668166677</v>
      </c>
      <c r="Q9" s="551"/>
      <c r="R9" s="522"/>
    </row>
    <row r="10" spans="1:18" ht="21" customHeight="1" x14ac:dyDescent="0.2">
      <c r="A10" s="542" t="s">
        <v>198</v>
      </c>
      <c r="B10" s="547" t="s">
        <v>1010</v>
      </c>
      <c r="C10" s="548" t="s">
        <v>218</v>
      </c>
      <c r="D10" s="549">
        <v>280831507</v>
      </c>
      <c r="E10" s="549">
        <v>29145382</v>
      </c>
      <c r="F10" s="549">
        <v>38376487</v>
      </c>
      <c r="G10" s="549">
        <v>41933339</v>
      </c>
      <c r="H10" s="549">
        <v>36511969</v>
      </c>
      <c r="I10" s="549">
        <v>44177816</v>
      </c>
      <c r="J10" s="549">
        <v>37240795</v>
      </c>
      <c r="K10" s="549">
        <v>36023815</v>
      </c>
      <c r="L10" s="549">
        <v>46372276</v>
      </c>
      <c r="M10" s="549">
        <v>65028263</v>
      </c>
      <c r="N10" s="549">
        <v>86557610</v>
      </c>
      <c r="O10" s="549">
        <v>91332352</v>
      </c>
      <c r="P10" s="550">
        <f t="shared" si="0"/>
        <v>833531611</v>
      </c>
      <c r="Q10" s="551"/>
      <c r="R10" s="522"/>
    </row>
    <row r="11" spans="1:18" ht="21" customHeight="1" x14ac:dyDescent="0.2">
      <c r="A11" s="542" t="s">
        <v>199</v>
      </c>
      <c r="B11" s="547" t="s">
        <v>248</v>
      </c>
      <c r="C11" s="548" t="s">
        <v>219</v>
      </c>
      <c r="D11" s="549">
        <v>681454000</v>
      </c>
      <c r="E11" s="549"/>
      <c r="F11" s="549">
        <v>8630203</v>
      </c>
      <c r="G11" s="549"/>
      <c r="H11" s="549">
        <v>75000</v>
      </c>
      <c r="I11" s="549"/>
      <c r="J11" s="549"/>
      <c r="K11" s="549">
        <v>4064000</v>
      </c>
      <c r="L11" s="549"/>
      <c r="M11" s="1606"/>
      <c r="N11" s="549">
        <v>42988594</v>
      </c>
      <c r="O11" s="549">
        <v>4767000</v>
      </c>
      <c r="P11" s="550">
        <f t="shared" si="0"/>
        <v>741978797</v>
      </c>
      <c r="Q11" s="551"/>
      <c r="R11" s="522"/>
    </row>
    <row r="12" spans="1:18" ht="21" customHeight="1" x14ac:dyDescent="0.2">
      <c r="A12" s="542" t="s">
        <v>200</v>
      </c>
      <c r="B12" s="547" t="s">
        <v>243</v>
      </c>
      <c r="C12" s="548" t="s">
        <v>220</v>
      </c>
      <c r="D12" s="549"/>
      <c r="E12" s="549"/>
      <c r="F12" s="549"/>
      <c r="G12" s="549"/>
      <c r="H12" s="549"/>
      <c r="I12" s="549"/>
      <c r="J12" s="549"/>
      <c r="K12" s="549"/>
      <c r="L12" s="549">
        <v>295000</v>
      </c>
      <c r="M12" s="549"/>
      <c r="N12" s="549"/>
      <c r="O12" s="549"/>
      <c r="P12" s="550">
        <f t="shared" si="0"/>
        <v>295000</v>
      </c>
      <c r="Q12" s="551"/>
      <c r="R12" s="522"/>
    </row>
    <row r="13" spans="1:18" ht="21" customHeight="1" x14ac:dyDescent="0.2">
      <c r="A13" s="542" t="s">
        <v>201</v>
      </c>
      <c r="B13" s="547" t="s">
        <v>244</v>
      </c>
      <c r="C13" s="548" t="s">
        <v>221</v>
      </c>
      <c r="D13" s="549">
        <v>738100</v>
      </c>
      <c r="E13" s="549">
        <v>2412200</v>
      </c>
      <c r="F13" s="549">
        <v>563100</v>
      </c>
      <c r="G13" s="549">
        <v>449800</v>
      </c>
      <c r="H13" s="549">
        <v>521100</v>
      </c>
      <c r="I13" s="549">
        <v>578700</v>
      </c>
      <c r="J13" s="549">
        <v>610000</v>
      </c>
      <c r="K13" s="549">
        <v>639250</v>
      </c>
      <c r="L13" s="549">
        <v>699550</v>
      </c>
      <c r="M13" s="549">
        <v>743150</v>
      </c>
      <c r="N13" s="549">
        <v>714150</v>
      </c>
      <c r="O13" s="549">
        <v>739150</v>
      </c>
      <c r="P13" s="550">
        <f t="shared" si="0"/>
        <v>9408250</v>
      </c>
      <c r="Q13" s="551"/>
      <c r="R13" s="522"/>
    </row>
    <row r="14" spans="1:18" ht="21" customHeight="1" x14ac:dyDescent="0.2">
      <c r="A14" s="542" t="s">
        <v>202</v>
      </c>
      <c r="B14" s="552" t="s">
        <v>245</v>
      </c>
      <c r="C14" s="553" t="s">
        <v>222</v>
      </c>
      <c r="D14" s="554">
        <f>SUM(D7:D13)</f>
        <v>988484787</v>
      </c>
      <c r="E14" s="554">
        <f t="shared" ref="E14:O14" si="1">SUM(E7:E13)</f>
        <v>69259940</v>
      </c>
      <c r="F14" s="554">
        <f t="shared" si="1"/>
        <v>2108364103</v>
      </c>
      <c r="G14" s="554">
        <f t="shared" si="1"/>
        <v>200311243</v>
      </c>
      <c r="H14" s="554">
        <f t="shared" si="1"/>
        <v>348081445</v>
      </c>
      <c r="I14" s="554">
        <f t="shared" si="1"/>
        <v>1034736739</v>
      </c>
      <c r="J14" s="554">
        <f t="shared" si="1"/>
        <v>200008679</v>
      </c>
      <c r="K14" s="554">
        <f t="shared" si="1"/>
        <v>303080660</v>
      </c>
      <c r="L14" s="554">
        <f t="shared" si="1"/>
        <v>2255415243</v>
      </c>
      <c r="M14" s="554">
        <f t="shared" si="1"/>
        <v>548104161</v>
      </c>
      <c r="N14" s="554">
        <f t="shared" si="1"/>
        <v>518277152</v>
      </c>
      <c r="O14" s="554">
        <f t="shared" si="1"/>
        <v>424102000</v>
      </c>
      <c r="P14" s="554">
        <f>SUM(P7:P13)</f>
        <v>8998226152</v>
      </c>
      <c r="Q14" s="551"/>
      <c r="R14" s="522"/>
    </row>
    <row r="15" spans="1:18" ht="28.5" customHeight="1" x14ac:dyDescent="0.2">
      <c r="A15" s="542" t="s">
        <v>203</v>
      </c>
      <c r="B15" s="555" t="s">
        <v>1234</v>
      </c>
      <c r="C15" s="556" t="s">
        <v>224</v>
      </c>
      <c r="D15" s="629">
        <v>132690675</v>
      </c>
      <c r="E15" s="629">
        <v>148328356</v>
      </c>
      <c r="F15" s="629">
        <v>407382394</v>
      </c>
      <c r="G15" s="629">
        <v>389695576</v>
      </c>
      <c r="H15" s="629">
        <v>4047458080</v>
      </c>
      <c r="I15" s="629">
        <v>340456258</v>
      </c>
      <c r="J15" s="629">
        <v>289596460</v>
      </c>
      <c r="K15" s="629">
        <f>3174653074-2800000000</f>
        <v>374653074</v>
      </c>
      <c r="L15" s="629">
        <f>6252739831-6160000000</f>
        <v>92739831</v>
      </c>
      <c r="M15" s="629">
        <f>4490131857-3950000000</f>
        <v>540131857</v>
      </c>
      <c r="N15" s="629">
        <f>6328253608-6090000000</f>
        <v>238253608</v>
      </c>
      <c r="O15" s="629">
        <f>9578403195-9200000000</f>
        <v>378403195</v>
      </c>
      <c r="P15" s="550">
        <f t="shared" si="0"/>
        <v>7379789364</v>
      </c>
      <c r="Q15" s="551"/>
      <c r="R15" s="522"/>
    </row>
    <row r="16" spans="1:18" ht="27.75" customHeight="1" x14ac:dyDescent="0.2">
      <c r="A16" s="542" t="s">
        <v>204</v>
      </c>
      <c r="B16" s="557" t="s">
        <v>1235</v>
      </c>
      <c r="C16" s="558"/>
      <c r="D16" s="554">
        <f>+D14+D15</f>
        <v>1121175462</v>
      </c>
      <c r="E16" s="554">
        <f t="shared" ref="E16:O16" si="2">+E14+E15</f>
        <v>217588296</v>
      </c>
      <c r="F16" s="554">
        <f t="shared" si="2"/>
        <v>2515746497</v>
      </c>
      <c r="G16" s="554">
        <f t="shared" si="2"/>
        <v>590006819</v>
      </c>
      <c r="H16" s="554">
        <f t="shared" si="2"/>
        <v>4395539525</v>
      </c>
      <c r="I16" s="554">
        <f t="shared" si="2"/>
        <v>1375192997</v>
      </c>
      <c r="J16" s="554">
        <f t="shared" si="2"/>
        <v>489605139</v>
      </c>
      <c r="K16" s="554">
        <f t="shared" si="2"/>
        <v>677733734</v>
      </c>
      <c r="L16" s="554">
        <f t="shared" si="2"/>
        <v>2348155074</v>
      </c>
      <c r="M16" s="554">
        <f t="shared" si="2"/>
        <v>1088236018</v>
      </c>
      <c r="N16" s="554">
        <f t="shared" si="2"/>
        <v>756530760</v>
      </c>
      <c r="O16" s="554">
        <f t="shared" si="2"/>
        <v>802505195</v>
      </c>
      <c r="P16" s="554">
        <f>+P14+P15</f>
        <v>16378015516</v>
      </c>
      <c r="Q16" s="551"/>
      <c r="R16" s="522"/>
    </row>
    <row r="17" spans="1:18" ht="21" customHeight="1" x14ac:dyDescent="0.2">
      <c r="A17" s="542"/>
      <c r="B17" s="543" t="s">
        <v>258</v>
      </c>
      <c r="C17" s="1282"/>
      <c r="D17" s="545"/>
      <c r="E17" s="545"/>
      <c r="F17" s="545"/>
      <c r="G17" s="545"/>
      <c r="H17" s="545"/>
      <c r="I17" s="545"/>
      <c r="J17" s="545"/>
      <c r="K17" s="545"/>
      <c r="L17" s="545"/>
      <c r="M17" s="545"/>
      <c r="N17" s="545"/>
      <c r="O17" s="545"/>
      <c r="P17" s="546"/>
      <c r="Q17" s="551"/>
      <c r="R17" s="522"/>
    </row>
    <row r="18" spans="1:18" ht="21" customHeight="1" x14ac:dyDescent="0.2">
      <c r="A18" s="542" t="s">
        <v>231</v>
      </c>
      <c r="B18" s="559" t="s">
        <v>1236</v>
      </c>
      <c r="C18" s="548" t="s">
        <v>205</v>
      </c>
      <c r="D18" s="549">
        <v>140961308</v>
      </c>
      <c r="E18" s="549">
        <v>151222803</v>
      </c>
      <c r="F18" s="549">
        <v>167371221</v>
      </c>
      <c r="G18" s="549">
        <v>232619783</v>
      </c>
      <c r="H18" s="549">
        <v>174466235</v>
      </c>
      <c r="I18" s="549">
        <v>230600816</v>
      </c>
      <c r="J18" s="549">
        <v>194041266</v>
      </c>
      <c r="K18" s="549">
        <v>172048233</v>
      </c>
      <c r="L18" s="549">
        <v>163222918</v>
      </c>
      <c r="M18" s="549">
        <v>388679367</v>
      </c>
      <c r="N18" s="549">
        <v>166991430</v>
      </c>
      <c r="O18" s="549">
        <v>191021365</v>
      </c>
      <c r="P18" s="550">
        <f>SUM(D18:O18)</f>
        <v>2373246745</v>
      </c>
      <c r="Q18" s="551"/>
      <c r="R18" s="522"/>
    </row>
    <row r="19" spans="1:18" ht="31.5" customHeight="1" x14ac:dyDescent="0.2">
      <c r="A19" s="542" t="s">
        <v>232</v>
      </c>
      <c r="B19" s="547" t="s">
        <v>206</v>
      </c>
      <c r="C19" s="548" t="s">
        <v>207</v>
      </c>
      <c r="D19" s="549">
        <v>26801406</v>
      </c>
      <c r="E19" s="549">
        <v>19353120</v>
      </c>
      <c r="F19" s="549">
        <v>21310834</v>
      </c>
      <c r="G19" s="549">
        <v>46305281</v>
      </c>
      <c r="H19" s="549">
        <v>23565904</v>
      </c>
      <c r="I19" s="549">
        <v>29039316</v>
      </c>
      <c r="J19" s="549">
        <v>31292177</v>
      </c>
      <c r="K19" s="549">
        <v>22109438</v>
      </c>
      <c r="L19" s="549">
        <v>20719336</v>
      </c>
      <c r="M19" s="549">
        <v>56589274</v>
      </c>
      <c r="N19" s="549">
        <v>21160563</v>
      </c>
      <c r="O19" s="549">
        <v>21641759</v>
      </c>
      <c r="P19" s="550">
        <f t="shared" ref="P19:P25" si="3">SUM(D19:O19)</f>
        <v>339888408</v>
      </c>
      <c r="Q19" s="551"/>
      <c r="R19" s="522"/>
    </row>
    <row r="20" spans="1:18" ht="21" customHeight="1" x14ac:dyDescent="0.2">
      <c r="A20" s="542" t="s">
        <v>233</v>
      </c>
      <c r="B20" s="547" t="s">
        <v>336</v>
      </c>
      <c r="C20" s="548" t="s">
        <v>208</v>
      </c>
      <c r="D20" s="549">
        <v>773145479</v>
      </c>
      <c r="E20" s="549">
        <v>371750003</v>
      </c>
      <c r="F20" s="549">
        <v>186254491</v>
      </c>
      <c r="G20" s="549">
        <v>236143849</v>
      </c>
      <c r="H20" s="549">
        <v>203327994</v>
      </c>
      <c r="I20" s="549">
        <v>252039491</v>
      </c>
      <c r="J20" s="549">
        <v>145697729</v>
      </c>
      <c r="K20" s="549">
        <v>258907813</v>
      </c>
      <c r="L20" s="549">
        <v>182326059</v>
      </c>
      <c r="M20" s="549">
        <v>222873267</v>
      </c>
      <c r="N20" s="549">
        <v>237947206</v>
      </c>
      <c r="O20" s="549">
        <v>296348327</v>
      </c>
      <c r="P20" s="550">
        <f t="shared" si="3"/>
        <v>3366761708</v>
      </c>
      <c r="Q20" s="551"/>
      <c r="R20" s="522"/>
    </row>
    <row r="21" spans="1:18" ht="21" customHeight="1" x14ac:dyDescent="0.2">
      <c r="A21" s="542" t="s">
        <v>234</v>
      </c>
      <c r="B21" s="560" t="s">
        <v>1237</v>
      </c>
      <c r="C21" s="548" t="s">
        <v>209</v>
      </c>
      <c r="D21" s="549">
        <v>1373540</v>
      </c>
      <c r="E21" s="549">
        <v>1210991</v>
      </c>
      <c r="F21" s="549">
        <v>2448665</v>
      </c>
      <c r="G21" s="549">
        <v>1324293</v>
      </c>
      <c r="H21" s="549">
        <v>3444349</v>
      </c>
      <c r="I21" s="549">
        <v>1734237</v>
      </c>
      <c r="J21" s="549">
        <v>1367685</v>
      </c>
      <c r="K21" s="549">
        <v>2324999</v>
      </c>
      <c r="L21" s="549">
        <v>2012745</v>
      </c>
      <c r="M21" s="549">
        <v>2543127</v>
      </c>
      <c r="N21" s="549">
        <v>3069041</v>
      </c>
      <c r="O21" s="549">
        <v>8960457</v>
      </c>
      <c r="P21" s="550">
        <f t="shared" si="3"/>
        <v>31814129</v>
      </c>
      <c r="Q21" s="551"/>
      <c r="R21" s="522"/>
    </row>
    <row r="22" spans="1:18" ht="21" customHeight="1" x14ac:dyDescent="0.2">
      <c r="A22" s="542" t="s">
        <v>235</v>
      </c>
      <c r="B22" s="560" t="s">
        <v>240</v>
      </c>
      <c r="C22" s="548" t="s">
        <v>210</v>
      </c>
      <c r="D22" s="549">
        <v>26327510</v>
      </c>
      <c r="E22" s="549">
        <v>9988000</v>
      </c>
      <c r="F22" s="549">
        <v>262784285</v>
      </c>
      <c r="G22" s="549">
        <v>96579653</v>
      </c>
      <c r="H22" s="549">
        <v>301062360</v>
      </c>
      <c r="I22" s="549">
        <v>99335502</v>
      </c>
      <c r="J22" s="549">
        <v>123015835</v>
      </c>
      <c r="K22" s="549">
        <v>84615653</v>
      </c>
      <c r="L22" s="549">
        <v>83740653</v>
      </c>
      <c r="M22" s="549">
        <v>127460588</v>
      </c>
      <c r="N22" s="549">
        <v>91765753</v>
      </c>
      <c r="O22" s="549">
        <v>80780916</v>
      </c>
      <c r="P22" s="550">
        <f t="shared" si="3"/>
        <v>1387456708</v>
      </c>
      <c r="Q22" s="551"/>
      <c r="R22" s="522"/>
    </row>
    <row r="23" spans="1:18" ht="21" customHeight="1" x14ac:dyDescent="0.2">
      <c r="A23" s="542" t="s">
        <v>236</v>
      </c>
      <c r="B23" s="547" t="s">
        <v>247</v>
      </c>
      <c r="C23" s="548" t="s">
        <v>211</v>
      </c>
      <c r="D23" s="549">
        <v>5701268</v>
      </c>
      <c r="E23" s="549">
        <v>3912370</v>
      </c>
      <c r="F23" s="549">
        <v>88984138</v>
      </c>
      <c r="G23" s="549">
        <v>42826658</v>
      </c>
      <c r="H23" s="549">
        <v>171490317</v>
      </c>
      <c r="I23" s="549">
        <v>94240267</v>
      </c>
      <c r="J23" s="549">
        <v>224814420</v>
      </c>
      <c r="K23" s="549">
        <v>89940812</v>
      </c>
      <c r="L23" s="561">
        <v>78033252</v>
      </c>
      <c r="M23" s="549">
        <v>124822027</v>
      </c>
      <c r="N23" s="549">
        <v>39452382</v>
      </c>
      <c r="O23" s="549">
        <v>50439467</v>
      </c>
      <c r="P23" s="550">
        <f t="shared" si="3"/>
        <v>1014657378</v>
      </c>
      <c r="Q23" s="551"/>
      <c r="R23" s="522"/>
    </row>
    <row r="24" spans="1:18" ht="21" customHeight="1" x14ac:dyDescent="0.2">
      <c r="A24" s="542" t="s">
        <v>237</v>
      </c>
      <c r="B24" s="560" t="s">
        <v>1238</v>
      </c>
      <c r="C24" s="548" t="s">
        <v>212</v>
      </c>
      <c r="D24" s="549">
        <v>374731</v>
      </c>
      <c r="E24" s="549">
        <v>19310350</v>
      </c>
      <c r="F24" s="549">
        <v>8735060</v>
      </c>
      <c r="G24" s="549">
        <v>20734458</v>
      </c>
      <c r="H24" s="549">
        <v>1298804</v>
      </c>
      <c r="I24" s="549">
        <v>0</v>
      </c>
      <c r="J24" s="549">
        <v>0</v>
      </c>
      <c r="K24" s="549">
        <v>14806263</v>
      </c>
      <c r="L24" s="549">
        <v>24780006</v>
      </c>
      <c r="M24" s="549">
        <v>6751320</v>
      </c>
      <c r="N24" s="549">
        <v>2782570</v>
      </c>
      <c r="O24" s="549">
        <v>30703640</v>
      </c>
      <c r="P24" s="550">
        <f t="shared" si="3"/>
        <v>130277202</v>
      </c>
      <c r="Q24" s="551"/>
      <c r="R24" s="522"/>
    </row>
    <row r="25" spans="1:18" ht="21" customHeight="1" x14ac:dyDescent="0.2">
      <c r="A25" s="542" t="s">
        <v>238</v>
      </c>
      <c r="B25" s="560" t="s">
        <v>241</v>
      </c>
      <c r="C25" s="548" t="s">
        <v>213</v>
      </c>
      <c r="D25" s="549">
        <v>0</v>
      </c>
      <c r="E25" s="549">
        <v>0</v>
      </c>
      <c r="F25" s="549">
        <v>5500000</v>
      </c>
      <c r="G25" s="549">
        <v>1606200</v>
      </c>
      <c r="H25" s="549">
        <v>6316000</v>
      </c>
      <c r="I25" s="549">
        <v>4003951</v>
      </c>
      <c r="J25" s="549">
        <v>2111600</v>
      </c>
      <c r="K25" s="549">
        <v>0</v>
      </c>
      <c r="L25" s="549">
        <v>5520000</v>
      </c>
      <c r="M25" s="549">
        <v>341800</v>
      </c>
      <c r="N25" s="549">
        <v>1849935</v>
      </c>
      <c r="O25" s="549">
        <v>1702285</v>
      </c>
      <c r="P25" s="550">
        <f t="shared" si="3"/>
        <v>28951771</v>
      </c>
      <c r="Q25" s="551"/>
      <c r="R25" s="522"/>
    </row>
    <row r="26" spans="1:18" ht="21" customHeight="1" x14ac:dyDescent="0.2">
      <c r="A26" s="542" t="s">
        <v>239</v>
      </c>
      <c r="B26" s="552" t="s">
        <v>1239</v>
      </c>
      <c r="C26" s="553" t="s">
        <v>214</v>
      </c>
      <c r="D26" s="554">
        <f>SUM(D18:D25)</f>
        <v>974685242</v>
      </c>
      <c r="E26" s="554">
        <f t="shared" ref="E26:O26" si="4">SUM(E18:E25)</f>
        <v>576747637</v>
      </c>
      <c r="F26" s="554">
        <f t="shared" si="4"/>
        <v>743388694</v>
      </c>
      <c r="G26" s="554">
        <f t="shared" si="4"/>
        <v>678140175</v>
      </c>
      <c r="H26" s="554">
        <f t="shared" si="4"/>
        <v>884971963</v>
      </c>
      <c r="I26" s="554">
        <f t="shared" si="4"/>
        <v>710993580</v>
      </c>
      <c r="J26" s="554">
        <f t="shared" si="4"/>
        <v>722340712</v>
      </c>
      <c r="K26" s="554">
        <f t="shared" si="4"/>
        <v>644753211</v>
      </c>
      <c r="L26" s="554">
        <f t="shared" si="4"/>
        <v>560354969</v>
      </c>
      <c r="M26" s="554">
        <f t="shared" si="4"/>
        <v>930060770</v>
      </c>
      <c r="N26" s="554">
        <f t="shared" si="4"/>
        <v>565018880</v>
      </c>
      <c r="O26" s="554">
        <f t="shared" si="4"/>
        <v>681598216</v>
      </c>
      <c r="P26" s="554">
        <f>SUM(P18:P25)</f>
        <v>8673054049</v>
      </c>
      <c r="Q26" s="551"/>
      <c r="R26" s="522">
        <v>1</v>
      </c>
    </row>
    <row r="27" spans="1:18" ht="19.5" customHeight="1" x14ac:dyDescent="0.2">
      <c r="A27" s="542" t="s">
        <v>266</v>
      </c>
      <c r="B27" s="555" t="s">
        <v>1240</v>
      </c>
      <c r="C27" s="556" t="s">
        <v>223</v>
      </c>
      <c r="D27" s="549">
        <v>79000000</v>
      </c>
      <c r="E27" s="549">
        <v>94000000</v>
      </c>
      <c r="F27" s="549">
        <v>585960517</v>
      </c>
      <c r="G27" s="549">
        <v>389695576</v>
      </c>
      <c r="H27" s="549">
        <v>257534049</v>
      </c>
      <c r="I27" s="549">
        <v>347501914</v>
      </c>
      <c r="J27" s="549">
        <f>2289596460-2000000000</f>
        <v>289596460</v>
      </c>
      <c r="K27" s="549">
        <f>2974653074-2600000000</f>
        <v>374653074</v>
      </c>
      <c r="L27" s="549">
        <f>7309785487-7210000000</f>
        <v>99785487</v>
      </c>
      <c r="M27" s="549">
        <f>5130131857-4590000000</f>
        <v>540131857</v>
      </c>
      <c r="N27" s="549">
        <f>6038253608-5800000000</f>
        <v>238253608</v>
      </c>
      <c r="O27" s="549">
        <f>6313412333-6000000000</f>
        <v>313412333</v>
      </c>
      <c r="P27" s="554">
        <f>SUM(D27:O27)</f>
        <v>3609524875</v>
      </c>
      <c r="Q27" s="551"/>
      <c r="R27" s="522"/>
    </row>
    <row r="28" spans="1:18" ht="27" customHeight="1" x14ac:dyDescent="0.2">
      <c r="A28" s="542" t="s">
        <v>267</v>
      </c>
      <c r="B28" s="557" t="s">
        <v>1241</v>
      </c>
      <c r="C28" s="558"/>
      <c r="D28" s="554">
        <f>+D26+D27</f>
        <v>1053685242</v>
      </c>
      <c r="E28" s="554">
        <f t="shared" ref="E28:O28" si="5">+E26+E27</f>
        <v>670747637</v>
      </c>
      <c r="F28" s="554">
        <f t="shared" si="5"/>
        <v>1329349211</v>
      </c>
      <c r="G28" s="554">
        <f t="shared" si="5"/>
        <v>1067835751</v>
      </c>
      <c r="H28" s="554">
        <f t="shared" si="5"/>
        <v>1142506012</v>
      </c>
      <c r="I28" s="554">
        <f t="shared" si="5"/>
        <v>1058495494</v>
      </c>
      <c r="J28" s="554">
        <f t="shared" si="5"/>
        <v>1011937172</v>
      </c>
      <c r="K28" s="554">
        <f t="shared" si="5"/>
        <v>1019406285</v>
      </c>
      <c r="L28" s="554">
        <f t="shared" si="5"/>
        <v>660140456</v>
      </c>
      <c r="M28" s="554">
        <f t="shared" si="5"/>
        <v>1470192627</v>
      </c>
      <c r="N28" s="554">
        <f t="shared" si="5"/>
        <v>803272488</v>
      </c>
      <c r="O28" s="554">
        <f t="shared" si="5"/>
        <v>995010549</v>
      </c>
      <c r="P28" s="554">
        <f>P26+P27</f>
        <v>12282578924</v>
      </c>
      <c r="Q28" s="551"/>
      <c r="R28" s="522"/>
    </row>
    <row r="29" spans="1:18" ht="31.5" customHeight="1" x14ac:dyDescent="0.2">
      <c r="A29" s="542" t="s">
        <v>268</v>
      </c>
      <c r="B29" s="557" t="s">
        <v>1242</v>
      </c>
      <c r="C29" s="558"/>
      <c r="D29" s="554">
        <f>+D16-D28</f>
        <v>67490220</v>
      </c>
      <c r="E29" s="554">
        <f t="shared" ref="E29:O29" si="6">+E16-E28</f>
        <v>-453159341</v>
      </c>
      <c r="F29" s="554">
        <f t="shared" si="6"/>
        <v>1186397286</v>
      </c>
      <c r="G29" s="554">
        <f t="shared" si="6"/>
        <v>-477828932</v>
      </c>
      <c r="H29" s="554">
        <f t="shared" si="6"/>
        <v>3253033513</v>
      </c>
      <c r="I29" s="554">
        <f t="shared" si="6"/>
        <v>316697503</v>
      </c>
      <c r="J29" s="554">
        <f t="shared" si="6"/>
        <v>-522332033</v>
      </c>
      <c r="K29" s="554">
        <f t="shared" si="6"/>
        <v>-341672551</v>
      </c>
      <c r="L29" s="554">
        <f t="shared" si="6"/>
        <v>1688014618</v>
      </c>
      <c r="M29" s="554">
        <f t="shared" si="6"/>
        <v>-381956609</v>
      </c>
      <c r="N29" s="554">
        <f t="shared" si="6"/>
        <v>-46741728</v>
      </c>
      <c r="O29" s="554">
        <f t="shared" si="6"/>
        <v>-192505354</v>
      </c>
      <c r="P29" s="554" t="s">
        <v>636</v>
      </c>
      <c r="Q29" s="551"/>
    </row>
  </sheetData>
  <mergeCells count="16">
    <mergeCell ref="P3:P5"/>
    <mergeCell ref="A1:P1"/>
    <mergeCell ref="A3:B5"/>
    <mergeCell ref="C3:C5"/>
    <mergeCell ref="D3:D5"/>
    <mergeCell ref="E3:E5"/>
    <mergeCell ref="F3:F5"/>
    <mergeCell ref="G3:G5"/>
    <mergeCell ref="H3:H5"/>
    <mergeCell ref="I3:I5"/>
    <mergeCell ref="J3:J5"/>
    <mergeCell ref="K3:K5"/>
    <mergeCell ref="L3:L5"/>
    <mergeCell ref="M3:M5"/>
    <mergeCell ref="N3:N5"/>
    <mergeCell ref="O3:O5"/>
  </mergeCells>
  <printOptions horizontalCentered="1" verticalCentered="1"/>
  <pageMargins left="0.31496062992125984" right="0.31496062992125984" top="0.35433070866141736" bottom="0.35433070866141736" header="0.31496062992125984" footer="0.31496062992125984"/>
  <pageSetup paperSize="9" scale="58" orientation="landscape" r:id="rId1"/>
  <headerFooter>
    <oddHeader>&amp;C2022. évi költségvetés
&amp;R&amp;A</oddHeader>
    <oddFooter>&amp;C&amp;P/&amp;N</oddFooter>
  </headerFooter>
  <colBreaks count="1" manualBreakCount="1">
    <brk id="1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view="pageBreakPreview" zoomScaleNormal="100" zoomScaleSheetLayoutView="100" workbookViewId="0">
      <selection activeCell="E23" sqref="E23"/>
    </sheetView>
  </sheetViews>
  <sheetFormatPr defaultRowHeight="12.75" x14ac:dyDescent="0.2"/>
  <cols>
    <col min="1" max="1" width="31.42578125" bestFit="1" customWidth="1"/>
    <col min="2" max="2" width="11.5703125" customWidth="1"/>
    <col min="3" max="3" width="10" bestFit="1" customWidth="1"/>
    <col min="5" max="5" width="11" customWidth="1"/>
    <col min="6" max="6" width="11.5703125" bestFit="1" customWidth="1"/>
    <col min="7" max="8" width="11.140625" bestFit="1" customWidth="1"/>
  </cols>
  <sheetData>
    <row r="1" spans="1:7" x14ac:dyDescent="0.2">
      <c r="A1" s="1980" t="s">
        <v>1245</v>
      </c>
      <c r="B1" s="1980"/>
      <c r="C1" s="1980"/>
      <c r="D1" s="1980"/>
      <c r="E1" s="1980"/>
    </row>
    <row r="2" spans="1:7" x14ac:dyDescent="0.2">
      <c r="A2" s="564"/>
      <c r="B2" s="564"/>
      <c r="C2" s="9"/>
      <c r="D2" s="9"/>
      <c r="E2" s="9"/>
    </row>
    <row r="3" spans="1:7" ht="48" customHeight="1" x14ac:dyDescent="0.25">
      <c r="A3" s="565" t="s">
        <v>1246</v>
      </c>
      <c r="B3" s="1981" t="s">
        <v>3551</v>
      </c>
      <c r="C3" s="1981"/>
      <c r="D3" s="1981"/>
      <c r="E3" s="1981"/>
    </row>
    <row r="4" spans="1:7" ht="13.5" thickBot="1" x14ac:dyDescent="0.25">
      <c r="A4" s="564"/>
      <c r="B4" s="567"/>
      <c r="C4" s="9"/>
      <c r="D4" s="9"/>
      <c r="E4" s="9"/>
    </row>
    <row r="5" spans="1:7" ht="17.25" customHeight="1" thickBot="1" x14ac:dyDescent="0.25">
      <c r="A5" s="568" t="s">
        <v>1247</v>
      </c>
      <c r="B5" s="569" t="s">
        <v>1468</v>
      </c>
      <c r="C5" s="570" t="s">
        <v>1066</v>
      </c>
      <c r="D5" s="571" t="s">
        <v>1469</v>
      </c>
      <c r="E5" s="572" t="s">
        <v>118</v>
      </c>
    </row>
    <row r="6" spans="1:7" ht="17.25" customHeight="1" x14ac:dyDescent="0.2">
      <c r="A6" s="573" t="s">
        <v>1248</v>
      </c>
      <c r="B6" s="574">
        <v>812800</v>
      </c>
      <c r="C6" s="575"/>
      <c r="D6" s="576"/>
      <c r="E6" s="577">
        <f>SUM(B6:D6)</f>
        <v>812800</v>
      </c>
    </row>
    <row r="7" spans="1:7" ht="17.25" customHeight="1" x14ac:dyDescent="0.2">
      <c r="A7" s="578" t="s">
        <v>1249</v>
      </c>
      <c r="B7" s="579"/>
      <c r="C7" s="580"/>
      <c r="D7" s="581"/>
      <c r="E7" s="582">
        <f t="shared" ref="E7:E12" si="0">SUM(B7:D7)</f>
        <v>0</v>
      </c>
    </row>
    <row r="8" spans="1:7" ht="17.25" customHeight="1" x14ac:dyDescent="0.2">
      <c r="A8" s="583" t="s">
        <v>1250</v>
      </c>
      <c r="B8" s="584"/>
      <c r="C8" s="585">
        <v>49565206</v>
      </c>
      <c r="D8" s="586"/>
      <c r="E8" s="582">
        <f t="shared" si="0"/>
        <v>49565206</v>
      </c>
      <c r="F8">
        <v>192217756</v>
      </c>
      <c r="G8" s="522">
        <f>+F8-E8</f>
        <v>142652550</v>
      </c>
    </row>
    <row r="9" spans="1:7" ht="17.25" customHeight="1" x14ac:dyDescent="0.2">
      <c r="A9" s="583" t="s">
        <v>1251</v>
      </c>
      <c r="B9" s="584"/>
      <c r="C9" s="585"/>
      <c r="D9" s="586"/>
      <c r="E9" s="582">
        <f t="shared" si="0"/>
        <v>0</v>
      </c>
    </row>
    <row r="10" spans="1:7" ht="17.25" customHeight="1" x14ac:dyDescent="0.2">
      <c r="A10" s="583" t="s">
        <v>1252</v>
      </c>
      <c r="B10" s="584"/>
      <c r="C10" s="585"/>
      <c r="D10" s="586"/>
      <c r="E10" s="582">
        <f t="shared" si="0"/>
        <v>0</v>
      </c>
    </row>
    <row r="11" spans="1:7" ht="17.25" customHeight="1" thickBot="1" x14ac:dyDescent="0.25">
      <c r="A11" s="583" t="s">
        <v>1253</v>
      </c>
      <c r="B11" s="584"/>
      <c r="C11" s="585"/>
      <c r="D11" s="586"/>
      <c r="E11" s="620">
        <f t="shared" si="0"/>
        <v>0</v>
      </c>
    </row>
    <row r="12" spans="1:7" ht="17.25" customHeight="1" thickBot="1" x14ac:dyDescent="0.25">
      <c r="A12" s="587" t="s">
        <v>1254</v>
      </c>
      <c r="B12" s="588">
        <f>SUM(B6:B11)</f>
        <v>812800</v>
      </c>
      <c r="C12" s="589">
        <f>SUM(C6:C11)</f>
        <v>49565206</v>
      </c>
      <c r="D12" s="590"/>
      <c r="E12" s="621">
        <f t="shared" si="0"/>
        <v>50378006</v>
      </c>
    </row>
    <row r="13" spans="1:7" ht="17.25" customHeight="1" thickBot="1" x14ac:dyDescent="0.25">
      <c r="A13" s="591"/>
      <c r="B13" s="592"/>
      <c r="C13" s="9"/>
      <c r="D13" s="9"/>
      <c r="E13" s="9"/>
    </row>
    <row r="14" spans="1:7" ht="17.25" customHeight="1" thickBot="1" x14ac:dyDescent="0.25">
      <c r="A14" s="568" t="s">
        <v>1255</v>
      </c>
      <c r="B14" s="569" t="s">
        <v>1468</v>
      </c>
      <c r="C14" s="570" t="s">
        <v>1066</v>
      </c>
      <c r="D14" s="571" t="s">
        <v>1469</v>
      </c>
      <c r="E14" s="572" t="s">
        <v>118</v>
      </c>
    </row>
    <row r="15" spans="1:7" ht="17.25" customHeight="1" x14ac:dyDescent="0.2">
      <c r="A15" s="573" t="s">
        <v>1256</v>
      </c>
      <c r="B15" s="574"/>
      <c r="C15" s="575">
        <f>434820+50874</f>
        <v>485694</v>
      </c>
      <c r="D15" s="576"/>
      <c r="E15" s="577">
        <f>SUM(B15:D15)</f>
        <v>485694</v>
      </c>
    </row>
    <row r="16" spans="1:7" ht="17.25" customHeight="1" x14ac:dyDescent="0.2">
      <c r="A16" s="593" t="s">
        <v>1257</v>
      </c>
      <c r="B16" s="594"/>
      <c r="C16" s="595">
        <v>7499350</v>
      </c>
      <c r="D16" s="596"/>
      <c r="E16" s="582">
        <f>SUM(B16:D16)</f>
        <v>7499350</v>
      </c>
    </row>
    <row r="17" spans="1:8" ht="17.25" customHeight="1" x14ac:dyDescent="0.2">
      <c r="A17" s="597" t="s">
        <v>1258</v>
      </c>
      <c r="B17" s="584">
        <v>812800</v>
      </c>
      <c r="C17" s="585">
        <v>6604000</v>
      </c>
      <c r="D17" s="596">
        <f>+C12-C19</f>
        <v>34976162</v>
      </c>
      <c r="E17" s="582">
        <f>SUM(B17:D17)</f>
        <v>42392962</v>
      </c>
    </row>
    <row r="18" spans="1:8" ht="17.25" customHeight="1" thickBot="1" x14ac:dyDescent="0.25">
      <c r="A18" s="583" t="s">
        <v>1259</v>
      </c>
      <c r="B18" s="584"/>
      <c r="C18" s="585"/>
      <c r="D18" s="586"/>
      <c r="E18" s="620">
        <f>SUM(B18:D18)</f>
        <v>0</v>
      </c>
      <c r="H18">
        <v>62550811</v>
      </c>
    </row>
    <row r="19" spans="1:8" ht="17.25" customHeight="1" thickBot="1" x14ac:dyDescent="0.25">
      <c r="A19" s="587" t="s">
        <v>725</v>
      </c>
      <c r="B19" s="588">
        <f>SUM(B15:B18)</f>
        <v>812800</v>
      </c>
      <c r="C19" s="588">
        <f t="shared" ref="C19:E19" si="1">SUM(C15:C18)</f>
        <v>14589044</v>
      </c>
      <c r="D19" s="588">
        <f t="shared" si="1"/>
        <v>34976162</v>
      </c>
      <c r="E19" s="588">
        <f t="shared" si="1"/>
        <v>50378006</v>
      </c>
      <c r="F19" s="598"/>
      <c r="H19" s="522">
        <f>+H18-F19</f>
        <v>62550811</v>
      </c>
    </row>
    <row r="20" spans="1:8" x14ac:dyDescent="0.2">
      <c r="A20" s="564"/>
      <c r="B20" s="566"/>
      <c r="C20" s="273"/>
      <c r="D20" s="273"/>
      <c r="E20" s="273"/>
      <c r="F20" s="314"/>
      <c r="G20" s="522"/>
      <c r="H20" s="522">
        <f>+H19-430050</f>
        <v>62120761</v>
      </c>
    </row>
    <row r="21" spans="1:8" x14ac:dyDescent="0.2">
      <c r="A21" s="564"/>
      <c r="B21" s="566"/>
      <c r="C21" s="9"/>
      <c r="D21" s="9"/>
      <c r="E21" s="9"/>
    </row>
    <row r="27" spans="1:8" ht="13.5" thickBot="1" x14ac:dyDescent="0.25"/>
    <row r="28" spans="1:8" x14ac:dyDescent="0.2">
      <c r="A28" s="569"/>
      <c r="B28" s="570"/>
      <c r="C28" s="571"/>
    </row>
  </sheetData>
  <mergeCells count="2">
    <mergeCell ref="A1:E1"/>
    <mergeCell ref="B3:E3"/>
  </mergeCells>
  <printOptions horizontalCentered="1"/>
  <pageMargins left="0.31496062992125984" right="0.31496062992125984" top="0.74803149606299213" bottom="0.74803149606299213" header="0.31496062992125984" footer="0.31496062992125984"/>
  <pageSetup paperSize="9" scale="93" orientation="portrait" r:id="rId1"/>
  <headerFooter>
    <oddHeader>&amp;C2022. évi költségvetés
&amp;R&amp;A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view="pageBreakPreview" zoomScaleNormal="100" zoomScaleSheetLayoutView="100" workbookViewId="0">
      <selection activeCell="G15" sqref="G15"/>
    </sheetView>
  </sheetViews>
  <sheetFormatPr defaultRowHeight="12.75" x14ac:dyDescent="0.2"/>
  <cols>
    <col min="1" max="1" width="5" customWidth="1"/>
    <col min="2" max="2" width="28.85546875" customWidth="1"/>
    <col min="3" max="3" width="26" customWidth="1"/>
    <col min="4" max="4" width="16.7109375" customWidth="1"/>
    <col min="5" max="5" width="16.5703125" customWidth="1"/>
    <col min="6" max="6" width="16.42578125" customWidth="1"/>
    <col min="9" max="9" width="9.5703125" bestFit="1" customWidth="1"/>
    <col min="10" max="10" width="10.140625" bestFit="1" customWidth="1"/>
  </cols>
  <sheetData>
    <row r="1" spans="1:6" ht="15.75" x14ac:dyDescent="0.25">
      <c r="A1" s="1982" t="s">
        <v>1260</v>
      </c>
      <c r="B1" s="1982"/>
      <c r="C1" s="1982"/>
      <c r="D1" s="1982"/>
      <c r="E1" s="1982"/>
      <c r="F1" s="1982"/>
    </row>
    <row r="2" spans="1:6" ht="13.5" thickBot="1" x14ac:dyDescent="0.25">
      <c r="A2" s="9"/>
      <c r="B2" s="9"/>
      <c r="C2" s="9"/>
      <c r="D2" s="9"/>
      <c r="E2" s="9"/>
      <c r="F2" s="9"/>
    </row>
    <row r="3" spans="1:6" ht="38.25" x14ac:dyDescent="0.2">
      <c r="A3" s="599"/>
      <c r="B3" s="600" t="s">
        <v>1261</v>
      </c>
      <c r="C3" s="600" t="s">
        <v>1262</v>
      </c>
      <c r="D3" s="600" t="s">
        <v>1263</v>
      </c>
      <c r="E3" s="600" t="s">
        <v>1367</v>
      </c>
      <c r="F3" s="601" t="s">
        <v>3554</v>
      </c>
    </row>
    <row r="4" spans="1:6" ht="71.25" customHeight="1" x14ac:dyDescent="0.2">
      <c r="A4" s="602" t="s">
        <v>194</v>
      </c>
      <c r="B4" s="631" t="s">
        <v>1286</v>
      </c>
      <c r="C4" s="1274" t="s">
        <v>1264</v>
      </c>
      <c r="D4" s="603">
        <v>480000000</v>
      </c>
      <c r="E4" s="603">
        <v>480000000</v>
      </c>
      <c r="F4" s="604">
        <f>+D4-E4</f>
        <v>0</v>
      </c>
    </row>
    <row r="5" spans="1:6" ht="71.25" customHeight="1" x14ac:dyDescent="0.2">
      <c r="A5" s="602" t="s">
        <v>195</v>
      </c>
      <c r="B5" s="1275" t="s">
        <v>1470</v>
      </c>
      <c r="C5" s="1275" t="s">
        <v>1471</v>
      </c>
      <c r="D5" s="603">
        <v>6936946</v>
      </c>
      <c r="E5" s="603">
        <v>6936946</v>
      </c>
      <c r="F5" s="604">
        <f>+D5-E5</f>
        <v>0</v>
      </c>
    </row>
    <row r="6" spans="1:6" ht="71.25" customHeight="1" x14ac:dyDescent="0.2">
      <c r="A6" s="602" t="s">
        <v>196</v>
      </c>
      <c r="B6" s="1275" t="s">
        <v>1472</v>
      </c>
      <c r="C6" s="1275" t="s">
        <v>1473</v>
      </c>
      <c r="D6" s="603">
        <v>15000000</v>
      </c>
      <c r="E6" s="603">
        <v>15000000</v>
      </c>
      <c r="F6" s="604">
        <f>+D6-E6</f>
        <v>0</v>
      </c>
    </row>
    <row r="7" spans="1:6" ht="71.25" customHeight="1" x14ac:dyDescent="0.2">
      <c r="A7" s="602" t="s">
        <v>197</v>
      </c>
      <c r="B7" s="1275" t="s">
        <v>3552</v>
      </c>
      <c r="C7" s="1275" t="s">
        <v>1471</v>
      </c>
      <c r="D7" s="1622">
        <v>373990120</v>
      </c>
      <c r="E7" s="1622">
        <v>373990120</v>
      </c>
      <c r="F7" s="1623">
        <f t="shared" ref="F7" si="0">+D7-E7</f>
        <v>0</v>
      </c>
    </row>
    <row r="8" spans="1:6" ht="71.25" customHeight="1" x14ac:dyDescent="0.2">
      <c r="A8" s="1621" t="s">
        <v>198</v>
      </c>
      <c r="B8" s="1275" t="s">
        <v>3553</v>
      </c>
      <c r="C8" s="1275" t="s">
        <v>1471</v>
      </c>
      <c r="D8" s="1624">
        <v>4690003</v>
      </c>
      <c r="F8" s="1624">
        <v>4690003</v>
      </c>
    </row>
    <row r="9" spans="1:6" ht="24" customHeight="1" thickBot="1" x14ac:dyDescent="0.25">
      <c r="A9" s="1983" t="s">
        <v>1204</v>
      </c>
      <c r="B9" s="1984"/>
      <c r="C9" s="1984"/>
      <c r="D9" s="624">
        <f>SUM(D4:D8)</f>
        <v>880617069</v>
      </c>
      <c r="E9" s="624">
        <f t="shared" ref="E9:F9" si="1">SUM(E4:E8)</f>
        <v>875927066</v>
      </c>
      <c r="F9" s="624">
        <f t="shared" si="1"/>
        <v>4690003</v>
      </c>
    </row>
    <row r="10" spans="1:6" x14ac:dyDescent="0.2">
      <c r="A10" s="605"/>
      <c r="B10" s="606"/>
      <c r="C10" s="607"/>
      <c r="D10" s="608"/>
      <c r="E10" s="608"/>
      <c r="F10" s="608"/>
    </row>
    <row r="11" spans="1:6" x14ac:dyDescent="0.2">
      <c r="A11" s="605"/>
      <c r="B11" s="606"/>
      <c r="C11" s="607"/>
      <c r="D11" s="608"/>
      <c r="E11" s="608"/>
      <c r="F11" s="608"/>
    </row>
    <row r="12" spans="1:6" x14ac:dyDescent="0.2">
      <c r="A12" s="605"/>
      <c r="B12" s="606"/>
      <c r="C12" s="607"/>
      <c r="D12" s="608"/>
      <c r="E12" s="608"/>
      <c r="F12" s="608"/>
    </row>
    <row r="13" spans="1:6" x14ac:dyDescent="0.2">
      <c r="A13" s="605"/>
      <c r="B13" s="606"/>
      <c r="C13" s="607"/>
      <c r="D13" s="608"/>
      <c r="E13" s="608"/>
      <c r="F13" s="608"/>
    </row>
    <row r="14" spans="1:6" x14ac:dyDescent="0.2">
      <c r="A14" s="605"/>
      <c r="B14" s="606"/>
      <c r="C14" s="607"/>
      <c r="D14" s="608"/>
      <c r="E14" s="608"/>
      <c r="F14" s="608"/>
    </row>
    <row r="15" spans="1:6" x14ac:dyDescent="0.2">
      <c r="A15" s="605"/>
      <c r="B15" s="606"/>
      <c r="C15" s="607"/>
      <c r="D15" s="608"/>
      <c r="E15" s="608"/>
      <c r="F15" s="608"/>
    </row>
    <row r="16" spans="1:6" x14ac:dyDescent="0.2">
      <c r="A16" s="605"/>
      <c r="B16" s="606"/>
      <c r="C16" s="607"/>
      <c r="D16" s="608"/>
      <c r="E16" s="608"/>
      <c r="F16" s="608"/>
    </row>
    <row r="17" spans="1:6" x14ac:dyDescent="0.2">
      <c r="A17" s="605"/>
      <c r="B17" s="606"/>
      <c r="C17" s="607"/>
      <c r="D17" s="608"/>
      <c r="E17" s="608"/>
      <c r="F17" s="608"/>
    </row>
    <row r="18" spans="1:6" x14ac:dyDescent="0.2">
      <c r="A18" s="605"/>
      <c r="D18" s="609"/>
      <c r="E18" s="609"/>
      <c r="F18" s="609"/>
    </row>
    <row r="19" spans="1:6" x14ac:dyDescent="0.2">
      <c r="A19" s="610"/>
      <c r="D19" s="609"/>
      <c r="E19" s="609"/>
      <c r="F19" s="609"/>
    </row>
    <row r="20" spans="1:6" x14ac:dyDescent="0.2">
      <c r="A20" s="610"/>
      <c r="D20" s="609"/>
      <c r="E20" s="609"/>
      <c r="F20" s="609"/>
    </row>
    <row r="21" spans="1:6" x14ac:dyDescent="0.2">
      <c r="A21" s="610"/>
      <c r="D21" s="609"/>
      <c r="E21" s="609"/>
      <c r="F21" s="609"/>
    </row>
    <row r="22" spans="1:6" x14ac:dyDescent="0.2">
      <c r="A22" s="610"/>
      <c r="D22" s="609"/>
      <c r="E22" s="609"/>
      <c r="F22" s="609"/>
    </row>
    <row r="23" spans="1:6" x14ac:dyDescent="0.2">
      <c r="D23" s="609"/>
      <c r="E23" s="609"/>
      <c r="F23" s="609"/>
    </row>
    <row r="24" spans="1:6" x14ac:dyDescent="0.2">
      <c r="D24" s="609"/>
      <c r="E24" s="609"/>
      <c r="F24" s="609"/>
    </row>
    <row r="25" spans="1:6" x14ac:dyDescent="0.2">
      <c r="D25" s="609"/>
      <c r="E25" s="609"/>
      <c r="F25" s="609"/>
    </row>
    <row r="26" spans="1:6" x14ac:dyDescent="0.2">
      <c r="D26" s="609"/>
      <c r="E26" s="609"/>
      <c r="F26" s="609"/>
    </row>
    <row r="27" spans="1:6" x14ac:dyDescent="0.2">
      <c r="D27" s="609"/>
      <c r="E27" s="609"/>
      <c r="F27" s="609"/>
    </row>
    <row r="28" spans="1:6" x14ac:dyDescent="0.2">
      <c r="D28" s="609"/>
      <c r="E28" s="609"/>
      <c r="F28" s="609"/>
    </row>
    <row r="29" spans="1:6" x14ac:dyDescent="0.2">
      <c r="D29" s="609"/>
      <c r="E29" s="609"/>
      <c r="F29" s="609"/>
    </row>
    <row r="30" spans="1:6" x14ac:dyDescent="0.2">
      <c r="D30" s="609"/>
      <c r="E30" s="609"/>
      <c r="F30" s="609"/>
    </row>
    <row r="31" spans="1:6" x14ac:dyDescent="0.2">
      <c r="D31" s="609"/>
      <c r="E31" s="609"/>
      <c r="F31" s="609"/>
    </row>
    <row r="32" spans="1:6" x14ac:dyDescent="0.2">
      <c r="D32" s="609"/>
      <c r="E32" s="609"/>
      <c r="F32" s="609"/>
    </row>
    <row r="33" spans="4:6" x14ac:dyDescent="0.2">
      <c r="D33" s="609"/>
      <c r="E33" s="609"/>
      <c r="F33" s="609"/>
    </row>
    <row r="34" spans="4:6" x14ac:dyDescent="0.2">
      <c r="D34" s="609"/>
      <c r="E34" s="609"/>
      <c r="F34" s="609"/>
    </row>
    <row r="35" spans="4:6" x14ac:dyDescent="0.2">
      <c r="D35" s="609"/>
      <c r="E35" s="609"/>
      <c r="F35" s="609"/>
    </row>
    <row r="36" spans="4:6" x14ac:dyDescent="0.2">
      <c r="D36" s="609"/>
      <c r="E36" s="609"/>
      <c r="F36" s="609"/>
    </row>
    <row r="37" spans="4:6" x14ac:dyDescent="0.2">
      <c r="D37" s="609"/>
      <c r="E37" s="609"/>
      <c r="F37" s="609"/>
    </row>
    <row r="38" spans="4:6" x14ac:dyDescent="0.2">
      <c r="D38" s="609"/>
      <c r="E38" s="609"/>
      <c r="F38" s="609"/>
    </row>
  </sheetData>
  <mergeCells count="2">
    <mergeCell ref="A1:F1"/>
    <mergeCell ref="A9:C9"/>
  </mergeCells>
  <phoneticPr fontId="45" type="noConversion"/>
  <printOptions horizontalCentered="1"/>
  <pageMargins left="0.70866141732283472" right="0.70866141732283472" top="0.74803149606299213" bottom="0.74803149606299213" header="0.31496062992125984" footer="0.31496062992125984"/>
  <pageSetup paperSize="9" scale="96" orientation="landscape" r:id="rId1"/>
  <headerFooter>
    <oddHeader xml:space="preserve">&amp;C2022. évi költségvetés
&amp;R&amp;A
</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273"/>
  <sheetViews>
    <sheetView view="pageBreakPreview" topLeftCell="A1109" zoomScale="90" zoomScaleSheetLayoutView="90" workbookViewId="0">
      <selection activeCell="O1122" sqref="O1122"/>
    </sheetView>
  </sheetViews>
  <sheetFormatPr defaultRowHeight="15" x14ac:dyDescent="0.25"/>
  <cols>
    <col min="1" max="1" width="5.5703125" style="964" customWidth="1"/>
    <col min="2" max="2" width="5.28515625" style="964" customWidth="1"/>
    <col min="3" max="3" width="44.7109375" style="965" customWidth="1"/>
    <col min="4" max="4" width="6.140625" style="937" customWidth="1"/>
    <col min="5" max="5" width="7.7109375" style="937" customWidth="1"/>
    <col min="6" max="6" width="6" style="937" bestFit="1" customWidth="1"/>
    <col min="7" max="7" width="5.5703125" style="937" customWidth="1"/>
    <col min="8" max="8" width="13.5703125" style="937" customWidth="1"/>
    <col min="9" max="9" width="14.28515625" style="937" customWidth="1"/>
    <col min="10" max="10" width="12.85546875" style="937" customWidth="1"/>
    <col min="11" max="11" width="12.42578125" style="937" customWidth="1"/>
    <col min="12" max="12" width="14" style="937" customWidth="1"/>
    <col min="13" max="13" width="12.7109375" style="937" customWidth="1"/>
    <col min="14" max="14" width="12.140625" style="937" customWidth="1"/>
    <col min="15" max="15" width="12.42578125" style="937" customWidth="1"/>
    <col min="16" max="16" width="13" style="937" customWidth="1"/>
    <col min="17" max="17" width="13.85546875" style="967" customWidth="1"/>
    <col min="18" max="18" width="14.5703125" style="937" customWidth="1"/>
    <col min="19" max="20" width="13.42578125" style="937" customWidth="1"/>
    <col min="21" max="21" width="12.5703125" style="937" customWidth="1"/>
    <col min="22" max="22" width="12.42578125" style="937" customWidth="1"/>
    <col min="23" max="23" width="12.5703125" style="937" customWidth="1"/>
    <col min="24" max="24" width="13" style="937" customWidth="1"/>
    <col min="25" max="25" width="10.7109375" style="937" bestFit="1" customWidth="1"/>
    <col min="26" max="26" width="14" style="937" customWidth="1"/>
    <col min="27" max="27" width="10.7109375" style="937" bestFit="1" customWidth="1"/>
    <col min="28" max="256" width="9.140625" style="937"/>
    <col min="257" max="258" width="5.28515625" style="937" customWidth="1"/>
    <col min="259" max="259" width="44.7109375" style="937" customWidth="1"/>
    <col min="260" max="260" width="6.140625" style="937" customWidth="1"/>
    <col min="261" max="261" width="7.7109375" style="937" customWidth="1"/>
    <col min="262" max="262" width="6" style="937" bestFit="1" customWidth="1"/>
    <col min="263" max="263" width="5.5703125" style="937" customWidth="1"/>
    <col min="264" max="264" width="13.5703125" style="937" customWidth="1"/>
    <col min="265" max="265" width="14.7109375" style="937" customWidth="1"/>
    <col min="266" max="266" width="15.7109375" style="937" customWidth="1"/>
    <col min="267" max="267" width="14.140625" style="937" customWidth="1"/>
    <col min="268" max="268" width="16.140625" style="937" customWidth="1"/>
    <col min="269" max="269" width="14.7109375" style="937" customWidth="1"/>
    <col min="270" max="270" width="15.85546875" style="937" customWidth="1"/>
    <col min="271" max="271" width="13" style="937" customWidth="1"/>
    <col min="272" max="272" width="16.28515625" style="937" customWidth="1"/>
    <col min="273" max="273" width="14.140625" style="937" customWidth="1"/>
    <col min="274" max="274" width="14.5703125" style="937" customWidth="1"/>
    <col min="275" max="275" width="15" style="937" customWidth="1"/>
    <col min="276" max="276" width="14.7109375" style="937" customWidth="1"/>
    <col min="277" max="277" width="14.28515625" style="937" customWidth="1"/>
    <col min="278" max="278" width="14.140625" style="937" customWidth="1"/>
    <col min="279" max="279" width="14.28515625" style="937" bestFit="1" customWidth="1"/>
    <col min="280" max="280" width="15.28515625" style="937" customWidth="1"/>
    <col min="281" max="281" width="10.7109375" style="937" bestFit="1" customWidth="1"/>
    <col min="282" max="282" width="14" style="937" customWidth="1"/>
    <col min="283" max="283" width="10.7109375" style="937" bestFit="1" customWidth="1"/>
    <col min="284" max="512" width="9.140625" style="937"/>
    <col min="513" max="514" width="5.28515625" style="937" customWidth="1"/>
    <col min="515" max="515" width="44.7109375" style="937" customWidth="1"/>
    <col min="516" max="516" width="6.140625" style="937" customWidth="1"/>
    <col min="517" max="517" width="7.7109375" style="937" customWidth="1"/>
    <col min="518" max="518" width="6" style="937" bestFit="1" customWidth="1"/>
    <col min="519" max="519" width="5.5703125" style="937" customWidth="1"/>
    <col min="520" max="520" width="13.5703125" style="937" customWidth="1"/>
    <col min="521" max="521" width="14.7109375" style="937" customWidth="1"/>
    <col min="522" max="522" width="15.7109375" style="937" customWidth="1"/>
    <col min="523" max="523" width="14.140625" style="937" customWidth="1"/>
    <col min="524" max="524" width="16.140625" style="937" customWidth="1"/>
    <col min="525" max="525" width="14.7109375" style="937" customWidth="1"/>
    <col min="526" max="526" width="15.85546875" style="937" customWidth="1"/>
    <col min="527" max="527" width="13" style="937" customWidth="1"/>
    <col min="528" max="528" width="16.28515625" style="937" customWidth="1"/>
    <col min="529" max="529" width="14.140625" style="937" customWidth="1"/>
    <col min="530" max="530" width="14.5703125" style="937" customWidth="1"/>
    <col min="531" max="531" width="15" style="937" customWidth="1"/>
    <col min="532" max="532" width="14.7109375" style="937" customWidth="1"/>
    <col min="533" max="533" width="14.28515625" style="937" customWidth="1"/>
    <col min="534" max="534" width="14.140625" style="937" customWidth="1"/>
    <col min="535" max="535" width="14.28515625" style="937" bestFit="1" customWidth="1"/>
    <col min="536" max="536" width="15.28515625" style="937" customWidth="1"/>
    <col min="537" max="537" width="10.7109375" style="937" bestFit="1" customWidth="1"/>
    <col min="538" max="538" width="14" style="937" customWidth="1"/>
    <col min="539" max="539" width="10.7109375" style="937" bestFit="1" customWidth="1"/>
    <col min="540" max="768" width="9.140625" style="937"/>
    <col min="769" max="770" width="5.28515625" style="937" customWidth="1"/>
    <col min="771" max="771" width="44.7109375" style="937" customWidth="1"/>
    <col min="772" max="772" width="6.140625" style="937" customWidth="1"/>
    <col min="773" max="773" width="7.7109375" style="937" customWidth="1"/>
    <col min="774" max="774" width="6" style="937" bestFit="1" customWidth="1"/>
    <col min="775" max="775" width="5.5703125" style="937" customWidth="1"/>
    <col min="776" max="776" width="13.5703125" style="937" customWidth="1"/>
    <col min="777" max="777" width="14.7109375" style="937" customWidth="1"/>
    <col min="778" max="778" width="15.7109375" style="937" customWidth="1"/>
    <col min="779" max="779" width="14.140625" style="937" customWidth="1"/>
    <col min="780" max="780" width="16.140625" style="937" customWidth="1"/>
    <col min="781" max="781" width="14.7109375" style="937" customWidth="1"/>
    <col min="782" max="782" width="15.85546875" style="937" customWidth="1"/>
    <col min="783" max="783" width="13" style="937" customWidth="1"/>
    <col min="784" max="784" width="16.28515625" style="937" customWidth="1"/>
    <col min="785" max="785" width="14.140625" style="937" customWidth="1"/>
    <col min="786" max="786" width="14.5703125" style="937" customWidth="1"/>
    <col min="787" max="787" width="15" style="937" customWidth="1"/>
    <col min="788" max="788" width="14.7109375" style="937" customWidth="1"/>
    <col min="789" max="789" width="14.28515625" style="937" customWidth="1"/>
    <col min="790" max="790" width="14.140625" style="937" customWidth="1"/>
    <col min="791" max="791" width="14.28515625" style="937" bestFit="1" customWidth="1"/>
    <col min="792" max="792" width="15.28515625" style="937" customWidth="1"/>
    <col min="793" max="793" width="10.7109375" style="937" bestFit="1" customWidth="1"/>
    <col min="794" max="794" width="14" style="937" customWidth="1"/>
    <col min="795" max="795" width="10.7109375" style="937" bestFit="1" customWidth="1"/>
    <col min="796" max="1024" width="9.140625" style="937"/>
    <col min="1025" max="1026" width="5.28515625" style="937" customWidth="1"/>
    <col min="1027" max="1027" width="44.7109375" style="937" customWidth="1"/>
    <col min="1028" max="1028" width="6.140625" style="937" customWidth="1"/>
    <col min="1029" max="1029" width="7.7109375" style="937" customWidth="1"/>
    <col min="1030" max="1030" width="6" style="937" bestFit="1" customWidth="1"/>
    <col min="1031" max="1031" width="5.5703125" style="937" customWidth="1"/>
    <col min="1032" max="1032" width="13.5703125" style="937" customWidth="1"/>
    <col min="1033" max="1033" width="14.7109375" style="937" customWidth="1"/>
    <col min="1034" max="1034" width="15.7109375" style="937" customWidth="1"/>
    <col min="1035" max="1035" width="14.140625" style="937" customWidth="1"/>
    <col min="1036" max="1036" width="16.140625" style="937" customWidth="1"/>
    <col min="1037" max="1037" width="14.7109375" style="937" customWidth="1"/>
    <col min="1038" max="1038" width="15.85546875" style="937" customWidth="1"/>
    <col min="1039" max="1039" width="13" style="937" customWidth="1"/>
    <col min="1040" max="1040" width="16.28515625" style="937" customWidth="1"/>
    <col min="1041" max="1041" width="14.140625" style="937" customWidth="1"/>
    <col min="1042" max="1042" width="14.5703125" style="937" customWidth="1"/>
    <col min="1043" max="1043" width="15" style="937" customWidth="1"/>
    <col min="1044" max="1044" width="14.7109375" style="937" customWidth="1"/>
    <col min="1045" max="1045" width="14.28515625" style="937" customWidth="1"/>
    <col min="1046" max="1046" width="14.140625" style="937" customWidth="1"/>
    <col min="1047" max="1047" width="14.28515625" style="937" bestFit="1" customWidth="1"/>
    <col min="1048" max="1048" width="15.28515625" style="937" customWidth="1"/>
    <col min="1049" max="1049" width="10.7109375" style="937" bestFit="1" customWidth="1"/>
    <col min="1050" max="1050" width="14" style="937" customWidth="1"/>
    <col min="1051" max="1051" width="10.7109375" style="937" bestFit="1" customWidth="1"/>
    <col min="1052" max="1280" width="9.140625" style="937"/>
    <col min="1281" max="1282" width="5.28515625" style="937" customWidth="1"/>
    <col min="1283" max="1283" width="44.7109375" style="937" customWidth="1"/>
    <col min="1284" max="1284" width="6.140625" style="937" customWidth="1"/>
    <col min="1285" max="1285" width="7.7109375" style="937" customWidth="1"/>
    <col min="1286" max="1286" width="6" style="937" bestFit="1" customWidth="1"/>
    <col min="1287" max="1287" width="5.5703125" style="937" customWidth="1"/>
    <col min="1288" max="1288" width="13.5703125" style="937" customWidth="1"/>
    <col min="1289" max="1289" width="14.7109375" style="937" customWidth="1"/>
    <col min="1290" max="1290" width="15.7109375" style="937" customWidth="1"/>
    <col min="1291" max="1291" width="14.140625" style="937" customWidth="1"/>
    <col min="1292" max="1292" width="16.140625" style="937" customWidth="1"/>
    <col min="1293" max="1293" width="14.7109375" style="937" customWidth="1"/>
    <col min="1294" max="1294" width="15.85546875" style="937" customWidth="1"/>
    <col min="1295" max="1295" width="13" style="937" customWidth="1"/>
    <col min="1296" max="1296" width="16.28515625" style="937" customWidth="1"/>
    <col min="1297" max="1297" width="14.140625" style="937" customWidth="1"/>
    <col min="1298" max="1298" width="14.5703125" style="937" customWidth="1"/>
    <col min="1299" max="1299" width="15" style="937" customWidth="1"/>
    <col min="1300" max="1300" width="14.7109375" style="937" customWidth="1"/>
    <col min="1301" max="1301" width="14.28515625" style="937" customWidth="1"/>
    <col min="1302" max="1302" width="14.140625" style="937" customWidth="1"/>
    <col min="1303" max="1303" width="14.28515625" style="937" bestFit="1" customWidth="1"/>
    <col min="1304" max="1304" width="15.28515625" style="937" customWidth="1"/>
    <col min="1305" max="1305" width="10.7109375" style="937" bestFit="1" customWidth="1"/>
    <col min="1306" max="1306" width="14" style="937" customWidth="1"/>
    <col min="1307" max="1307" width="10.7109375" style="937" bestFit="1" customWidth="1"/>
    <col min="1308" max="1536" width="9.140625" style="937"/>
    <col min="1537" max="1538" width="5.28515625" style="937" customWidth="1"/>
    <col min="1539" max="1539" width="44.7109375" style="937" customWidth="1"/>
    <col min="1540" max="1540" width="6.140625" style="937" customWidth="1"/>
    <col min="1541" max="1541" width="7.7109375" style="937" customWidth="1"/>
    <col min="1542" max="1542" width="6" style="937" bestFit="1" customWidth="1"/>
    <col min="1543" max="1543" width="5.5703125" style="937" customWidth="1"/>
    <col min="1544" max="1544" width="13.5703125" style="937" customWidth="1"/>
    <col min="1545" max="1545" width="14.7109375" style="937" customWidth="1"/>
    <col min="1546" max="1546" width="15.7109375" style="937" customWidth="1"/>
    <col min="1547" max="1547" width="14.140625" style="937" customWidth="1"/>
    <col min="1548" max="1548" width="16.140625" style="937" customWidth="1"/>
    <col min="1549" max="1549" width="14.7109375" style="937" customWidth="1"/>
    <col min="1550" max="1550" width="15.85546875" style="937" customWidth="1"/>
    <col min="1551" max="1551" width="13" style="937" customWidth="1"/>
    <col min="1552" max="1552" width="16.28515625" style="937" customWidth="1"/>
    <col min="1553" max="1553" width="14.140625" style="937" customWidth="1"/>
    <col min="1554" max="1554" width="14.5703125" style="937" customWidth="1"/>
    <col min="1555" max="1555" width="15" style="937" customWidth="1"/>
    <col min="1556" max="1556" width="14.7109375" style="937" customWidth="1"/>
    <col min="1557" max="1557" width="14.28515625" style="937" customWidth="1"/>
    <col min="1558" max="1558" width="14.140625" style="937" customWidth="1"/>
    <col min="1559" max="1559" width="14.28515625" style="937" bestFit="1" customWidth="1"/>
    <col min="1560" max="1560" width="15.28515625" style="937" customWidth="1"/>
    <col min="1561" max="1561" width="10.7109375" style="937" bestFit="1" customWidth="1"/>
    <col min="1562" max="1562" width="14" style="937" customWidth="1"/>
    <col min="1563" max="1563" width="10.7109375" style="937" bestFit="1" customWidth="1"/>
    <col min="1564" max="1792" width="9.140625" style="937"/>
    <col min="1793" max="1794" width="5.28515625" style="937" customWidth="1"/>
    <col min="1795" max="1795" width="44.7109375" style="937" customWidth="1"/>
    <col min="1796" max="1796" width="6.140625" style="937" customWidth="1"/>
    <col min="1797" max="1797" width="7.7109375" style="937" customWidth="1"/>
    <col min="1798" max="1798" width="6" style="937" bestFit="1" customWidth="1"/>
    <col min="1799" max="1799" width="5.5703125" style="937" customWidth="1"/>
    <col min="1800" max="1800" width="13.5703125" style="937" customWidth="1"/>
    <col min="1801" max="1801" width="14.7109375" style="937" customWidth="1"/>
    <col min="1802" max="1802" width="15.7109375" style="937" customWidth="1"/>
    <col min="1803" max="1803" width="14.140625" style="937" customWidth="1"/>
    <col min="1804" max="1804" width="16.140625" style="937" customWidth="1"/>
    <col min="1805" max="1805" width="14.7109375" style="937" customWidth="1"/>
    <col min="1806" max="1806" width="15.85546875" style="937" customWidth="1"/>
    <col min="1807" max="1807" width="13" style="937" customWidth="1"/>
    <col min="1808" max="1808" width="16.28515625" style="937" customWidth="1"/>
    <col min="1809" max="1809" width="14.140625" style="937" customWidth="1"/>
    <col min="1810" max="1810" width="14.5703125" style="937" customWidth="1"/>
    <col min="1811" max="1811" width="15" style="937" customWidth="1"/>
    <col min="1812" max="1812" width="14.7109375" style="937" customWidth="1"/>
    <col min="1813" max="1813" width="14.28515625" style="937" customWidth="1"/>
    <col min="1814" max="1814" width="14.140625" style="937" customWidth="1"/>
    <col min="1815" max="1815" width="14.28515625" style="937" bestFit="1" customWidth="1"/>
    <col min="1816" max="1816" width="15.28515625" style="937" customWidth="1"/>
    <col min="1817" max="1817" width="10.7109375" style="937" bestFit="1" customWidth="1"/>
    <col min="1818" max="1818" width="14" style="937" customWidth="1"/>
    <col min="1819" max="1819" width="10.7109375" style="937" bestFit="1" customWidth="1"/>
    <col min="1820" max="2048" width="9.140625" style="937"/>
    <col min="2049" max="2050" width="5.28515625" style="937" customWidth="1"/>
    <col min="2051" max="2051" width="44.7109375" style="937" customWidth="1"/>
    <col min="2052" max="2052" width="6.140625" style="937" customWidth="1"/>
    <col min="2053" max="2053" width="7.7109375" style="937" customWidth="1"/>
    <col min="2054" max="2054" width="6" style="937" bestFit="1" customWidth="1"/>
    <col min="2055" max="2055" width="5.5703125" style="937" customWidth="1"/>
    <col min="2056" max="2056" width="13.5703125" style="937" customWidth="1"/>
    <col min="2057" max="2057" width="14.7109375" style="937" customWidth="1"/>
    <col min="2058" max="2058" width="15.7109375" style="937" customWidth="1"/>
    <col min="2059" max="2059" width="14.140625" style="937" customWidth="1"/>
    <col min="2060" max="2060" width="16.140625" style="937" customWidth="1"/>
    <col min="2061" max="2061" width="14.7109375" style="937" customWidth="1"/>
    <col min="2062" max="2062" width="15.85546875" style="937" customWidth="1"/>
    <col min="2063" max="2063" width="13" style="937" customWidth="1"/>
    <col min="2064" max="2064" width="16.28515625" style="937" customWidth="1"/>
    <col min="2065" max="2065" width="14.140625" style="937" customWidth="1"/>
    <col min="2066" max="2066" width="14.5703125" style="937" customWidth="1"/>
    <col min="2067" max="2067" width="15" style="937" customWidth="1"/>
    <col min="2068" max="2068" width="14.7109375" style="937" customWidth="1"/>
    <col min="2069" max="2069" width="14.28515625" style="937" customWidth="1"/>
    <col min="2070" max="2070" width="14.140625" style="937" customWidth="1"/>
    <col min="2071" max="2071" width="14.28515625" style="937" bestFit="1" customWidth="1"/>
    <col min="2072" max="2072" width="15.28515625" style="937" customWidth="1"/>
    <col min="2073" max="2073" width="10.7109375" style="937" bestFit="1" customWidth="1"/>
    <col min="2074" max="2074" width="14" style="937" customWidth="1"/>
    <col min="2075" max="2075" width="10.7109375" style="937" bestFit="1" customWidth="1"/>
    <col min="2076" max="2304" width="9.140625" style="937"/>
    <col min="2305" max="2306" width="5.28515625" style="937" customWidth="1"/>
    <col min="2307" max="2307" width="44.7109375" style="937" customWidth="1"/>
    <col min="2308" max="2308" width="6.140625" style="937" customWidth="1"/>
    <col min="2309" max="2309" width="7.7109375" style="937" customWidth="1"/>
    <col min="2310" max="2310" width="6" style="937" bestFit="1" customWidth="1"/>
    <col min="2311" max="2311" width="5.5703125" style="937" customWidth="1"/>
    <col min="2312" max="2312" width="13.5703125" style="937" customWidth="1"/>
    <col min="2313" max="2313" width="14.7109375" style="937" customWidth="1"/>
    <col min="2314" max="2314" width="15.7109375" style="937" customWidth="1"/>
    <col min="2315" max="2315" width="14.140625" style="937" customWidth="1"/>
    <col min="2316" max="2316" width="16.140625" style="937" customWidth="1"/>
    <col min="2317" max="2317" width="14.7109375" style="937" customWidth="1"/>
    <col min="2318" max="2318" width="15.85546875" style="937" customWidth="1"/>
    <col min="2319" max="2319" width="13" style="937" customWidth="1"/>
    <col min="2320" max="2320" width="16.28515625" style="937" customWidth="1"/>
    <col min="2321" max="2321" width="14.140625" style="937" customWidth="1"/>
    <col min="2322" max="2322" width="14.5703125" style="937" customWidth="1"/>
    <col min="2323" max="2323" width="15" style="937" customWidth="1"/>
    <col min="2324" max="2324" width="14.7109375" style="937" customWidth="1"/>
    <col min="2325" max="2325" width="14.28515625" style="937" customWidth="1"/>
    <col min="2326" max="2326" width="14.140625" style="937" customWidth="1"/>
    <col min="2327" max="2327" width="14.28515625" style="937" bestFit="1" customWidth="1"/>
    <col min="2328" max="2328" width="15.28515625" style="937" customWidth="1"/>
    <col min="2329" max="2329" width="10.7109375" style="937" bestFit="1" customWidth="1"/>
    <col min="2330" max="2330" width="14" style="937" customWidth="1"/>
    <col min="2331" max="2331" width="10.7109375" style="937" bestFit="1" customWidth="1"/>
    <col min="2332" max="2560" width="9.140625" style="937"/>
    <col min="2561" max="2562" width="5.28515625" style="937" customWidth="1"/>
    <col min="2563" max="2563" width="44.7109375" style="937" customWidth="1"/>
    <col min="2564" max="2564" width="6.140625" style="937" customWidth="1"/>
    <col min="2565" max="2565" width="7.7109375" style="937" customWidth="1"/>
    <col min="2566" max="2566" width="6" style="937" bestFit="1" customWidth="1"/>
    <col min="2567" max="2567" width="5.5703125" style="937" customWidth="1"/>
    <col min="2568" max="2568" width="13.5703125" style="937" customWidth="1"/>
    <col min="2569" max="2569" width="14.7109375" style="937" customWidth="1"/>
    <col min="2570" max="2570" width="15.7109375" style="937" customWidth="1"/>
    <col min="2571" max="2571" width="14.140625" style="937" customWidth="1"/>
    <col min="2572" max="2572" width="16.140625" style="937" customWidth="1"/>
    <col min="2573" max="2573" width="14.7109375" style="937" customWidth="1"/>
    <col min="2574" max="2574" width="15.85546875" style="937" customWidth="1"/>
    <col min="2575" max="2575" width="13" style="937" customWidth="1"/>
    <col min="2576" max="2576" width="16.28515625" style="937" customWidth="1"/>
    <col min="2577" max="2577" width="14.140625" style="937" customWidth="1"/>
    <col min="2578" max="2578" width="14.5703125" style="937" customWidth="1"/>
    <col min="2579" max="2579" width="15" style="937" customWidth="1"/>
    <col min="2580" max="2580" width="14.7109375" style="937" customWidth="1"/>
    <col min="2581" max="2581" width="14.28515625" style="937" customWidth="1"/>
    <col min="2582" max="2582" width="14.140625" style="937" customWidth="1"/>
    <col min="2583" max="2583" width="14.28515625" style="937" bestFit="1" customWidth="1"/>
    <col min="2584" max="2584" width="15.28515625" style="937" customWidth="1"/>
    <col min="2585" max="2585" width="10.7109375" style="937" bestFit="1" customWidth="1"/>
    <col min="2586" max="2586" width="14" style="937" customWidth="1"/>
    <col min="2587" max="2587" width="10.7109375" style="937" bestFit="1" customWidth="1"/>
    <col min="2588" max="2816" width="9.140625" style="937"/>
    <col min="2817" max="2818" width="5.28515625" style="937" customWidth="1"/>
    <col min="2819" max="2819" width="44.7109375" style="937" customWidth="1"/>
    <col min="2820" max="2820" width="6.140625" style="937" customWidth="1"/>
    <col min="2821" max="2821" width="7.7109375" style="937" customWidth="1"/>
    <col min="2822" max="2822" width="6" style="937" bestFit="1" customWidth="1"/>
    <col min="2823" max="2823" width="5.5703125" style="937" customWidth="1"/>
    <col min="2824" max="2824" width="13.5703125" style="937" customWidth="1"/>
    <col min="2825" max="2825" width="14.7109375" style="937" customWidth="1"/>
    <col min="2826" max="2826" width="15.7109375" style="937" customWidth="1"/>
    <col min="2827" max="2827" width="14.140625" style="937" customWidth="1"/>
    <col min="2828" max="2828" width="16.140625" style="937" customWidth="1"/>
    <col min="2829" max="2829" width="14.7109375" style="937" customWidth="1"/>
    <col min="2830" max="2830" width="15.85546875" style="937" customWidth="1"/>
    <col min="2831" max="2831" width="13" style="937" customWidth="1"/>
    <col min="2832" max="2832" width="16.28515625" style="937" customWidth="1"/>
    <col min="2833" max="2833" width="14.140625" style="937" customWidth="1"/>
    <col min="2834" max="2834" width="14.5703125" style="937" customWidth="1"/>
    <col min="2835" max="2835" width="15" style="937" customWidth="1"/>
    <col min="2836" max="2836" width="14.7109375" style="937" customWidth="1"/>
    <col min="2837" max="2837" width="14.28515625" style="937" customWidth="1"/>
    <col min="2838" max="2838" width="14.140625" style="937" customWidth="1"/>
    <col min="2839" max="2839" width="14.28515625" style="937" bestFit="1" customWidth="1"/>
    <col min="2840" max="2840" width="15.28515625" style="937" customWidth="1"/>
    <col min="2841" max="2841" width="10.7109375" style="937" bestFit="1" customWidth="1"/>
    <col min="2842" max="2842" width="14" style="937" customWidth="1"/>
    <col min="2843" max="2843" width="10.7109375" style="937" bestFit="1" customWidth="1"/>
    <col min="2844" max="3072" width="9.140625" style="937"/>
    <col min="3073" max="3074" width="5.28515625" style="937" customWidth="1"/>
    <col min="3075" max="3075" width="44.7109375" style="937" customWidth="1"/>
    <col min="3076" max="3076" width="6.140625" style="937" customWidth="1"/>
    <col min="3077" max="3077" width="7.7109375" style="937" customWidth="1"/>
    <col min="3078" max="3078" width="6" style="937" bestFit="1" customWidth="1"/>
    <col min="3079" max="3079" width="5.5703125" style="937" customWidth="1"/>
    <col min="3080" max="3080" width="13.5703125" style="937" customWidth="1"/>
    <col min="3081" max="3081" width="14.7109375" style="937" customWidth="1"/>
    <col min="3082" max="3082" width="15.7109375" style="937" customWidth="1"/>
    <col min="3083" max="3083" width="14.140625" style="937" customWidth="1"/>
    <col min="3084" max="3084" width="16.140625" style="937" customWidth="1"/>
    <col min="3085" max="3085" width="14.7109375" style="937" customWidth="1"/>
    <col min="3086" max="3086" width="15.85546875" style="937" customWidth="1"/>
    <col min="3087" max="3087" width="13" style="937" customWidth="1"/>
    <col min="3088" max="3088" width="16.28515625" style="937" customWidth="1"/>
    <col min="3089" max="3089" width="14.140625" style="937" customWidth="1"/>
    <col min="3090" max="3090" width="14.5703125" style="937" customWidth="1"/>
    <col min="3091" max="3091" width="15" style="937" customWidth="1"/>
    <col min="3092" max="3092" width="14.7109375" style="937" customWidth="1"/>
    <col min="3093" max="3093" width="14.28515625" style="937" customWidth="1"/>
    <col min="3094" max="3094" width="14.140625" style="937" customWidth="1"/>
    <col min="3095" max="3095" width="14.28515625" style="937" bestFit="1" customWidth="1"/>
    <col min="3096" max="3096" width="15.28515625" style="937" customWidth="1"/>
    <col min="3097" max="3097" width="10.7109375" style="937" bestFit="1" customWidth="1"/>
    <col min="3098" max="3098" width="14" style="937" customWidth="1"/>
    <col min="3099" max="3099" width="10.7109375" style="937" bestFit="1" customWidth="1"/>
    <col min="3100" max="3328" width="9.140625" style="937"/>
    <col min="3329" max="3330" width="5.28515625" style="937" customWidth="1"/>
    <col min="3331" max="3331" width="44.7109375" style="937" customWidth="1"/>
    <col min="3332" max="3332" width="6.140625" style="937" customWidth="1"/>
    <col min="3333" max="3333" width="7.7109375" style="937" customWidth="1"/>
    <col min="3334" max="3334" width="6" style="937" bestFit="1" customWidth="1"/>
    <col min="3335" max="3335" width="5.5703125" style="937" customWidth="1"/>
    <col min="3336" max="3336" width="13.5703125" style="937" customWidth="1"/>
    <col min="3337" max="3337" width="14.7109375" style="937" customWidth="1"/>
    <col min="3338" max="3338" width="15.7109375" style="937" customWidth="1"/>
    <col min="3339" max="3339" width="14.140625" style="937" customWidth="1"/>
    <col min="3340" max="3340" width="16.140625" style="937" customWidth="1"/>
    <col min="3341" max="3341" width="14.7109375" style="937" customWidth="1"/>
    <col min="3342" max="3342" width="15.85546875" style="937" customWidth="1"/>
    <col min="3343" max="3343" width="13" style="937" customWidth="1"/>
    <col min="3344" max="3344" width="16.28515625" style="937" customWidth="1"/>
    <col min="3345" max="3345" width="14.140625" style="937" customWidth="1"/>
    <col min="3346" max="3346" width="14.5703125" style="937" customWidth="1"/>
    <col min="3347" max="3347" width="15" style="937" customWidth="1"/>
    <col min="3348" max="3348" width="14.7109375" style="937" customWidth="1"/>
    <col min="3349" max="3349" width="14.28515625" style="937" customWidth="1"/>
    <col min="3350" max="3350" width="14.140625" style="937" customWidth="1"/>
    <col min="3351" max="3351" width="14.28515625" style="937" bestFit="1" customWidth="1"/>
    <col min="3352" max="3352" width="15.28515625" style="937" customWidth="1"/>
    <col min="3353" max="3353" width="10.7109375" style="937" bestFit="1" customWidth="1"/>
    <col min="3354" max="3354" width="14" style="937" customWidth="1"/>
    <col min="3355" max="3355" width="10.7109375" style="937" bestFit="1" customWidth="1"/>
    <col min="3356" max="3584" width="9.140625" style="937"/>
    <col min="3585" max="3586" width="5.28515625" style="937" customWidth="1"/>
    <col min="3587" max="3587" width="44.7109375" style="937" customWidth="1"/>
    <col min="3588" max="3588" width="6.140625" style="937" customWidth="1"/>
    <col min="3589" max="3589" width="7.7109375" style="937" customWidth="1"/>
    <col min="3590" max="3590" width="6" style="937" bestFit="1" customWidth="1"/>
    <col min="3591" max="3591" width="5.5703125" style="937" customWidth="1"/>
    <col min="3592" max="3592" width="13.5703125" style="937" customWidth="1"/>
    <col min="3593" max="3593" width="14.7109375" style="937" customWidth="1"/>
    <col min="3594" max="3594" width="15.7109375" style="937" customWidth="1"/>
    <col min="3595" max="3595" width="14.140625" style="937" customWidth="1"/>
    <col min="3596" max="3596" width="16.140625" style="937" customWidth="1"/>
    <col min="3597" max="3597" width="14.7109375" style="937" customWidth="1"/>
    <col min="3598" max="3598" width="15.85546875" style="937" customWidth="1"/>
    <col min="3599" max="3599" width="13" style="937" customWidth="1"/>
    <col min="3600" max="3600" width="16.28515625" style="937" customWidth="1"/>
    <col min="3601" max="3601" width="14.140625" style="937" customWidth="1"/>
    <col min="3602" max="3602" width="14.5703125" style="937" customWidth="1"/>
    <col min="3603" max="3603" width="15" style="937" customWidth="1"/>
    <col min="3604" max="3604" width="14.7109375" style="937" customWidth="1"/>
    <col min="3605" max="3605" width="14.28515625" style="937" customWidth="1"/>
    <col min="3606" max="3606" width="14.140625" style="937" customWidth="1"/>
    <col min="3607" max="3607" width="14.28515625" style="937" bestFit="1" customWidth="1"/>
    <col min="3608" max="3608" width="15.28515625" style="937" customWidth="1"/>
    <col min="3609" max="3609" width="10.7109375" style="937" bestFit="1" customWidth="1"/>
    <col min="3610" max="3610" width="14" style="937" customWidth="1"/>
    <col min="3611" max="3611" width="10.7109375" style="937" bestFit="1" customWidth="1"/>
    <col min="3612" max="3840" width="9.140625" style="937"/>
    <col min="3841" max="3842" width="5.28515625" style="937" customWidth="1"/>
    <col min="3843" max="3843" width="44.7109375" style="937" customWidth="1"/>
    <col min="3844" max="3844" width="6.140625" style="937" customWidth="1"/>
    <col min="3845" max="3845" width="7.7109375" style="937" customWidth="1"/>
    <col min="3846" max="3846" width="6" style="937" bestFit="1" customWidth="1"/>
    <col min="3847" max="3847" width="5.5703125" style="937" customWidth="1"/>
    <col min="3848" max="3848" width="13.5703125" style="937" customWidth="1"/>
    <col min="3849" max="3849" width="14.7109375" style="937" customWidth="1"/>
    <col min="3850" max="3850" width="15.7109375" style="937" customWidth="1"/>
    <col min="3851" max="3851" width="14.140625" style="937" customWidth="1"/>
    <col min="3852" max="3852" width="16.140625" style="937" customWidth="1"/>
    <col min="3853" max="3853" width="14.7109375" style="937" customWidth="1"/>
    <col min="3854" max="3854" width="15.85546875" style="937" customWidth="1"/>
    <col min="3855" max="3855" width="13" style="937" customWidth="1"/>
    <col min="3856" max="3856" width="16.28515625" style="937" customWidth="1"/>
    <col min="3857" max="3857" width="14.140625" style="937" customWidth="1"/>
    <col min="3858" max="3858" width="14.5703125" style="937" customWidth="1"/>
    <col min="3859" max="3859" width="15" style="937" customWidth="1"/>
    <col min="3860" max="3860" width="14.7109375" style="937" customWidth="1"/>
    <col min="3861" max="3861" width="14.28515625" style="937" customWidth="1"/>
    <col min="3862" max="3862" width="14.140625" style="937" customWidth="1"/>
    <col min="3863" max="3863" width="14.28515625" style="937" bestFit="1" customWidth="1"/>
    <col min="3864" max="3864" width="15.28515625" style="937" customWidth="1"/>
    <col min="3865" max="3865" width="10.7109375" style="937" bestFit="1" customWidth="1"/>
    <col min="3866" max="3866" width="14" style="937" customWidth="1"/>
    <col min="3867" max="3867" width="10.7109375" style="937" bestFit="1" customWidth="1"/>
    <col min="3868" max="4096" width="9.140625" style="937"/>
    <col min="4097" max="4098" width="5.28515625" style="937" customWidth="1"/>
    <col min="4099" max="4099" width="44.7109375" style="937" customWidth="1"/>
    <col min="4100" max="4100" width="6.140625" style="937" customWidth="1"/>
    <col min="4101" max="4101" width="7.7109375" style="937" customWidth="1"/>
    <col min="4102" max="4102" width="6" style="937" bestFit="1" customWidth="1"/>
    <col min="4103" max="4103" width="5.5703125" style="937" customWidth="1"/>
    <col min="4104" max="4104" width="13.5703125" style="937" customWidth="1"/>
    <col min="4105" max="4105" width="14.7109375" style="937" customWidth="1"/>
    <col min="4106" max="4106" width="15.7109375" style="937" customWidth="1"/>
    <col min="4107" max="4107" width="14.140625" style="937" customWidth="1"/>
    <col min="4108" max="4108" width="16.140625" style="937" customWidth="1"/>
    <col min="4109" max="4109" width="14.7109375" style="937" customWidth="1"/>
    <col min="4110" max="4110" width="15.85546875" style="937" customWidth="1"/>
    <col min="4111" max="4111" width="13" style="937" customWidth="1"/>
    <col min="4112" max="4112" width="16.28515625" style="937" customWidth="1"/>
    <col min="4113" max="4113" width="14.140625" style="937" customWidth="1"/>
    <col min="4114" max="4114" width="14.5703125" style="937" customWidth="1"/>
    <col min="4115" max="4115" width="15" style="937" customWidth="1"/>
    <col min="4116" max="4116" width="14.7109375" style="937" customWidth="1"/>
    <col min="4117" max="4117" width="14.28515625" style="937" customWidth="1"/>
    <col min="4118" max="4118" width="14.140625" style="937" customWidth="1"/>
    <col min="4119" max="4119" width="14.28515625" style="937" bestFit="1" customWidth="1"/>
    <col min="4120" max="4120" width="15.28515625" style="937" customWidth="1"/>
    <col min="4121" max="4121" width="10.7109375" style="937" bestFit="1" customWidth="1"/>
    <col min="4122" max="4122" width="14" style="937" customWidth="1"/>
    <col min="4123" max="4123" width="10.7109375" style="937" bestFit="1" customWidth="1"/>
    <col min="4124" max="4352" width="9.140625" style="937"/>
    <col min="4353" max="4354" width="5.28515625" style="937" customWidth="1"/>
    <col min="4355" max="4355" width="44.7109375" style="937" customWidth="1"/>
    <col min="4356" max="4356" width="6.140625" style="937" customWidth="1"/>
    <col min="4357" max="4357" width="7.7109375" style="937" customWidth="1"/>
    <col min="4358" max="4358" width="6" style="937" bestFit="1" customWidth="1"/>
    <col min="4359" max="4359" width="5.5703125" style="937" customWidth="1"/>
    <col min="4360" max="4360" width="13.5703125" style="937" customWidth="1"/>
    <col min="4361" max="4361" width="14.7109375" style="937" customWidth="1"/>
    <col min="4362" max="4362" width="15.7109375" style="937" customWidth="1"/>
    <col min="4363" max="4363" width="14.140625" style="937" customWidth="1"/>
    <col min="4364" max="4364" width="16.140625" style="937" customWidth="1"/>
    <col min="4365" max="4365" width="14.7109375" style="937" customWidth="1"/>
    <col min="4366" max="4366" width="15.85546875" style="937" customWidth="1"/>
    <col min="4367" max="4367" width="13" style="937" customWidth="1"/>
    <col min="4368" max="4368" width="16.28515625" style="937" customWidth="1"/>
    <col min="4369" max="4369" width="14.140625" style="937" customWidth="1"/>
    <col min="4370" max="4370" width="14.5703125" style="937" customWidth="1"/>
    <col min="4371" max="4371" width="15" style="937" customWidth="1"/>
    <col min="4372" max="4372" width="14.7109375" style="937" customWidth="1"/>
    <col min="4373" max="4373" width="14.28515625" style="937" customWidth="1"/>
    <col min="4374" max="4374" width="14.140625" style="937" customWidth="1"/>
    <col min="4375" max="4375" width="14.28515625" style="937" bestFit="1" customWidth="1"/>
    <col min="4376" max="4376" width="15.28515625" style="937" customWidth="1"/>
    <col min="4377" max="4377" width="10.7109375" style="937" bestFit="1" customWidth="1"/>
    <col min="4378" max="4378" width="14" style="937" customWidth="1"/>
    <col min="4379" max="4379" width="10.7109375" style="937" bestFit="1" customWidth="1"/>
    <col min="4380" max="4608" width="9.140625" style="937"/>
    <col min="4609" max="4610" width="5.28515625" style="937" customWidth="1"/>
    <col min="4611" max="4611" width="44.7109375" style="937" customWidth="1"/>
    <col min="4612" max="4612" width="6.140625" style="937" customWidth="1"/>
    <col min="4613" max="4613" width="7.7109375" style="937" customWidth="1"/>
    <col min="4614" max="4614" width="6" style="937" bestFit="1" customWidth="1"/>
    <col min="4615" max="4615" width="5.5703125" style="937" customWidth="1"/>
    <col min="4616" max="4616" width="13.5703125" style="937" customWidth="1"/>
    <col min="4617" max="4617" width="14.7109375" style="937" customWidth="1"/>
    <col min="4618" max="4618" width="15.7109375" style="937" customWidth="1"/>
    <col min="4619" max="4619" width="14.140625" style="937" customWidth="1"/>
    <col min="4620" max="4620" width="16.140625" style="937" customWidth="1"/>
    <col min="4621" max="4621" width="14.7109375" style="937" customWidth="1"/>
    <col min="4622" max="4622" width="15.85546875" style="937" customWidth="1"/>
    <col min="4623" max="4623" width="13" style="937" customWidth="1"/>
    <col min="4624" max="4624" width="16.28515625" style="937" customWidth="1"/>
    <col min="4625" max="4625" width="14.140625" style="937" customWidth="1"/>
    <col min="4626" max="4626" width="14.5703125" style="937" customWidth="1"/>
    <col min="4627" max="4627" width="15" style="937" customWidth="1"/>
    <col min="4628" max="4628" width="14.7109375" style="937" customWidth="1"/>
    <col min="4629" max="4629" width="14.28515625" style="937" customWidth="1"/>
    <col min="4630" max="4630" width="14.140625" style="937" customWidth="1"/>
    <col min="4631" max="4631" width="14.28515625" style="937" bestFit="1" customWidth="1"/>
    <col min="4632" max="4632" width="15.28515625" style="937" customWidth="1"/>
    <col min="4633" max="4633" width="10.7109375" style="937" bestFit="1" customWidth="1"/>
    <col min="4634" max="4634" width="14" style="937" customWidth="1"/>
    <col min="4635" max="4635" width="10.7109375" style="937" bestFit="1" customWidth="1"/>
    <col min="4636" max="4864" width="9.140625" style="937"/>
    <col min="4865" max="4866" width="5.28515625" style="937" customWidth="1"/>
    <col min="4867" max="4867" width="44.7109375" style="937" customWidth="1"/>
    <col min="4868" max="4868" width="6.140625" style="937" customWidth="1"/>
    <col min="4869" max="4869" width="7.7109375" style="937" customWidth="1"/>
    <col min="4870" max="4870" width="6" style="937" bestFit="1" customWidth="1"/>
    <col min="4871" max="4871" width="5.5703125" style="937" customWidth="1"/>
    <col min="4872" max="4872" width="13.5703125" style="937" customWidth="1"/>
    <col min="4873" max="4873" width="14.7109375" style="937" customWidth="1"/>
    <col min="4874" max="4874" width="15.7109375" style="937" customWidth="1"/>
    <col min="4875" max="4875" width="14.140625" style="937" customWidth="1"/>
    <col min="4876" max="4876" width="16.140625" style="937" customWidth="1"/>
    <col min="4877" max="4877" width="14.7109375" style="937" customWidth="1"/>
    <col min="4878" max="4878" width="15.85546875" style="937" customWidth="1"/>
    <col min="4879" max="4879" width="13" style="937" customWidth="1"/>
    <col min="4880" max="4880" width="16.28515625" style="937" customWidth="1"/>
    <col min="4881" max="4881" width="14.140625" style="937" customWidth="1"/>
    <col min="4882" max="4882" width="14.5703125" style="937" customWidth="1"/>
    <col min="4883" max="4883" width="15" style="937" customWidth="1"/>
    <col min="4884" max="4884" width="14.7109375" style="937" customWidth="1"/>
    <col min="4885" max="4885" width="14.28515625" style="937" customWidth="1"/>
    <col min="4886" max="4886" width="14.140625" style="937" customWidth="1"/>
    <col min="4887" max="4887" width="14.28515625" style="937" bestFit="1" customWidth="1"/>
    <col min="4888" max="4888" width="15.28515625" style="937" customWidth="1"/>
    <col min="4889" max="4889" width="10.7109375" style="937" bestFit="1" customWidth="1"/>
    <col min="4890" max="4890" width="14" style="937" customWidth="1"/>
    <col min="4891" max="4891" width="10.7109375" style="937" bestFit="1" customWidth="1"/>
    <col min="4892" max="5120" width="9.140625" style="937"/>
    <col min="5121" max="5122" width="5.28515625" style="937" customWidth="1"/>
    <col min="5123" max="5123" width="44.7109375" style="937" customWidth="1"/>
    <col min="5124" max="5124" width="6.140625" style="937" customWidth="1"/>
    <col min="5125" max="5125" width="7.7109375" style="937" customWidth="1"/>
    <col min="5126" max="5126" width="6" style="937" bestFit="1" customWidth="1"/>
    <col min="5127" max="5127" width="5.5703125" style="937" customWidth="1"/>
    <col min="5128" max="5128" width="13.5703125" style="937" customWidth="1"/>
    <col min="5129" max="5129" width="14.7109375" style="937" customWidth="1"/>
    <col min="5130" max="5130" width="15.7109375" style="937" customWidth="1"/>
    <col min="5131" max="5131" width="14.140625" style="937" customWidth="1"/>
    <col min="5132" max="5132" width="16.140625" style="937" customWidth="1"/>
    <col min="5133" max="5133" width="14.7109375" style="937" customWidth="1"/>
    <col min="5134" max="5134" width="15.85546875" style="937" customWidth="1"/>
    <col min="5135" max="5135" width="13" style="937" customWidth="1"/>
    <col min="5136" max="5136" width="16.28515625" style="937" customWidth="1"/>
    <col min="5137" max="5137" width="14.140625" style="937" customWidth="1"/>
    <col min="5138" max="5138" width="14.5703125" style="937" customWidth="1"/>
    <col min="5139" max="5139" width="15" style="937" customWidth="1"/>
    <col min="5140" max="5140" width="14.7109375" style="937" customWidth="1"/>
    <col min="5141" max="5141" width="14.28515625" style="937" customWidth="1"/>
    <col min="5142" max="5142" width="14.140625" style="937" customWidth="1"/>
    <col min="5143" max="5143" width="14.28515625" style="937" bestFit="1" customWidth="1"/>
    <col min="5144" max="5144" width="15.28515625" style="937" customWidth="1"/>
    <col min="5145" max="5145" width="10.7109375" style="937" bestFit="1" customWidth="1"/>
    <col min="5146" max="5146" width="14" style="937" customWidth="1"/>
    <col min="5147" max="5147" width="10.7109375" style="937" bestFit="1" customWidth="1"/>
    <col min="5148" max="5376" width="9.140625" style="937"/>
    <col min="5377" max="5378" width="5.28515625" style="937" customWidth="1"/>
    <col min="5379" max="5379" width="44.7109375" style="937" customWidth="1"/>
    <col min="5380" max="5380" width="6.140625" style="937" customWidth="1"/>
    <col min="5381" max="5381" width="7.7109375" style="937" customWidth="1"/>
    <col min="5382" max="5382" width="6" style="937" bestFit="1" customWidth="1"/>
    <col min="5383" max="5383" width="5.5703125" style="937" customWidth="1"/>
    <col min="5384" max="5384" width="13.5703125" style="937" customWidth="1"/>
    <col min="5385" max="5385" width="14.7109375" style="937" customWidth="1"/>
    <col min="5386" max="5386" width="15.7109375" style="937" customWidth="1"/>
    <col min="5387" max="5387" width="14.140625" style="937" customWidth="1"/>
    <col min="5388" max="5388" width="16.140625" style="937" customWidth="1"/>
    <col min="5389" max="5389" width="14.7109375" style="937" customWidth="1"/>
    <col min="5390" max="5390" width="15.85546875" style="937" customWidth="1"/>
    <col min="5391" max="5391" width="13" style="937" customWidth="1"/>
    <col min="5392" max="5392" width="16.28515625" style="937" customWidth="1"/>
    <col min="5393" max="5393" width="14.140625" style="937" customWidth="1"/>
    <col min="5394" max="5394" width="14.5703125" style="937" customWidth="1"/>
    <col min="5395" max="5395" width="15" style="937" customWidth="1"/>
    <col min="5396" max="5396" width="14.7109375" style="937" customWidth="1"/>
    <col min="5397" max="5397" width="14.28515625" style="937" customWidth="1"/>
    <col min="5398" max="5398" width="14.140625" style="937" customWidth="1"/>
    <col min="5399" max="5399" width="14.28515625" style="937" bestFit="1" customWidth="1"/>
    <col min="5400" max="5400" width="15.28515625" style="937" customWidth="1"/>
    <col min="5401" max="5401" width="10.7109375" style="937" bestFit="1" customWidth="1"/>
    <col min="5402" max="5402" width="14" style="937" customWidth="1"/>
    <col min="5403" max="5403" width="10.7109375" style="937" bestFit="1" customWidth="1"/>
    <col min="5404" max="5632" width="9.140625" style="937"/>
    <col min="5633" max="5634" width="5.28515625" style="937" customWidth="1"/>
    <col min="5635" max="5635" width="44.7109375" style="937" customWidth="1"/>
    <col min="5636" max="5636" width="6.140625" style="937" customWidth="1"/>
    <col min="5637" max="5637" width="7.7109375" style="937" customWidth="1"/>
    <col min="5638" max="5638" width="6" style="937" bestFit="1" customWidth="1"/>
    <col min="5639" max="5639" width="5.5703125" style="937" customWidth="1"/>
    <col min="5640" max="5640" width="13.5703125" style="937" customWidth="1"/>
    <col min="5641" max="5641" width="14.7109375" style="937" customWidth="1"/>
    <col min="5642" max="5642" width="15.7109375" style="937" customWidth="1"/>
    <col min="5643" max="5643" width="14.140625" style="937" customWidth="1"/>
    <col min="5644" max="5644" width="16.140625" style="937" customWidth="1"/>
    <col min="5645" max="5645" width="14.7109375" style="937" customWidth="1"/>
    <col min="5646" max="5646" width="15.85546875" style="937" customWidth="1"/>
    <col min="5647" max="5647" width="13" style="937" customWidth="1"/>
    <col min="5648" max="5648" width="16.28515625" style="937" customWidth="1"/>
    <col min="5649" max="5649" width="14.140625" style="937" customWidth="1"/>
    <col min="5650" max="5650" width="14.5703125" style="937" customWidth="1"/>
    <col min="5651" max="5651" width="15" style="937" customWidth="1"/>
    <col min="5652" max="5652" width="14.7109375" style="937" customWidth="1"/>
    <col min="5653" max="5653" width="14.28515625" style="937" customWidth="1"/>
    <col min="5654" max="5654" width="14.140625" style="937" customWidth="1"/>
    <col min="5655" max="5655" width="14.28515625" style="937" bestFit="1" customWidth="1"/>
    <col min="5656" max="5656" width="15.28515625" style="937" customWidth="1"/>
    <col min="5657" max="5657" width="10.7109375" style="937" bestFit="1" customWidth="1"/>
    <col min="5658" max="5658" width="14" style="937" customWidth="1"/>
    <col min="5659" max="5659" width="10.7109375" style="937" bestFit="1" customWidth="1"/>
    <col min="5660" max="5888" width="9.140625" style="937"/>
    <col min="5889" max="5890" width="5.28515625" style="937" customWidth="1"/>
    <col min="5891" max="5891" width="44.7109375" style="937" customWidth="1"/>
    <col min="5892" max="5892" width="6.140625" style="937" customWidth="1"/>
    <col min="5893" max="5893" width="7.7109375" style="937" customWidth="1"/>
    <col min="5894" max="5894" width="6" style="937" bestFit="1" customWidth="1"/>
    <col min="5895" max="5895" width="5.5703125" style="937" customWidth="1"/>
    <col min="5896" max="5896" width="13.5703125" style="937" customWidth="1"/>
    <col min="5897" max="5897" width="14.7109375" style="937" customWidth="1"/>
    <col min="5898" max="5898" width="15.7109375" style="937" customWidth="1"/>
    <col min="5899" max="5899" width="14.140625" style="937" customWidth="1"/>
    <col min="5900" max="5900" width="16.140625" style="937" customWidth="1"/>
    <col min="5901" max="5901" width="14.7109375" style="937" customWidth="1"/>
    <col min="5902" max="5902" width="15.85546875" style="937" customWidth="1"/>
    <col min="5903" max="5903" width="13" style="937" customWidth="1"/>
    <col min="5904" max="5904" width="16.28515625" style="937" customWidth="1"/>
    <col min="5905" max="5905" width="14.140625" style="937" customWidth="1"/>
    <col min="5906" max="5906" width="14.5703125" style="937" customWidth="1"/>
    <col min="5907" max="5907" width="15" style="937" customWidth="1"/>
    <col min="5908" max="5908" width="14.7109375" style="937" customWidth="1"/>
    <col min="5909" max="5909" width="14.28515625" style="937" customWidth="1"/>
    <col min="5910" max="5910" width="14.140625" style="937" customWidth="1"/>
    <col min="5911" max="5911" width="14.28515625" style="937" bestFit="1" customWidth="1"/>
    <col min="5912" max="5912" width="15.28515625" style="937" customWidth="1"/>
    <col min="5913" max="5913" width="10.7109375" style="937" bestFit="1" customWidth="1"/>
    <col min="5914" max="5914" width="14" style="937" customWidth="1"/>
    <col min="5915" max="5915" width="10.7109375" style="937" bestFit="1" customWidth="1"/>
    <col min="5916" max="6144" width="9.140625" style="937"/>
    <col min="6145" max="6146" width="5.28515625" style="937" customWidth="1"/>
    <col min="6147" max="6147" width="44.7109375" style="937" customWidth="1"/>
    <col min="6148" max="6148" width="6.140625" style="937" customWidth="1"/>
    <col min="6149" max="6149" width="7.7109375" style="937" customWidth="1"/>
    <col min="6150" max="6150" width="6" style="937" bestFit="1" customWidth="1"/>
    <col min="6151" max="6151" width="5.5703125" style="937" customWidth="1"/>
    <col min="6152" max="6152" width="13.5703125" style="937" customWidth="1"/>
    <col min="6153" max="6153" width="14.7109375" style="937" customWidth="1"/>
    <col min="6154" max="6154" width="15.7109375" style="937" customWidth="1"/>
    <col min="6155" max="6155" width="14.140625" style="937" customWidth="1"/>
    <col min="6156" max="6156" width="16.140625" style="937" customWidth="1"/>
    <col min="6157" max="6157" width="14.7109375" style="937" customWidth="1"/>
    <col min="6158" max="6158" width="15.85546875" style="937" customWidth="1"/>
    <col min="6159" max="6159" width="13" style="937" customWidth="1"/>
    <col min="6160" max="6160" width="16.28515625" style="937" customWidth="1"/>
    <col min="6161" max="6161" width="14.140625" style="937" customWidth="1"/>
    <col min="6162" max="6162" width="14.5703125" style="937" customWidth="1"/>
    <col min="6163" max="6163" width="15" style="937" customWidth="1"/>
    <col min="6164" max="6164" width="14.7109375" style="937" customWidth="1"/>
    <col min="6165" max="6165" width="14.28515625" style="937" customWidth="1"/>
    <col min="6166" max="6166" width="14.140625" style="937" customWidth="1"/>
    <col min="6167" max="6167" width="14.28515625" style="937" bestFit="1" customWidth="1"/>
    <col min="6168" max="6168" width="15.28515625" style="937" customWidth="1"/>
    <col min="6169" max="6169" width="10.7109375" style="937" bestFit="1" customWidth="1"/>
    <col min="6170" max="6170" width="14" style="937" customWidth="1"/>
    <col min="6171" max="6171" width="10.7109375" style="937" bestFit="1" customWidth="1"/>
    <col min="6172" max="6400" width="9.140625" style="937"/>
    <col min="6401" max="6402" width="5.28515625" style="937" customWidth="1"/>
    <col min="6403" max="6403" width="44.7109375" style="937" customWidth="1"/>
    <col min="6404" max="6404" width="6.140625" style="937" customWidth="1"/>
    <col min="6405" max="6405" width="7.7109375" style="937" customWidth="1"/>
    <col min="6406" max="6406" width="6" style="937" bestFit="1" customWidth="1"/>
    <col min="6407" max="6407" width="5.5703125" style="937" customWidth="1"/>
    <col min="6408" max="6408" width="13.5703125" style="937" customWidth="1"/>
    <col min="6409" max="6409" width="14.7109375" style="937" customWidth="1"/>
    <col min="6410" max="6410" width="15.7109375" style="937" customWidth="1"/>
    <col min="6411" max="6411" width="14.140625" style="937" customWidth="1"/>
    <col min="6412" max="6412" width="16.140625" style="937" customWidth="1"/>
    <col min="6413" max="6413" width="14.7109375" style="937" customWidth="1"/>
    <col min="6414" max="6414" width="15.85546875" style="937" customWidth="1"/>
    <col min="6415" max="6415" width="13" style="937" customWidth="1"/>
    <col min="6416" max="6416" width="16.28515625" style="937" customWidth="1"/>
    <col min="6417" max="6417" width="14.140625" style="937" customWidth="1"/>
    <col min="6418" max="6418" width="14.5703125" style="937" customWidth="1"/>
    <col min="6419" max="6419" width="15" style="937" customWidth="1"/>
    <col min="6420" max="6420" width="14.7109375" style="937" customWidth="1"/>
    <col min="6421" max="6421" width="14.28515625" style="937" customWidth="1"/>
    <col min="6422" max="6422" width="14.140625" style="937" customWidth="1"/>
    <col min="6423" max="6423" width="14.28515625" style="937" bestFit="1" customWidth="1"/>
    <col min="6424" max="6424" width="15.28515625" style="937" customWidth="1"/>
    <col min="6425" max="6425" width="10.7109375" style="937" bestFit="1" customWidth="1"/>
    <col min="6426" max="6426" width="14" style="937" customWidth="1"/>
    <col min="6427" max="6427" width="10.7109375" style="937" bestFit="1" customWidth="1"/>
    <col min="6428" max="6656" width="9.140625" style="937"/>
    <col min="6657" max="6658" width="5.28515625" style="937" customWidth="1"/>
    <col min="6659" max="6659" width="44.7109375" style="937" customWidth="1"/>
    <col min="6660" max="6660" width="6.140625" style="937" customWidth="1"/>
    <col min="6661" max="6661" width="7.7109375" style="937" customWidth="1"/>
    <col min="6662" max="6662" width="6" style="937" bestFit="1" customWidth="1"/>
    <col min="6663" max="6663" width="5.5703125" style="937" customWidth="1"/>
    <col min="6664" max="6664" width="13.5703125" style="937" customWidth="1"/>
    <col min="6665" max="6665" width="14.7109375" style="937" customWidth="1"/>
    <col min="6666" max="6666" width="15.7109375" style="937" customWidth="1"/>
    <col min="6667" max="6667" width="14.140625" style="937" customWidth="1"/>
    <col min="6668" max="6668" width="16.140625" style="937" customWidth="1"/>
    <col min="6669" max="6669" width="14.7109375" style="937" customWidth="1"/>
    <col min="6670" max="6670" width="15.85546875" style="937" customWidth="1"/>
    <col min="6671" max="6671" width="13" style="937" customWidth="1"/>
    <col min="6672" max="6672" width="16.28515625" style="937" customWidth="1"/>
    <col min="6673" max="6673" width="14.140625" style="937" customWidth="1"/>
    <col min="6674" max="6674" width="14.5703125" style="937" customWidth="1"/>
    <col min="6675" max="6675" width="15" style="937" customWidth="1"/>
    <col min="6676" max="6676" width="14.7109375" style="937" customWidth="1"/>
    <col min="6677" max="6677" width="14.28515625" style="937" customWidth="1"/>
    <col min="6678" max="6678" width="14.140625" style="937" customWidth="1"/>
    <col min="6679" max="6679" width="14.28515625" style="937" bestFit="1" customWidth="1"/>
    <col min="6680" max="6680" width="15.28515625" style="937" customWidth="1"/>
    <col min="6681" max="6681" width="10.7109375" style="937" bestFit="1" customWidth="1"/>
    <col min="6682" max="6682" width="14" style="937" customWidth="1"/>
    <col min="6683" max="6683" width="10.7109375" style="937" bestFit="1" customWidth="1"/>
    <col min="6684" max="6912" width="9.140625" style="937"/>
    <col min="6913" max="6914" width="5.28515625" style="937" customWidth="1"/>
    <col min="6915" max="6915" width="44.7109375" style="937" customWidth="1"/>
    <col min="6916" max="6916" width="6.140625" style="937" customWidth="1"/>
    <col min="6917" max="6917" width="7.7109375" style="937" customWidth="1"/>
    <col min="6918" max="6918" width="6" style="937" bestFit="1" customWidth="1"/>
    <col min="6919" max="6919" width="5.5703125" style="937" customWidth="1"/>
    <col min="6920" max="6920" width="13.5703125" style="937" customWidth="1"/>
    <col min="6921" max="6921" width="14.7109375" style="937" customWidth="1"/>
    <col min="6922" max="6922" width="15.7109375" style="937" customWidth="1"/>
    <col min="6923" max="6923" width="14.140625" style="937" customWidth="1"/>
    <col min="6924" max="6924" width="16.140625" style="937" customWidth="1"/>
    <col min="6925" max="6925" width="14.7109375" style="937" customWidth="1"/>
    <col min="6926" max="6926" width="15.85546875" style="937" customWidth="1"/>
    <col min="6927" max="6927" width="13" style="937" customWidth="1"/>
    <col min="6928" max="6928" width="16.28515625" style="937" customWidth="1"/>
    <col min="6929" max="6929" width="14.140625" style="937" customWidth="1"/>
    <col min="6930" max="6930" width="14.5703125" style="937" customWidth="1"/>
    <col min="6931" max="6931" width="15" style="937" customWidth="1"/>
    <col min="6932" max="6932" width="14.7109375" style="937" customWidth="1"/>
    <col min="6933" max="6933" width="14.28515625" style="937" customWidth="1"/>
    <col min="6934" max="6934" width="14.140625" style="937" customWidth="1"/>
    <col min="6935" max="6935" width="14.28515625" style="937" bestFit="1" customWidth="1"/>
    <col min="6936" max="6936" width="15.28515625" style="937" customWidth="1"/>
    <col min="6937" max="6937" width="10.7109375" style="937" bestFit="1" customWidth="1"/>
    <col min="6938" max="6938" width="14" style="937" customWidth="1"/>
    <col min="6939" max="6939" width="10.7109375" style="937" bestFit="1" customWidth="1"/>
    <col min="6940" max="7168" width="9.140625" style="937"/>
    <col min="7169" max="7170" width="5.28515625" style="937" customWidth="1"/>
    <col min="7171" max="7171" width="44.7109375" style="937" customWidth="1"/>
    <col min="7172" max="7172" width="6.140625" style="937" customWidth="1"/>
    <col min="7173" max="7173" width="7.7109375" style="937" customWidth="1"/>
    <col min="7174" max="7174" width="6" style="937" bestFit="1" customWidth="1"/>
    <col min="7175" max="7175" width="5.5703125" style="937" customWidth="1"/>
    <col min="7176" max="7176" width="13.5703125" style="937" customWidth="1"/>
    <col min="7177" max="7177" width="14.7109375" style="937" customWidth="1"/>
    <col min="7178" max="7178" width="15.7109375" style="937" customWidth="1"/>
    <col min="7179" max="7179" width="14.140625" style="937" customWidth="1"/>
    <col min="7180" max="7180" width="16.140625" style="937" customWidth="1"/>
    <col min="7181" max="7181" width="14.7109375" style="937" customWidth="1"/>
    <col min="7182" max="7182" width="15.85546875" style="937" customWidth="1"/>
    <col min="7183" max="7183" width="13" style="937" customWidth="1"/>
    <col min="7184" max="7184" width="16.28515625" style="937" customWidth="1"/>
    <col min="7185" max="7185" width="14.140625" style="937" customWidth="1"/>
    <col min="7186" max="7186" width="14.5703125" style="937" customWidth="1"/>
    <col min="7187" max="7187" width="15" style="937" customWidth="1"/>
    <col min="7188" max="7188" width="14.7109375" style="937" customWidth="1"/>
    <col min="7189" max="7189" width="14.28515625" style="937" customWidth="1"/>
    <col min="7190" max="7190" width="14.140625" style="937" customWidth="1"/>
    <col min="7191" max="7191" width="14.28515625" style="937" bestFit="1" customWidth="1"/>
    <col min="7192" max="7192" width="15.28515625" style="937" customWidth="1"/>
    <col min="7193" max="7193" width="10.7109375" style="937" bestFit="1" customWidth="1"/>
    <col min="7194" max="7194" width="14" style="937" customWidth="1"/>
    <col min="7195" max="7195" width="10.7109375" style="937" bestFit="1" customWidth="1"/>
    <col min="7196" max="7424" width="9.140625" style="937"/>
    <col min="7425" max="7426" width="5.28515625" style="937" customWidth="1"/>
    <col min="7427" max="7427" width="44.7109375" style="937" customWidth="1"/>
    <col min="7428" max="7428" width="6.140625" style="937" customWidth="1"/>
    <col min="7429" max="7429" width="7.7109375" style="937" customWidth="1"/>
    <col min="7430" max="7430" width="6" style="937" bestFit="1" customWidth="1"/>
    <col min="7431" max="7431" width="5.5703125" style="937" customWidth="1"/>
    <col min="7432" max="7432" width="13.5703125" style="937" customWidth="1"/>
    <col min="7433" max="7433" width="14.7109375" style="937" customWidth="1"/>
    <col min="7434" max="7434" width="15.7109375" style="937" customWidth="1"/>
    <col min="7435" max="7435" width="14.140625" style="937" customWidth="1"/>
    <col min="7436" max="7436" width="16.140625" style="937" customWidth="1"/>
    <col min="7437" max="7437" width="14.7109375" style="937" customWidth="1"/>
    <col min="7438" max="7438" width="15.85546875" style="937" customWidth="1"/>
    <col min="7439" max="7439" width="13" style="937" customWidth="1"/>
    <col min="7440" max="7440" width="16.28515625" style="937" customWidth="1"/>
    <col min="7441" max="7441" width="14.140625" style="937" customWidth="1"/>
    <col min="7442" max="7442" width="14.5703125" style="937" customWidth="1"/>
    <col min="7443" max="7443" width="15" style="937" customWidth="1"/>
    <col min="7444" max="7444" width="14.7109375" style="937" customWidth="1"/>
    <col min="7445" max="7445" width="14.28515625" style="937" customWidth="1"/>
    <col min="7446" max="7446" width="14.140625" style="937" customWidth="1"/>
    <col min="7447" max="7447" width="14.28515625" style="937" bestFit="1" customWidth="1"/>
    <col min="7448" max="7448" width="15.28515625" style="937" customWidth="1"/>
    <col min="7449" max="7449" width="10.7109375" style="937" bestFit="1" customWidth="1"/>
    <col min="7450" max="7450" width="14" style="937" customWidth="1"/>
    <col min="7451" max="7451" width="10.7109375" style="937" bestFit="1" customWidth="1"/>
    <col min="7452" max="7680" width="9.140625" style="937"/>
    <col min="7681" max="7682" width="5.28515625" style="937" customWidth="1"/>
    <col min="7683" max="7683" width="44.7109375" style="937" customWidth="1"/>
    <col min="7684" max="7684" width="6.140625" style="937" customWidth="1"/>
    <col min="7685" max="7685" width="7.7109375" style="937" customWidth="1"/>
    <col min="7686" max="7686" width="6" style="937" bestFit="1" customWidth="1"/>
    <col min="7687" max="7687" width="5.5703125" style="937" customWidth="1"/>
    <col min="7688" max="7688" width="13.5703125" style="937" customWidth="1"/>
    <col min="7689" max="7689" width="14.7109375" style="937" customWidth="1"/>
    <col min="7690" max="7690" width="15.7109375" style="937" customWidth="1"/>
    <col min="7691" max="7691" width="14.140625" style="937" customWidth="1"/>
    <col min="7692" max="7692" width="16.140625" style="937" customWidth="1"/>
    <col min="7693" max="7693" width="14.7109375" style="937" customWidth="1"/>
    <col min="7694" max="7694" width="15.85546875" style="937" customWidth="1"/>
    <col min="7695" max="7695" width="13" style="937" customWidth="1"/>
    <col min="7696" max="7696" width="16.28515625" style="937" customWidth="1"/>
    <col min="7697" max="7697" width="14.140625" style="937" customWidth="1"/>
    <col min="7698" max="7698" width="14.5703125" style="937" customWidth="1"/>
    <col min="7699" max="7699" width="15" style="937" customWidth="1"/>
    <col min="7700" max="7700" width="14.7109375" style="937" customWidth="1"/>
    <col min="7701" max="7701" width="14.28515625" style="937" customWidth="1"/>
    <col min="7702" max="7702" width="14.140625" style="937" customWidth="1"/>
    <col min="7703" max="7703" width="14.28515625" style="937" bestFit="1" customWidth="1"/>
    <col min="7704" max="7704" width="15.28515625" style="937" customWidth="1"/>
    <col min="7705" max="7705" width="10.7109375" style="937" bestFit="1" customWidth="1"/>
    <col min="7706" max="7706" width="14" style="937" customWidth="1"/>
    <col min="7707" max="7707" width="10.7109375" style="937" bestFit="1" customWidth="1"/>
    <col min="7708" max="7936" width="9.140625" style="937"/>
    <col min="7937" max="7938" width="5.28515625" style="937" customWidth="1"/>
    <col min="7939" max="7939" width="44.7109375" style="937" customWidth="1"/>
    <col min="7940" max="7940" width="6.140625" style="937" customWidth="1"/>
    <col min="7941" max="7941" width="7.7109375" style="937" customWidth="1"/>
    <col min="7942" max="7942" width="6" style="937" bestFit="1" customWidth="1"/>
    <col min="7943" max="7943" width="5.5703125" style="937" customWidth="1"/>
    <col min="7944" max="7944" width="13.5703125" style="937" customWidth="1"/>
    <col min="7945" max="7945" width="14.7109375" style="937" customWidth="1"/>
    <col min="7946" max="7946" width="15.7109375" style="937" customWidth="1"/>
    <col min="7947" max="7947" width="14.140625" style="937" customWidth="1"/>
    <col min="7948" max="7948" width="16.140625" style="937" customWidth="1"/>
    <col min="7949" max="7949" width="14.7109375" style="937" customWidth="1"/>
    <col min="7950" max="7950" width="15.85546875" style="937" customWidth="1"/>
    <col min="7951" max="7951" width="13" style="937" customWidth="1"/>
    <col min="7952" max="7952" width="16.28515625" style="937" customWidth="1"/>
    <col min="7953" max="7953" width="14.140625" style="937" customWidth="1"/>
    <col min="7954" max="7954" width="14.5703125" style="937" customWidth="1"/>
    <col min="7955" max="7955" width="15" style="937" customWidth="1"/>
    <col min="7956" max="7956" width="14.7109375" style="937" customWidth="1"/>
    <col min="7957" max="7957" width="14.28515625" style="937" customWidth="1"/>
    <col min="7958" max="7958" width="14.140625" style="937" customWidth="1"/>
    <col min="7959" max="7959" width="14.28515625" style="937" bestFit="1" customWidth="1"/>
    <col min="7960" max="7960" width="15.28515625" style="937" customWidth="1"/>
    <col min="7961" max="7961" width="10.7109375" style="937" bestFit="1" customWidth="1"/>
    <col min="7962" max="7962" width="14" style="937" customWidth="1"/>
    <col min="7963" max="7963" width="10.7109375" style="937" bestFit="1" customWidth="1"/>
    <col min="7964" max="8192" width="9.140625" style="937"/>
    <col min="8193" max="8194" width="5.28515625" style="937" customWidth="1"/>
    <col min="8195" max="8195" width="44.7109375" style="937" customWidth="1"/>
    <col min="8196" max="8196" width="6.140625" style="937" customWidth="1"/>
    <col min="8197" max="8197" width="7.7109375" style="937" customWidth="1"/>
    <col min="8198" max="8198" width="6" style="937" bestFit="1" customWidth="1"/>
    <col min="8199" max="8199" width="5.5703125" style="937" customWidth="1"/>
    <col min="8200" max="8200" width="13.5703125" style="937" customWidth="1"/>
    <col min="8201" max="8201" width="14.7109375" style="937" customWidth="1"/>
    <col min="8202" max="8202" width="15.7109375" style="937" customWidth="1"/>
    <col min="8203" max="8203" width="14.140625" style="937" customWidth="1"/>
    <col min="8204" max="8204" width="16.140625" style="937" customWidth="1"/>
    <col min="8205" max="8205" width="14.7109375" style="937" customWidth="1"/>
    <col min="8206" max="8206" width="15.85546875" style="937" customWidth="1"/>
    <col min="8207" max="8207" width="13" style="937" customWidth="1"/>
    <col min="8208" max="8208" width="16.28515625" style="937" customWidth="1"/>
    <col min="8209" max="8209" width="14.140625" style="937" customWidth="1"/>
    <col min="8210" max="8210" width="14.5703125" style="937" customWidth="1"/>
    <col min="8211" max="8211" width="15" style="937" customWidth="1"/>
    <col min="8212" max="8212" width="14.7109375" style="937" customWidth="1"/>
    <col min="8213" max="8213" width="14.28515625" style="937" customWidth="1"/>
    <col min="8214" max="8214" width="14.140625" style="937" customWidth="1"/>
    <col min="8215" max="8215" width="14.28515625" style="937" bestFit="1" customWidth="1"/>
    <col min="8216" max="8216" width="15.28515625" style="937" customWidth="1"/>
    <col min="8217" max="8217" width="10.7109375" style="937" bestFit="1" customWidth="1"/>
    <col min="8218" max="8218" width="14" style="937" customWidth="1"/>
    <col min="8219" max="8219" width="10.7109375" style="937" bestFit="1" customWidth="1"/>
    <col min="8220" max="8448" width="9.140625" style="937"/>
    <col min="8449" max="8450" width="5.28515625" style="937" customWidth="1"/>
    <col min="8451" max="8451" width="44.7109375" style="937" customWidth="1"/>
    <col min="8452" max="8452" width="6.140625" style="937" customWidth="1"/>
    <col min="8453" max="8453" width="7.7109375" style="937" customWidth="1"/>
    <col min="8454" max="8454" width="6" style="937" bestFit="1" customWidth="1"/>
    <col min="8455" max="8455" width="5.5703125" style="937" customWidth="1"/>
    <col min="8456" max="8456" width="13.5703125" style="937" customWidth="1"/>
    <col min="8457" max="8457" width="14.7109375" style="937" customWidth="1"/>
    <col min="8458" max="8458" width="15.7109375" style="937" customWidth="1"/>
    <col min="8459" max="8459" width="14.140625" style="937" customWidth="1"/>
    <col min="8460" max="8460" width="16.140625" style="937" customWidth="1"/>
    <col min="8461" max="8461" width="14.7109375" style="937" customWidth="1"/>
    <col min="8462" max="8462" width="15.85546875" style="937" customWidth="1"/>
    <col min="8463" max="8463" width="13" style="937" customWidth="1"/>
    <col min="8464" max="8464" width="16.28515625" style="937" customWidth="1"/>
    <col min="8465" max="8465" width="14.140625" style="937" customWidth="1"/>
    <col min="8466" max="8466" width="14.5703125" style="937" customWidth="1"/>
    <col min="8467" max="8467" width="15" style="937" customWidth="1"/>
    <col min="8468" max="8468" width="14.7109375" style="937" customWidth="1"/>
    <col min="8469" max="8469" width="14.28515625" style="937" customWidth="1"/>
    <col min="8470" max="8470" width="14.140625" style="937" customWidth="1"/>
    <col min="8471" max="8471" width="14.28515625" style="937" bestFit="1" customWidth="1"/>
    <col min="8472" max="8472" width="15.28515625" style="937" customWidth="1"/>
    <col min="8473" max="8473" width="10.7109375" style="937" bestFit="1" customWidth="1"/>
    <col min="8474" max="8474" width="14" style="937" customWidth="1"/>
    <col min="8475" max="8475" width="10.7109375" style="937" bestFit="1" customWidth="1"/>
    <col min="8476" max="8704" width="9.140625" style="937"/>
    <col min="8705" max="8706" width="5.28515625" style="937" customWidth="1"/>
    <col min="8707" max="8707" width="44.7109375" style="937" customWidth="1"/>
    <col min="8708" max="8708" width="6.140625" style="937" customWidth="1"/>
    <col min="8709" max="8709" width="7.7109375" style="937" customWidth="1"/>
    <col min="8710" max="8710" width="6" style="937" bestFit="1" customWidth="1"/>
    <col min="8711" max="8711" width="5.5703125" style="937" customWidth="1"/>
    <col min="8712" max="8712" width="13.5703125" style="937" customWidth="1"/>
    <col min="8713" max="8713" width="14.7109375" style="937" customWidth="1"/>
    <col min="8714" max="8714" width="15.7109375" style="937" customWidth="1"/>
    <col min="8715" max="8715" width="14.140625" style="937" customWidth="1"/>
    <col min="8716" max="8716" width="16.140625" style="937" customWidth="1"/>
    <col min="8717" max="8717" width="14.7109375" style="937" customWidth="1"/>
    <col min="8718" max="8718" width="15.85546875" style="937" customWidth="1"/>
    <col min="8719" max="8719" width="13" style="937" customWidth="1"/>
    <col min="8720" max="8720" width="16.28515625" style="937" customWidth="1"/>
    <col min="8721" max="8721" width="14.140625" style="937" customWidth="1"/>
    <col min="8722" max="8722" width="14.5703125" style="937" customWidth="1"/>
    <col min="8723" max="8723" width="15" style="937" customWidth="1"/>
    <col min="8724" max="8724" width="14.7109375" style="937" customWidth="1"/>
    <col min="8725" max="8725" width="14.28515625" style="937" customWidth="1"/>
    <col min="8726" max="8726" width="14.140625" style="937" customWidth="1"/>
    <col min="8727" max="8727" width="14.28515625" style="937" bestFit="1" customWidth="1"/>
    <col min="8728" max="8728" width="15.28515625" style="937" customWidth="1"/>
    <col min="8729" max="8729" width="10.7109375" style="937" bestFit="1" customWidth="1"/>
    <col min="8730" max="8730" width="14" style="937" customWidth="1"/>
    <col min="8731" max="8731" width="10.7109375" style="937" bestFit="1" customWidth="1"/>
    <col min="8732" max="8960" width="9.140625" style="937"/>
    <col min="8961" max="8962" width="5.28515625" style="937" customWidth="1"/>
    <col min="8963" max="8963" width="44.7109375" style="937" customWidth="1"/>
    <col min="8964" max="8964" width="6.140625" style="937" customWidth="1"/>
    <col min="8965" max="8965" width="7.7109375" style="937" customWidth="1"/>
    <col min="8966" max="8966" width="6" style="937" bestFit="1" customWidth="1"/>
    <col min="8967" max="8967" width="5.5703125" style="937" customWidth="1"/>
    <col min="8968" max="8968" width="13.5703125" style="937" customWidth="1"/>
    <col min="8969" max="8969" width="14.7109375" style="937" customWidth="1"/>
    <col min="8970" max="8970" width="15.7109375" style="937" customWidth="1"/>
    <col min="8971" max="8971" width="14.140625" style="937" customWidth="1"/>
    <col min="8972" max="8972" width="16.140625" style="937" customWidth="1"/>
    <col min="8973" max="8973" width="14.7109375" style="937" customWidth="1"/>
    <col min="8974" max="8974" width="15.85546875" style="937" customWidth="1"/>
    <col min="8975" max="8975" width="13" style="937" customWidth="1"/>
    <col min="8976" max="8976" width="16.28515625" style="937" customWidth="1"/>
    <col min="8977" max="8977" width="14.140625" style="937" customWidth="1"/>
    <col min="8978" max="8978" width="14.5703125" style="937" customWidth="1"/>
    <col min="8979" max="8979" width="15" style="937" customWidth="1"/>
    <col min="8980" max="8980" width="14.7109375" style="937" customWidth="1"/>
    <col min="8981" max="8981" width="14.28515625" style="937" customWidth="1"/>
    <col min="8982" max="8982" width="14.140625" style="937" customWidth="1"/>
    <col min="8983" max="8983" width="14.28515625" style="937" bestFit="1" customWidth="1"/>
    <col min="8984" max="8984" width="15.28515625" style="937" customWidth="1"/>
    <col min="8985" max="8985" width="10.7109375" style="937" bestFit="1" customWidth="1"/>
    <col min="8986" max="8986" width="14" style="937" customWidth="1"/>
    <col min="8987" max="8987" width="10.7109375" style="937" bestFit="1" customWidth="1"/>
    <col min="8988" max="9216" width="9.140625" style="937"/>
    <col min="9217" max="9218" width="5.28515625" style="937" customWidth="1"/>
    <col min="9219" max="9219" width="44.7109375" style="937" customWidth="1"/>
    <col min="9220" max="9220" width="6.140625" style="937" customWidth="1"/>
    <col min="9221" max="9221" width="7.7109375" style="937" customWidth="1"/>
    <col min="9222" max="9222" width="6" style="937" bestFit="1" customWidth="1"/>
    <col min="9223" max="9223" width="5.5703125" style="937" customWidth="1"/>
    <col min="9224" max="9224" width="13.5703125" style="937" customWidth="1"/>
    <col min="9225" max="9225" width="14.7109375" style="937" customWidth="1"/>
    <col min="9226" max="9226" width="15.7109375" style="937" customWidth="1"/>
    <col min="9227" max="9227" width="14.140625" style="937" customWidth="1"/>
    <col min="9228" max="9228" width="16.140625" style="937" customWidth="1"/>
    <col min="9229" max="9229" width="14.7109375" style="937" customWidth="1"/>
    <col min="9230" max="9230" width="15.85546875" style="937" customWidth="1"/>
    <col min="9231" max="9231" width="13" style="937" customWidth="1"/>
    <col min="9232" max="9232" width="16.28515625" style="937" customWidth="1"/>
    <col min="9233" max="9233" width="14.140625" style="937" customWidth="1"/>
    <col min="9234" max="9234" width="14.5703125" style="937" customWidth="1"/>
    <col min="9235" max="9235" width="15" style="937" customWidth="1"/>
    <col min="9236" max="9236" width="14.7109375" style="937" customWidth="1"/>
    <col min="9237" max="9237" width="14.28515625" style="937" customWidth="1"/>
    <col min="9238" max="9238" width="14.140625" style="937" customWidth="1"/>
    <col min="9239" max="9239" width="14.28515625" style="937" bestFit="1" customWidth="1"/>
    <col min="9240" max="9240" width="15.28515625" style="937" customWidth="1"/>
    <col min="9241" max="9241" width="10.7109375" style="937" bestFit="1" customWidth="1"/>
    <col min="9242" max="9242" width="14" style="937" customWidth="1"/>
    <col min="9243" max="9243" width="10.7109375" style="937" bestFit="1" customWidth="1"/>
    <col min="9244" max="9472" width="9.140625" style="937"/>
    <col min="9473" max="9474" width="5.28515625" style="937" customWidth="1"/>
    <col min="9475" max="9475" width="44.7109375" style="937" customWidth="1"/>
    <col min="9476" max="9476" width="6.140625" style="937" customWidth="1"/>
    <col min="9477" max="9477" width="7.7109375" style="937" customWidth="1"/>
    <col min="9478" max="9478" width="6" style="937" bestFit="1" customWidth="1"/>
    <col min="9479" max="9479" width="5.5703125" style="937" customWidth="1"/>
    <col min="9480" max="9480" width="13.5703125" style="937" customWidth="1"/>
    <col min="9481" max="9481" width="14.7109375" style="937" customWidth="1"/>
    <col min="9482" max="9482" width="15.7109375" style="937" customWidth="1"/>
    <col min="9483" max="9483" width="14.140625" style="937" customWidth="1"/>
    <col min="9484" max="9484" width="16.140625" style="937" customWidth="1"/>
    <col min="9485" max="9485" width="14.7109375" style="937" customWidth="1"/>
    <col min="9486" max="9486" width="15.85546875" style="937" customWidth="1"/>
    <col min="9487" max="9487" width="13" style="937" customWidth="1"/>
    <col min="9488" max="9488" width="16.28515625" style="937" customWidth="1"/>
    <col min="9489" max="9489" width="14.140625" style="937" customWidth="1"/>
    <col min="9490" max="9490" width="14.5703125" style="937" customWidth="1"/>
    <col min="9491" max="9491" width="15" style="937" customWidth="1"/>
    <col min="9492" max="9492" width="14.7109375" style="937" customWidth="1"/>
    <col min="9493" max="9493" width="14.28515625" style="937" customWidth="1"/>
    <col min="9494" max="9494" width="14.140625" style="937" customWidth="1"/>
    <col min="9495" max="9495" width="14.28515625" style="937" bestFit="1" customWidth="1"/>
    <col min="9496" max="9496" width="15.28515625" style="937" customWidth="1"/>
    <col min="9497" max="9497" width="10.7109375" style="937" bestFit="1" customWidth="1"/>
    <col min="9498" max="9498" width="14" style="937" customWidth="1"/>
    <col min="9499" max="9499" width="10.7109375" style="937" bestFit="1" customWidth="1"/>
    <col min="9500" max="9728" width="9.140625" style="937"/>
    <col min="9729" max="9730" width="5.28515625" style="937" customWidth="1"/>
    <col min="9731" max="9731" width="44.7109375" style="937" customWidth="1"/>
    <col min="9732" max="9732" width="6.140625" style="937" customWidth="1"/>
    <col min="9733" max="9733" width="7.7109375" style="937" customWidth="1"/>
    <col min="9734" max="9734" width="6" style="937" bestFit="1" customWidth="1"/>
    <col min="9735" max="9735" width="5.5703125" style="937" customWidth="1"/>
    <col min="9736" max="9736" width="13.5703125" style="937" customWidth="1"/>
    <col min="9737" max="9737" width="14.7109375" style="937" customWidth="1"/>
    <col min="9738" max="9738" width="15.7109375" style="937" customWidth="1"/>
    <col min="9739" max="9739" width="14.140625" style="937" customWidth="1"/>
    <col min="9740" max="9740" width="16.140625" style="937" customWidth="1"/>
    <col min="9741" max="9741" width="14.7109375" style="937" customWidth="1"/>
    <col min="9742" max="9742" width="15.85546875" style="937" customWidth="1"/>
    <col min="9743" max="9743" width="13" style="937" customWidth="1"/>
    <col min="9744" max="9744" width="16.28515625" style="937" customWidth="1"/>
    <col min="9745" max="9745" width="14.140625" style="937" customWidth="1"/>
    <col min="9746" max="9746" width="14.5703125" style="937" customWidth="1"/>
    <col min="9747" max="9747" width="15" style="937" customWidth="1"/>
    <col min="9748" max="9748" width="14.7109375" style="937" customWidth="1"/>
    <col min="9749" max="9749" width="14.28515625" style="937" customWidth="1"/>
    <col min="9750" max="9750" width="14.140625" style="937" customWidth="1"/>
    <col min="9751" max="9751" width="14.28515625" style="937" bestFit="1" customWidth="1"/>
    <col min="9752" max="9752" width="15.28515625" style="937" customWidth="1"/>
    <col min="9753" max="9753" width="10.7109375" style="937" bestFit="1" customWidth="1"/>
    <col min="9754" max="9754" width="14" style="937" customWidth="1"/>
    <col min="9755" max="9755" width="10.7109375" style="937" bestFit="1" customWidth="1"/>
    <col min="9756" max="9984" width="9.140625" style="937"/>
    <col min="9985" max="9986" width="5.28515625" style="937" customWidth="1"/>
    <col min="9987" max="9987" width="44.7109375" style="937" customWidth="1"/>
    <col min="9988" max="9988" width="6.140625" style="937" customWidth="1"/>
    <col min="9989" max="9989" width="7.7109375" style="937" customWidth="1"/>
    <col min="9990" max="9990" width="6" style="937" bestFit="1" customWidth="1"/>
    <col min="9991" max="9991" width="5.5703125" style="937" customWidth="1"/>
    <col min="9992" max="9992" width="13.5703125" style="937" customWidth="1"/>
    <col min="9993" max="9993" width="14.7109375" style="937" customWidth="1"/>
    <col min="9994" max="9994" width="15.7109375" style="937" customWidth="1"/>
    <col min="9995" max="9995" width="14.140625" style="937" customWidth="1"/>
    <col min="9996" max="9996" width="16.140625" style="937" customWidth="1"/>
    <col min="9997" max="9997" width="14.7109375" style="937" customWidth="1"/>
    <col min="9998" max="9998" width="15.85546875" style="937" customWidth="1"/>
    <col min="9999" max="9999" width="13" style="937" customWidth="1"/>
    <col min="10000" max="10000" width="16.28515625" style="937" customWidth="1"/>
    <col min="10001" max="10001" width="14.140625" style="937" customWidth="1"/>
    <col min="10002" max="10002" width="14.5703125" style="937" customWidth="1"/>
    <col min="10003" max="10003" width="15" style="937" customWidth="1"/>
    <col min="10004" max="10004" width="14.7109375" style="937" customWidth="1"/>
    <col min="10005" max="10005" width="14.28515625" style="937" customWidth="1"/>
    <col min="10006" max="10006" width="14.140625" style="937" customWidth="1"/>
    <col min="10007" max="10007" width="14.28515625" style="937" bestFit="1" customWidth="1"/>
    <col min="10008" max="10008" width="15.28515625" style="937" customWidth="1"/>
    <col min="10009" max="10009" width="10.7109375" style="937" bestFit="1" customWidth="1"/>
    <col min="10010" max="10010" width="14" style="937" customWidth="1"/>
    <col min="10011" max="10011" width="10.7109375" style="937" bestFit="1" customWidth="1"/>
    <col min="10012" max="10240" width="9.140625" style="937"/>
    <col min="10241" max="10242" width="5.28515625" style="937" customWidth="1"/>
    <col min="10243" max="10243" width="44.7109375" style="937" customWidth="1"/>
    <col min="10244" max="10244" width="6.140625" style="937" customWidth="1"/>
    <col min="10245" max="10245" width="7.7109375" style="937" customWidth="1"/>
    <col min="10246" max="10246" width="6" style="937" bestFit="1" customWidth="1"/>
    <col min="10247" max="10247" width="5.5703125" style="937" customWidth="1"/>
    <col min="10248" max="10248" width="13.5703125" style="937" customWidth="1"/>
    <col min="10249" max="10249" width="14.7109375" style="937" customWidth="1"/>
    <col min="10250" max="10250" width="15.7109375" style="937" customWidth="1"/>
    <col min="10251" max="10251" width="14.140625" style="937" customWidth="1"/>
    <col min="10252" max="10252" width="16.140625" style="937" customWidth="1"/>
    <col min="10253" max="10253" width="14.7109375" style="937" customWidth="1"/>
    <col min="10254" max="10254" width="15.85546875" style="937" customWidth="1"/>
    <col min="10255" max="10255" width="13" style="937" customWidth="1"/>
    <col min="10256" max="10256" width="16.28515625" style="937" customWidth="1"/>
    <col min="10257" max="10257" width="14.140625" style="937" customWidth="1"/>
    <col min="10258" max="10258" width="14.5703125" style="937" customWidth="1"/>
    <col min="10259" max="10259" width="15" style="937" customWidth="1"/>
    <col min="10260" max="10260" width="14.7109375" style="937" customWidth="1"/>
    <col min="10261" max="10261" width="14.28515625" style="937" customWidth="1"/>
    <col min="10262" max="10262" width="14.140625" style="937" customWidth="1"/>
    <col min="10263" max="10263" width="14.28515625" style="937" bestFit="1" customWidth="1"/>
    <col min="10264" max="10264" width="15.28515625" style="937" customWidth="1"/>
    <col min="10265" max="10265" width="10.7109375" style="937" bestFit="1" customWidth="1"/>
    <col min="10266" max="10266" width="14" style="937" customWidth="1"/>
    <col min="10267" max="10267" width="10.7109375" style="937" bestFit="1" customWidth="1"/>
    <col min="10268" max="10496" width="9.140625" style="937"/>
    <col min="10497" max="10498" width="5.28515625" style="937" customWidth="1"/>
    <col min="10499" max="10499" width="44.7109375" style="937" customWidth="1"/>
    <col min="10500" max="10500" width="6.140625" style="937" customWidth="1"/>
    <col min="10501" max="10501" width="7.7109375" style="937" customWidth="1"/>
    <col min="10502" max="10502" width="6" style="937" bestFit="1" customWidth="1"/>
    <col min="10503" max="10503" width="5.5703125" style="937" customWidth="1"/>
    <col min="10504" max="10504" width="13.5703125" style="937" customWidth="1"/>
    <col min="10505" max="10505" width="14.7109375" style="937" customWidth="1"/>
    <col min="10506" max="10506" width="15.7109375" style="937" customWidth="1"/>
    <col min="10507" max="10507" width="14.140625" style="937" customWidth="1"/>
    <col min="10508" max="10508" width="16.140625" style="937" customWidth="1"/>
    <col min="10509" max="10509" width="14.7109375" style="937" customWidth="1"/>
    <col min="10510" max="10510" width="15.85546875" style="937" customWidth="1"/>
    <col min="10511" max="10511" width="13" style="937" customWidth="1"/>
    <col min="10512" max="10512" width="16.28515625" style="937" customWidth="1"/>
    <col min="10513" max="10513" width="14.140625" style="937" customWidth="1"/>
    <col min="10514" max="10514" width="14.5703125" style="937" customWidth="1"/>
    <col min="10515" max="10515" width="15" style="937" customWidth="1"/>
    <col min="10516" max="10516" width="14.7109375" style="937" customWidth="1"/>
    <col min="10517" max="10517" width="14.28515625" style="937" customWidth="1"/>
    <col min="10518" max="10518" width="14.140625" style="937" customWidth="1"/>
    <col min="10519" max="10519" width="14.28515625" style="937" bestFit="1" customWidth="1"/>
    <col min="10520" max="10520" width="15.28515625" style="937" customWidth="1"/>
    <col min="10521" max="10521" width="10.7109375" style="937" bestFit="1" customWidth="1"/>
    <col min="10522" max="10522" width="14" style="937" customWidth="1"/>
    <col min="10523" max="10523" width="10.7109375" style="937" bestFit="1" customWidth="1"/>
    <col min="10524" max="10752" width="9.140625" style="937"/>
    <col min="10753" max="10754" width="5.28515625" style="937" customWidth="1"/>
    <col min="10755" max="10755" width="44.7109375" style="937" customWidth="1"/>
    <col min="10756" max="10756" width="6.140625" style="937" customWidth="1"/>
    <col min="10757" max="10757" width="7.7109375" style="937" customWidth="1"/>
    <col min="10758" max="10758" width="6" style="937" bestFit="1" customWidth="1"/>
    <col min="10759" max="10759" width="5.5703125" style="937" customWidth="1"/>
    <col min="10760" max="10760" width="13.5703125" style="937" customWidth="1"/>
    <col min="10761" max="10761" width="14.7109375" style="937" customWidth="1"/>
    <col min="10762" max="10762" width="15.7109375" style="937" customWidth="1"/>
    <col min="10763" max="10763" width="14.140625" style="937" customWidth="1"/>
    <col min="10764" max="10764" width="16.140625" style="937" customWidth="1"/>
    <col min="10765" max="10765" width="14.7109375" style="937" customWidth="1"/>
    <col min="10766" max="10766" width="15.85546875" style="937" customWidth="1"/>
    <col min="10767" max="10767" width="13" style="937" customWidth="1"/>
    <col min="10768" max="10768" width="16.28515625" style="937" customWidth="1"/>
    <col min="10769" max="10769" width="14.140625" style="937" customWidth="1"/>
    <col min="10770" max="10770" width="14.5703125" style="937" customWidth="1"/>
    <col min="10771" max="10771" width="15" style="937" customWidth="1"/>
    <col min="10772" max="10772" width="14.7109375" style="937" customWidth="1"/>
    <col min="10773" max="10773" width="14.28515625" style="937" customWidth="1"/>
    <col min="10774" max="10774" width="14.140625" style="937" customWidth="1"/>
    <col min="10775" max="10775" width="14.28515625" style="937" bestFit="1" customWidth="1"/>
    <col min="10776" max="10776" width="15.28515625" style="937" customWidth="1"/>
    <col min="10777" max="10777" width="10.7109375" style="937" bestFit="1" customWidth="1"/>
    <col min="10778" max="10778" width="14" style="937" customWidth="1"/>
    <col min="10779" max="10779" width="10.7109375" style="937" bestFit="1" customWidth="1"/>
    <col min="10780" max="11008" width="9.140625" style="937"/>
    <col min="11009" max="11010" width="5.28515625" style="937" customWidth="1"/>
    <col min="11011" max="11011" width="44.7109375" style="937" customWidth="1"/>
    <col min="11012" max="11012" width="6.140625" style="937" customWidth="1"/>
    <col min="11013" max="11013" width="7.7109375" style="937" customWidth="1"/>
    <col min="11014" max="11014" width="6" style="937" bestFit="1" customWidth="1"/>
    <col min="11015" max="11015" width="5.5703125" style="937" customWidth="1"/>
    <col min="11016" max="11016" width="13.5703125" style="937" customWidth="1"/>
    <col min="11017" max="11017" width="14.7109375" style="937" customWidth="1"/>
    <col min="11018" max="11018" width="15.7109375" style="937" customWidth="1"/>
    <col min="11019" max="11019" width="14.140625" style="937" customWidth="1"/>
    <col min="11020" max="11020" width="16.140625" style="937" customWidth="1"/>
    <col min="11021" max="11021" width="14.7109375" style="937" customWidth="1"/>
    <col min="11022" max="11022" width="15.85546875" style="937" customWidth="1"/>
    <col min="11023" max="11023" width="13" style="937" customWidth="1"/>
    <col min="11024" max="11024" width="16.28515625" style="937" customWidth="1"/>
    <col min="11025" max="11025" width="14.140625" style="937" customWidth="1"/>
    <col min="11026" max="11026" width="14.5703125" style="937" customWidth="1"/>
    <col min="11027" max="11027" width="15" style="937" customWidth="1"/>
    <col min="11028" max="11028" width="14.7109375" style="937" customWidth="1"/>
    <col min="11029" max="11029" width="14.28515625" style="937" customWidth="1"/>
    <col min="11030" max="11030" width="14.140625" style="937" customWidth="1"/>
    <col min="11031" max="11031" width="14.28515625" style="937" bestFit="1" customWidth="1"/>
    <col min="11032" max="11032" width="15.28515625" style="937" customWidth="1"/>
    <col min="11033" max="11033" width="10.7109375" style="937" bestFit="1" customWidth="1"/>
    <col min="11034" max="11034" width="14" style="937" customWidth="1"/>
    <col min="11035" max="11035" width="10.7109375" style="937" bestFit="1" customWidth="1"/>
    <col min="11036" max="11264" width="9.140625" style="937"/>
    <col min="11265" max="11266" width="5.28515625" style="937" customWidth="1"/>
    <col min="11267" max="11267" width="44.7109375" style="937" customWidth="1"/>
    <col min="11268" max="11268" width="6.140625" style="937" customWidth="1"/>
    <col min="11269" max="11269" width="7.7109375" style="937" customWidth="1"/>
    <col min="11270" max="11270" width="6" style="937" bestFit="1" customWidth="1"/>
    <col min="11271" max="11271" width="5.5703125" style="937" customWidth="1"/>
    <col min="11272" max="11272" width="13.5703125" style="937" customWidth="1"/>
    <col min="11273" max="11273" width="14.7109375" style="937" customWidth="1"/>
    <col min="11274" max="11274" width="15.7109375" style="937" customWidth="1"/>
    <col min="11275" max="11275" width="14.140625" style="937" customWidth="1"/>
    <col min="11276" max="11276" width="16.140625" style="937" customWidth="1"/>
    <col min="11277" max="11277" width="14.7109375" style="937" customWidth="1"/>
    <col min="11278" max="11278" width="15.85546875" style="937" customWidth="1"/>
    <col min="11279" max="11279" width="13" style="937" customWidth="1"/>
    <col min="11280" max="11280" width="16.28515625" style="937" customWidth="1"/>
    <col min="11281" max="11281" width="14.140625" style="937" customWidth="1"/>
    <col min="11282" max="11282" width="14.5703125" style="937" customWidth="1"/>
    <col min="11283" max="11283" width="15" style="937" customWidth="1"/>
    <col min="11284" max="11284" width="14.7109375" style="937" customWidth="1"/>
    <col min="11285" max="11285" width="14.28515625" style="937" customWidth="1"/>
    <col min="11286" max="11286" width="14.140625" style="937" customWidth="1"/>
    <col min="11287" max="11287" width="14.28515625" style="937" bestFit="1" customWidth="1"/>
    <col min="11288" max="11288" width="15.28515625" style="937" customWidth="1"/>
    <col min="11289" max="11289" width="10.7109375" style="937" bestFit="1" customWidth="1"/>
    <col min="11290" max="11290" width="14" style="937" customWidth="1"/>
    <col min="11291" max="11291" width="10.7109375" style="937" bestFit="1" customWidth="1"/>
    <col min="11292" max="11520" width="9.140625" style="937"/>
    <col min="11521" max="11522" width="5.28515625" style="937" customWidth="1"/>
    <col min="11523" max="11523" width="44.7109375" style="937" customWidth="1"/>
    <col min="11524" max="11524" width="6.140625" style="937" customWidth="1"/>
    <col min="11525" max="11525" width="7.7109375" style="937" customWidth="1"/>
    <col min="11526" max="11526" width="6" style="937" bestFit="1" customWidth="1"/>
    <col min="11527" max="11527" width="5.5703125" style="937" customWidth="1"/>
    <col min="11528" max="11528" width="13.5703125" style="937" customWidth="1"/>
    <col min="11529" max="11529" width="14.7109375" style="937" customWidth="1"/>
    <col min="11530" max="11530" width="15.7109375" style="937" customWidth="1"/>
    <col min="11531" max="11531" width="14.140625" style="937" customWidth="1"/>
    <col min="11532" max="11532" width="16.140625" style="937" customWidth="1"/>
    <col min="11533" max="11533" width="14.7109375" style="937" customWidth="1"/>
    <col min="11534" max="11534" width="15.85546875" style="937" customWidth="1"/>
    <col min="11535" max="11535" width="13" style="937" customWidth="1"/>
    <col min="11536" max="11536" width="16.28515625" style="937" customWidth="1"/>
    <col min="11537" max="11537" width="14.140625" style="937" customWidth="1"/>
    <col min="11538" max="11538" width="14.5703125" style="937" customWidth="1"/>
    <col min="11539" max="11539" width="15" style="937" customWidth="1"/>
    <col min="11540" max="11540" width="14.7109375" style="937" customWidth="1"/>
    <col min="11541" max="11541" width="14.28515625" style="937" customWidth="1"/>
    <col min="11542" max="11542" width="14.140625" style="937" customWidth="1"/>
    <col min="11543" max="11543" width="14.28515625" style="937" bestFit="1" customWidth="1"/>
    <col min="11544" max="11544" width="15.28515625" style="937" customWidth="1"/>
    <col min="11545" max="11545" width="10.7109375" style="937" bestFit="1" customWidth="1"/>
    <col min="11546" max="11546" width="14" style="937" customWidth="1"/>
    <col min="11547" max="11547" width="10.7109375" style="937" bestFit="1" customWidth="1"/>
    <col min="11548" max="11776" width="9.140625" style="937"/>
    <col min="11777" max="11778" width="5.28515625" style="937" customWidth="1"/>
    <col min="11779" max="11779" width="44.7109375" style="937" customWidth="1"/>
    <col min="11780" max="11780" width="6.140625" style="937" customWidth="1"/>
    <col min="11781" max="11781" width="7.7109375" style="937" customWidth="1"/>
    <col min="11782" max="11782" width="6" style="937" bestFit="1" customWidth="1"/>
    <col min="11783" max="11783" width="5.5703125" style="937" customWidth="1"/>
    <col min="11784" max="11784" width="13.5703125" style="937" customWidth="1"/>
    <col min="11785" max="11785" width="14.7109375" style="937" customWidth="1"/>
    <col min="11786" max="11786" width="15.7109375" style="937" customWidth="1"/>
    <col min="11787" max="11787" width="14.140625" style="937" customWidth="1"/>
    <col min="11788" max="11788" width="16.140625" style="937" customWidth="1"/>
    <col min="11789" max="11789" width="14.7109375" style="937" customWidth="1"/>
    <col min="11790" max="11790" width="15.85546875" style="937" customWidth="1"/>
    <col min="11791" max="11791" width="13" style="937" customWidth="1"/>
    <col min="11792" max="11792" width="16.28515625" style="937" customWidth="1"/>
    <col min="11793" max="11793" width="14.140625" style="937" customWidth="1"/>
    <col min="11794" max="11794" width="14.5703125" style="937" customWidth="1"/>
    <col min="11795" max="11795" width="15" style="937" customWidth="1"/>
    <col min="11796" max="11796" width="14.7109375" style="937" customWidth="1"/>
    <col min="11797" max="11797" width="14.28515625" style="937" customWidth="1"/>
    <col min="11798" max="11798" width="14.140625" style="937" customWidth="1"/>
    <col min="11799" max="11799" width="14.28515625" style="937" bestFit="1" customWidth="1"/>
    <col min="11800" max="11800" width="15.28515625" style="937" customWidth="1"/>
    <col min="11801" max="11801" width="10.7109375" style="937" bestFit="1" customWidth="1"/>
    <col min="11802" max="11802" width="14" style="937" customWidth="1"/>
    <col min="11803" max="11803" width="10.7109375" style="937" bestFit="1" customWidth="1"/>
    <col min="11804" max="12032" width="9.140625" style="937"/>
    <col min="12033" max="12034" width="5.28515625" style="937" customWidth="1"/>
    <col min="12035" max="12035" width="44.7109375" style="937" customWidth="1"/>
    <col min="12036" max="12036" width="6.140625" style="937" customWidth="1"/>
    <col min="12037" max="12037" width="7.7109375" style="937" customWidth="1"/>
    <col min="12038" max="12038" width="6" style="937" bestFit="1" customWidth="1"/>
    <col min="12039" max="12039" width="5.5703125" style="937" customWidth="1"/>
    <col min="12040" max="12040" width="13.5703125" style="937" customWidth="1"/>
    <col min="12041" max="12041" width="14.7109375" style="937" customWidth="1"/>
    <col min="12042" max="12042" width="15.7109375" style="937" customWidth="1"/>
    <col min="12043" max="12043" width="14.140625" style="937" customWidth="1"/>
    <col min="12044" max="12044" width="16.140625" style="937" customWidth="1"/>
    <col min="12045" max="12045" width="14.7109375" style="937" customWidth="1"/>
    <col min="12046" max="12046" width="15.85546875" style="937" customWidth="1"/>
    <col min="12047" max="12047" width="13" style="937" customWidth="1"/>
    <col min="12048" max="12048" width="16.28515625" style="937" customWidth="1"/>
    <col min="12049" max="12049" width="14.140625" style="937" customWidth="1"/>
    <col min="12050" max="12050" width="14.5703125" style="937" customWidth="1"/>
    <col min="12051" max="12051" width="15" style="937" customWidth="1"/>
    <col min="12052" max="12052" width="14.7109375" style="937" customWidth="1"/>
    <col min="12053" max="12053" width="14.28515625" style="937" customWidth="1"/>
    <col min="12054" max="12054" width="14.140625" style="937" customWidth="1"/>
    <col min="12055" max="12055" width="14.28515625" style="937" bestFit="1" customWidth="1"/>
    <col min="12056" max="12056" width="15.28515625" style="937" customWidth="1"/>
    <col min="12057" max="12057" width="10.7109375" style="937" bestFit="1" customWidth="1"/>
    <col min="12058" max="12058" width="14" style="937" customWidth="1"/>
    <col min="12059" max="12059" width="10.7109375" style="937" bestFit="1" customWidth="1"/>
    <col min="12060" max="12288" width="9.140625" style="937"/>
    <col min="12289" max="12290" width="5.28515625" style="937" customWidth="1"/>
    <col min="12291" max="12291" width="44.7109375" style="937" customWidth="1"/>
    <col min="12292" max="12292" width="6.140625" style="937" customWidth="1"/>
    <col min="12293" max="12293" width="7.7109375" style="937" customWidth="1"/>
    <col min="12294" max="12294" width="6" style="937" bestFit="1" customWidth="1"/>
    <col min="12295" max="12295" width="5.5703125" style="937" customWidth="1"/>
    <col min="12296" max="12296" width="13.5703125" style="937" customWidth="1"/>
    <col min="12297" max="12297" width="14.7109375" style="937" customWidth="1"/>
    <col min="12298" max="12298" width="15.7109375" style="937" customWidth="1"/>
    <col min="12299" max="12299" width="14.140625" style="937" customWidth="1"/>
    <col min="12300" max="12300" width="16.140625" style="937" customWidth="1"/>
    <col min="12301" max="12301" width="14.7109375" style="937" customWidth="1"/>
    <col min="12302" max="12302" width="15.85546875" style="937" customWidth="1"/>
    <col min="12303" max="12303" width="13" style="937" customWidth="1"/>
    <col min="12304" max="12304" width="16.28515625" style="937" customWidth="1"/>
    <col min="12305" max="12305" width="14.140625" style="937" customWidth="1"/>
    <col min="12306" max="12306" width="14.5703125" style="937" customWidth="1"/>
    <col min="12307" max="12307" width="15" style="937" customWidth="1"/>
    <col min="12308" max="12308" width="14.7109375" style="937" customWidth="1"/>
    <col min="12309" max="12309" width="14.28515625" style="937" customWidth="1"/>
    <col min="12310" max="12310" width="14.140625" style="937" customWidth="1"/>
    <col min="12311" max="12311" width="14.28515625" style="937" bestFit="1" customWidth="1"/>
    <col min="12312" max="12312" width="15.28515625" style="937" customWidth="1"/>
    <col min="12313" max="12313" width="10.7109375" style="937" bestFit="1" customWidth="1"/>
    <col min="12314" max="12314" width="14" style="937" customWidth="1"/>
    <col min="12315" max="12315" width="10.7109375" style="937" bestFit="1" customWidth="1"/>
    <col min="12316" max="12544" width="9.140625" style="937"/>
    <col min="12545" max="12546" width="5.28515625" style="937" customWidth="1"/>
    <col min="12547" max="12547" width="44.7109375" style="937" customWidth="1"/>
    <col min="12548" max="12548" width="6.140625" style="937" customWidth="1"/>
    <col min="12549" max="12549" width="7.7109375" style="937" customWidth="1"/>
    <col min="12550" max="12550" width="6" style="937" bestFit="1" customWidth="1"/>
    <col min="12551" max="12551" width="5.5703125" style="937" customWidth="1"/>
    <col min="12552" max="12552" width="13.5703125" style="937" customWidth="1"/>
    <col min="12553" max="12553" width="14.7109375" style="937" customWidth="1"/>
    <col min="12554" max="12554" width="15.7109375" style="937" customWidth="1"/>
    <col min="12555" max="12555" width="14.140625" style="937" customWidth="1"/>
    <col min="12556" max="12556" width="16.140625" style="937" customWidth="1"/>
    <col min="12557" max="12557" width="14.7109375" style="937" customWidth="1"/>
    <col min="12558" max="12558" width="15.85546875" style="937" customWidth="1"/>
    <col min="12559" max="12559" width="13" style="937" customWidth="1"/>
    <col min="12560" max="12560" width="16.28515625" style="937" customWidth="1"/>
    <col min="12561" max="12561" width="14.140625" style="937" customWidth="1"/>
    <col min="12562" max="12562" width="14.5703125" style="937" customWidth="1"/>
    <col min="12563" max="12563" width="15" style="937" customWidth="1"/>
    <col min="12564" max="12564" width="14.7109375" style="937" customWidth="1"/>
    <col min="12565" max="12565" width="14.28515625" style="937" customWidth="1"/>
    <col min="12566" max="12566" width="14.140625" style="937" customWidth="1"/>
    <col min="12567" max="12567" width="14.28515625" style="937" bestFit="1" customWidth="1"/>
    <col min="12568" max="12568" width="15.28515625" style="937" customWidth="1"/>
    <col min="12569" max="12569" width="10.7109375" style="937" bestFit="1" customWidth="1"/>
    <col min="12570" max="12570" width="14" style="937" customWidth="1"/>
    <col min="12571" max="12571" width="10.7109375" style="937" bestFit="1" customWidth="1"/>
    <col min="12572" max="12800" width="9.140625" style="937"/>
    <col min="12801" max="12802" width="5.28515625" style="937" customWidth="1"/>
    <col min="12803" max="12803" width="44.7109375" style="937" customWidth="1"/>
    <col min="12804" max="12804" width="6.140625" style="937" customWidth="1"/>
    <col min="12805" max="12805" width="7.7109375" style="937" customWidth="1"/>
    <col min="12806" max="12806" width="6" style="937" bestFit="1" customWidth="1"/>
    <col min="12807" max="12807" width="5.5703125" style="937" customWidth="1"/>
    <col min="12808" max="12808" width="13.5703125" style="937" customWidth="1"/>
    <col min="12809" max="12809" width="14.7109375" style="937" customWidth="1"/>
    <col min="12810" max="12810" width="15.7109375" style="937" customWidth="1"/>
    <col min="12811" max="12811" width="14.140625" style="937" customWidth="1"/>
    <col min="12812" max="12812" width="16.140625" style="937" customWidth="1"/>
    <col min="12813" max="12813" width="14.7109375" style="937" customWidth="1"/>
    <col min="12814" max="12814" width="15.85546875" style="937" customWidth="1"/>
    <col min="12815" max="12815" width="13" style="937" customWidth="1"/>
    <col min="12816" max="12816" width="16.28515625" style="937" customWidth="1"/>
    <col min="12817" max="12817" width="14.140625" style="937" customWidth="1"/>
    <col min="12818" max="12818" width="14.5703125" style="937" customWidth="1"/>
    <col min="12819" max="12819" width="15" style="937" customWidth="1"/>
    <col min="12820" max="12820" width="14.7109375" style="937" customWidth="1"/>
    <col min="12821" max="12821" width="14.28515625" style="937" customWidth="1"/>
    <col min="12822" max="12822" width="14.140625" style="937" customWidth="1"/>
    <col min="12823" max="12823" width="14.28515625" style="937" bestFit="1" customWidth="1"/>
    <col min="12824" max="12824" width="15.28515625" style="937" customWidth="1"/>
    <col min="12825" max="12825" width="10.7109375" style="937" bestFit="1" customWidth="1"/>
    <col min="12826" max="12826" width="14" style="937" customWidth="1"/>
    <col min="12827" max="12827" width="10.7109375" style="937" bestFit="1" customWidth="1"/>
    <col min="12828" max="13056" width="9.140625" style="937"/>
    <col min="13057" max="13058" width="5.28515625" style="937" customWidth="1"/>
    <col min="13059" max="13059" width="44.7109375" style="937" customWidth="1"/>
    <col min="13060" max="13060" width="6.140625" style="937" customWidth="1"/>
    <col min="13061" max="13061" width="7.7109375" style="937" customWidth="1"/>
    <col min="13062" max="13062" width="6" style="937" bestFit="1" customWidth="1"/>
    <col min="13063" max="13063" width="5.5703125" style="937" customWidth="1"/>
    <col min="13064" max="13064" width="13.5703125" style="937" customWidth="1"/>
    <col min="13065" max="13065" width="14.7109375" style="937" customWidth="1"/>
    <col min="13066" max="13066" width="15.7109375" style="937" customWidth="1"/>
    <col min="13067" max="13067" width="14.140625" style="937" customWidth="1"/>
    <col min="13068" max="13068" width="16.140625" style="937" customWidth="1"/>
    <col min="13069" max="13069" width="14.7109375" style="937" customWidth="1"/>
    <col min="13070" max="13070" width="15.85546875" style="937" customWidth="1"/>
    <col min="13071" max="13071" width="13" style="937" customWidth="1"/>
    <col min="13072" max="13072" width="16.28515625" style="937" customWidth="1"/>
    <col min="13073" max="13073" width="14.140625" style="937" customWidth="1"/>
    <col min="13074" max="13074" width="14.5703125" style="937" customWidth="1"/>
    <col min="13075" max="13075" width="15" style="937" customWidth="1"/>
    <col min="13076" max="13076" width="14.7109375" style="937" customWidth="1"/>
    <col min="13077" max="13077" width="14.28515625" style="937" customWidth="1"/>
    <col min="13078" max="13078" width="14.140625" style="937" customWidth="1"/>
    <col min="13079" max="13079" width="14.28515625" style="937" bestFit="1" customWidth="1"/>
    <col min="13080" max="13080" width="15.28515625" style="937" customWidth="1"/>
    <col min="13081" max="13081" width="10.7109375" style="937" bestFit="1" customWidth="1"/>
    <col min="13082" max="13082" width="14" style="937" customWidth="1"/>
    <col min="13083" max="13083" width="10.7109375" style="937" bestFit="1" customWidth="1"/>
    <col min="13084" max="13312" width="9.140625" style="937"/>
    <col min="13313" max="13314" width="5.28515625" style="937" customWidth="1"/>
    <col min="13315" max="13315" width="44.7109375" style="937" customWidth="1"/>
    <col min="13316" max="13316" width="6.140625" style="937" customWidth="1"/>
    <col min="13317" max="13317" width="7.7109375" style="937" customWidth="1"/>
    <col min="13318" max="13318" width="6" style="937" bestFit="1" customWidth="1"/>
    <col min="13319" max="13319" width="5.5703125" style="937" customWidth="1"/>
    <col min="13320" max="13320" width="13.5703125" style="937" customWidth="1"/>
    <col min="13321" max="13321" width="14.7109375" style="937" customWidth="1"/>
    <col min="13322" max="13322" width="15.7109375" style="937" customWidth="1"/>
    <col min="13323" max="13323" width="14.140625" style="937" customWidth="1"/>
    <col min="13324" max="13324" width="16.140625" style="937" customWidth="1"/>
    <col min="13325" max="13325" width="14.7109375" style="937" customWidth="1"/>
    <col min="13326" max="13326" width="15.85546875" style="937" customWidth="1"/>
    <col min="13327" max="13327" width="13" style="937" customWidth="1"/>
    <col min="13328" max="13328" width="16.28515625" style="937" customWidth="1"/>
    <col min="13329" max="13329" width="14.140625" style="937" customWidth="1"/>
    <col min="13330" max="13330" width="14.5703125" style="937" customWidth="1"/>
    <col min="13331" max="13331" width="15" style="937" customWidth="1"/>
    <col min="13332" max="13332" width="14.7109375" style="937" customWidth="1"/>
    <col min="13333" max="13333" width="14.28515625" style="937" customWidth="1"/>
    <col min="13334" max="13334" width="14.140625" style="937" customWidth="1"/>
    <col min="13335" max="13335" width="14.28515625" style="937" bestFit="1" customWidth="1"/>
    <col min="13336" max="13336" width="15.28515625" style="937" customWidth="1"/>
    <col min="13337" max="13337" width="10.7109375" style="937" bestFit="1" customWidth="1"/>
    <col min="13338" max="13338" width="14" style="937" customWidth="1"/>
    <col min="13339" max="13339" width="10.7109375" style="937" bestFit="1" customWidth="1"/>
    <col min="13340" max="13568" width="9.140625" style="937"/>
    <col min="13569" max="13570" width="5.28515625" style="937" customWidth="1"/>
    <col min="13571" max="13571" width="44.7109375" style="937" customWidth="1"/>
    <col min="13572" max="13572" width="6.140625" style="937" customWidth="1"/>
    <col min="13573" max="13573" width="7.7109375" style="937" customWidth="1"/>
    <col min="13574" max="13574" width="6" style="937" bestFit="1" customWidth="1"/>
    <col min="13575" max="13575" width="5.5703125" style="937" customWidth="1"/>
    <col min="13576" max="13576" width="13.5703125" style="937" customWidth="1"/>
    <col min="13577" max="13577" width="14.7109375" style="937" customWidth="1"/>
    <col min="13578" max="13578" width="15.7109375" style="937" customWidth="1"/>
    <col min="13579" max="13579" width="14.140625" style="937" customWidth="1"/>
    <col min="13580" max="13580" width="16.140625" style="937" customWidth="1"/>
    <col min="13581" max="13581" width="14.7109375" style="937" customWidth="1"/>
    <col min="13582" max="13582" width="15.85546875" style="937" customWidth="1"/>
    <col min="13583" max="13583" width="13" style="937" customWidth="1"/>
    <col min="13584" max="13584" width="16.28515625" style="937" customWidth="1"/>
    <col min="13585" max="13585" width="14.140625" style="937" customWidth="1"/>
    <col min="13586" max="13586" width="14.5703125" style="937" customWidth="1"/>
    <col min="13587" max="13587" width="15" style="937" customWidth="1"/>
    <col min="13588" max="13588" width="14.7109375" style="937" customWidth="1"/>
    <col min="13589" max="13589" width="14.28515625" style="937" customWidth="1"/>
    <col min="13590" max="13590" width="14.140625" style="937" customWidth="1"/>
    <col min="13591" max="13591" width="14.28515625" style="937" bestFit="1" customWidth="1"/>
    <col min="13592" max="13592" width="15.28515625" style="937" customWidth="1"/>
    <col min="13593" max="13593" width="10.7109375" style="937" bestFit="1" customWidth="1"/>
    <col min="13594" max="13594" width="14" style="937" customWidth="1"/>
    <col min="13595" max="13595" width="10.7109375" style="937" bestFit="1" customWidth="1"/>
    <col min="13596" max="13824" width="9.140625" style="937"/>
    <col min="13825" max="13826" width="5.28515625" style="937" customWidth="1"/>
    <col min="13827" max="13827" width="44.7109375" style="937" customWidth="1"/>
    <col min="13828" max="13828" width="6.140625" style="937" customWidth="1"/>
    <col min="13829" max="13829" width="7.7109375" style="937" customWidth="1"/>
    <col min="13830" max="13830" width="6" style="937" bestFit="1" customWidth="1"/>
    <col min="13831" max="13831" width="5.5703125" style="937" customWidth="1"/>
    <col min="13832" max="13832" width="13.5703125" style="937" customWidth="1"/>
    <col min="13833" max="13833" width="14.7109375" style="937" customWidth="1"/>
    <col min="13834" max="13834" width="15.7109375" style="937" customWidth="1"/>
    <col min="13835" max="13835" width="14.140625" style="937" customWidth="1"/>
    <col min="13836" max="13836" width="16.140625" style="937" customWidth="1"/>
    <col min="13837" max="13837" width="14.7109375" style="937" customWidth="1"/>
    <col min="13838" max="13838" width="15.85546875" style="937" customWidth="1"/>
    <col min="13839" max="13839" width="13" style="937" customWidth="1"/>
    <col min="13840" max="13840" width="16.28515625" style="937" customWidth="1"/>
    <col min="13841" max="13841" width="14.140625" style="937" customWidth="1"/>
    <col min="13842" max="13842" width="14.5703125" style="937" customWidth="1"/>
    <col min="13843" max="13843" width="15" style="937" customWidth="1"/>
    <col min="13844" max="13844" width="14.7109375" style="937" customWidth="1"/>
    <col min="13845" max="13845" width="14.28515625" style="937" customWidth="1"/>
    <col min="13846" max="13846" width="14.140625" style="937" customWidth="1"/>
    <col min="13847" max="13847" width="14.28515625" style="937" bestFit="1" customWidth="1"/>
    <col min="13848" max="13848" width="15.28515625" style="937" customWidth="1"/>
    <col min="13849" max="13849" width="10.7109375" style="937" bestFit="1" customWidth="1"/>
    <col min="13850" max="13850" width="14" style="937" customWidth="1"/>
    <col min="13851" max="13851" width="10.7109375" style="937" bestFit="1" customWidth="1"/>
    <col min="13852" max="14080" width="9.140625" style="937"/>
    <col min="14081" max="14082" width="5.28515625" style="937" customWidth="1"/>
    <col min="14083" max="14083" width="44.7109375" style="937" customWidth="1"/>
    <col min="14084" max="14084" width="6.140625" style="937" customWidth="1"/>
    <col min="14085" max="14085" width="7.7109375" style="937" customWidth="1"/>
    <col min="14086" max="14086" width="6" style="937" bestFit="1" customWidth="1"/>
    <col min="14087" max="14087" width="5.5703125" style="937" customWidth="1"/>
    <col min="14088" max="14088" width="13.5703125" style="937" customWidth="1"/>
    <col min="14089" max="14089" width="14.7109375" style="937" customWidth="1"/>
    <col min="14090" max="14090" width="15.7109375" style="937" customWidth="1"/>
    <col min="14091" max="14091" width="14.140625" style="937" customWidth="1"/>
    <col min="14092" max="14092" width="16.140625" style="937" customWidth="1"/>
    <col min="14093" max="14093" width="14.7109375" style="937" customWidth="1"/>
    <col min="14094" max="14094" width="15.85546875" style="937" customWidth="1"/>
    <col min="14095" max="14095" width="13" style="937" customWidth="1"/>
    <col min="14096" max="14096" width="16.28515625" style="937" customWidth="1"/>
    <col min="14097" max="14097" width="14.140625" style="937" customWidth="1"/>
    <col min="14098" max="14098" width="14.5703125" style="937" customWidth="1"/>
    <col min="14099" max="14099" width="15" style="937" customWidth="1"/>
    <col min="14100" max="14100" width="14.7109375" style="937" customWidth="1"/>
    <col min="14101" max="14101" width="14.28515625" style="937" customWidth="1"/>
    <col min="14102" max="14102" width="14.140625" style="937" customWidth="1"/>
    <col min="14103" max="14103" width="14.28515625" style="937" bestFit="1" customWidth="1"/>
    <col min="14104" max="14104" width="15.28515625" style="937" customWidth="1"/>
    <col min="14105" max="14105" width="10.7109375" style="937" bestFit="1" customWidth="1"/>
    <col min="14106" max="14106" width="14" style="937" customWidth="1"/>
    <col min="14107" max="14107" width="10.7109375" style="937" bestFit="1" customWidth="1"/>
    <col min="14108" max="14336" width="9.140625" style="937"/>
    <col min="14337" max="14338" width="5.28515625" style="937" customWidth="1"/>
    <col min="14339" max="14339" width="44.7109375" style="937" customWidth="1"/>
    <col min="14340" max="14340" width="6.140625" style="937" customWidth="1"/>
    <col min="14341" max="14341" width="7.7109375" style="937" customWidth="1"/>
    <col min="14342" max="14342" width="6" style="937" bestFit="1" customWidth="1"/>
    <col min="14343" max="14343" width="5.5703125" style="937" customWidth="1"/>
    <col min="14344" max="14344" width="13.5703125" style="937" customWidth="1"/>
    <col min="14345" max="14345" width="14.7109375" style="937" customWidth="1"/>
    <col min="14346" max="14346" width="15.7109375" style="937" customWidth="1"/>
    <col min="14347" max="14347" width="14.140625" style="937" customWidth="1"/>
    <col min="14348" max="14348" width="16.140625" style="937" customWidth="1"/>
    <col min="14349" max="14349" width="14.7109375" style="937" customWidth="1"/>
    <col min="14350" max="14350" width="15.85546875" style="937" customWidth="1"/>
    <col min="14351" max="14351" width="13" style="937" customWidth="1"/>
    <col min="14352" max="14352" width="16.28515625" style="937" customWidth="1"/>
    <col min="14353" max="14353" width="14.140625" style="937" customWidth="1"/>
    <col min="14354" max="14354" width="14.5703125" style="937" customWidth="1"/>
    <col min="14355" max="14355" width="15" style="937" customWidth="1"/>
    <col min="14356" max="14356" width="14.7109375" style="937" customWidth="1"/>
    <col min="14357" max="14357" width="14.28515625" style="937" customWidth="1"/>
    <col min="14358" max="14358" width="14.140625" style="937" customWidth="1"/>
    <col min="14359" max="14359" width="14.28515625" style="937" bestFit="1" customWidth="1"/>
    <col min="14360" max="14360" width="15.28515625" style="937" customWidth="1"/>
    <col min="14361" max="14361" width="10.7109375" style="937" bestFit="1" customWidth="1"/>
    <col min="14362" max="14362" width="14" style="937" customWidth="1"/>
    <col min="14363" max="14363" width="10.7109375" style="937" bestFit="1" customWidth="1"/>
    <col min="14364" max="14592" width="9.140625" style="937"/>
    <col min="14593" max="14594" width="5.28515625" style="937" customWidth="1"/>
    <col min="14595" max="14595" width="44.7109375" style="937" customWidth="1"/>
    <col min="14596" max="14596" width="6.140625" style="937" customWidth="1"/>
    <col min="14597" max="14597" width="7.7109375" style="937" customWidth="1"/>
    <col min="14598" max="14598" width="6" style="937" bestFit="1" customWidth="1"/>
    <col min="14599" max="14599" width="5.5703125" style="937" customWidth="1"/>
    <col min="14600" max="14600" width="13.5703125" style="937" customWidth="1"/>
    <col min="14601" max="14601" width="14.7109375" style="937" customWidth="1"/>
    <col min="14602" max="14602" width="15.7109375" style="937" customWidth="1"/>
    <col min="14603" max="14603" width="14.140625" style="937" customWidth="1"/>
    <col min="14604" max="14604" width="16.140625" style="937" customWidth="1"/>
    <col min="14605" max="14605" width="14.7109375" style="937" customWidth="1"/>
    <col min="14606" max="14606" width="15.85546875" style="937" customWidth="1"/>
    <col min="14607" max="14607" width="13" style="937" customWidth="1"/>
    <col min="14608" max="14608" width="16.28515625" style="937" customWidth="1"/>
    <col min="14609" max="14609" width="14.140625" style="937" customWidth="1"/>
    <col min="14610" max="14610" width="14.5703125" style="937" customWidth="1"/>
    <col min="14611" max="14611" width="15" style="937" customWidth="1"/>
    <col min="14612" max="14612" width="14.7109375" style="937" customWidth="1"/>
    <col min="14613" max="14613" width="14.28515625" style="937" customWidth="1"/>
    <col min="14614" max="14614" width="14.140625" style="937" customWidth="1"/>
    <col min="14615" max="14615" width="14.28515625" style="937" bestFit="1" customWidth="1"/>
    <col min="14616" max="14616" width="15.28515625" style="937" customWidth="1"/>
    <col min="14617" max="14617" width="10.7109375" style="937" bestFit="1" customWidth="1"/>
    <col min="14618" max="14618" width="14" style="937" customWidth="1"/>
    <col min="14619" max="14619" width="10.7109375" style="937" bestFit="1" customWidth="1"/>
    <col min="14620" max="14848" width="9.140625" style="937"/>
    <col min="14849" max="14850" width="5.28515625" style="937" customWidth="1"/>
    <col min="14851" max="14851" width="44.7109375" style="937" customWidth="1"/>
    <col min="14852" max="14852" width="6.140625" style="937" customWidth="1"/>
    <col min="14853" max="14853" width="7.7109375" style="937" customWidth="1"/>
    <col min="14854" max="14854" width="6" style="937" bestFit="1" customWidth="1"/>
    <col min="14855" max="14855" width="5.5703125" style="937" customWidth="1"/>
    <col min="14856" max="14856" width="13.5703125" style="937" customWidth="1"/>
    <col min="14857" max="14857" width="14.7109375" style="937" customWidth="1"/>
    <col min="14858" max="14858" width="15.7109375" style="937" customWidth="1"/>
    <col min="14859" max="14859" width="14.140625" style="937" customWidth="1"/>
    <col min="14860" max="14860" width="16.140625" style="937" customWidth="1"/>
    <col min="14861" max="14861" width="14.7109375" style="937" customWidth="1"/>
    <col min="14862" max="14862" width="15.85546875" style="937" customWidth="1"/>
    <col min="14863" max="14863" width="13" style="937" customWidth="1"/>
    <col min="14864" max="14864" width="16.28515625" style="937" customWidth="1"/>
    <col min="14865" max="14865" width="14.140625" style="937" customWidth="1"/>
    <col min="14866" max="14866" width="14.5703125" style="937" customWidth="1"/>
    <col min="14867" max="14867" width="15" style="937" customWidth="1"/>
    <col min="14868" max="14868" width="14.7109375" style="937" customWidth="1"/>
    <col min="14869" max="14869" width="14.28515625" style="937" customWidth="1"/>
    <col min="14870" max="14870" width="14.140625" style="937" customWidth="1"/>
    <col min="14871" max="14871" width="14.28515625" style="937" bestFit="1" customWidth="1"/>
    <col min="14872" max="14872" width="15.28515625" style="937" customWidth="1"/>
    <col min="14873" max="14873" width="10.7109375" style="937" bestFit="1" customWidth="1"/>
    <col min="14874" max="14874" width="14" style="937" customWidth="1"/>
    <col min="14875" max="14875" width="10.7109375" style="937" bestFit="1" customWidth="1"/>
    <col min="14876" max="15104" width="9.140625" style="937"/>
    <col min="15105" max="15106" width="5.28515625" style="937" customWidth="1"/>
    <col min="15107" max="15107" width="44.7109375" style="937" customWidth="1"/>
    <col min="15108" max="15108" width="6.140625" style="937" customWidth="1"/>
    <col min="15109" max="15109" width="7.7109375" style="937" customWidth="1"/>
    <col min="15110" max="15110" width="6" style="937" bestFit="1" customWidth="1"/>
    <col min="15111" max="15111" width="5.5703125" style="937" customWidth="1"/>
    <col min="15112" max="15112" width="13.5703125" style="937" customWidth="1"/>
    <col min="15113" max="15113" width="14.7109375" style="937" customWidth="1"/>
    <col min="15114" max="15114" width="15.7109375" style="937" customWidth="1"/>
    <col min="15115" max="15115" width="14.140625" style="937" customWidth="1"/>
    <col min="15116" max="15116" width="16.140625" style="937" customWidth="1"/>
    <col min="15117" max="15117" width="14.7109375" style="937" customWidth="1"/>
    <col min="15118" max="15118" width="15.85546875" style="937" customWidth="1"/>
    <col min="15119" max="15119" width="13" style="937" customWidth="1"/>
    <col min="15120" max="15120" width="16.28515625" style="937" customWidth="1"/>
    <col min="15121" max="15121" width="14.140625" style="937" customWidth="1"/>
    <col min="15122" max="15122" width="14.5703125" style="937" customWidth="1"/>
    <col min="15123" max="15123" width="15" style="937" customWidth="1"/>
    <col min="15124" max="15124" width="14.7109375" style="937" customWidth="1"/>
    <col min="15125" max="15125" width="14.28515625" style="937" customWidth="1"/>
    <col min="15126" max="15126" width="14.140625" style="937" customWidth="1"/>
    <col min="15127" max="15127" width="14.28515625" style="937" bestFit="1" customWidth="1"/>
    <col min="15128" max="15128" width="15.28515625" style="937" customWidth="1"/>
    <col min="15129" max="15129" width="10.7109375" style="937" bestFit="1" customWidth="1"/>
    <col min="15130" max="15130" width="14" style="937" customWidth="1"/>
    <col min="15131" max="15131" width="10.7109375" style="937" bestFit="1" customWidth="1"/>
    <col min="15132" max="15360" width="9.140625" style="937"/>
    <col min="15361" max="15362" width="5.28515625" style="937" customWidth="1"/>
    <col min="15363" max="15363" width="44.7109375" style="937" customWidth="1"/>
    <col min="15364" max="15364" width="6.140625" style="937" customWidth="1"/>
    <col min="15365" max="15365" width="7.7109375" style="937" customWidth="1"/>
    <col min="15366" max="15366" width="6" style="937" bestFit="1" customWidth="1"/>
    <col min="15367" max="15367" width="5.5703125" style="937" customWidth="1"/>
    <col min="15368" max="15368" width="13.5703125" style="937" customWidth="1"/>
    <col min="15369" max="15369" width="14.7109375" style="937" customWidth="1"/>
    <col min="15370" max="15370" width="15.7109375" style="937" customWidth="1"/>
    <col min="15371" max="15371" width="14.140625" style="937" customWidth="1"/>
    <col min="15372" max="15372" width="16.140625" style="937" customWidth="1"/>
    <col min="15373" max="15373" width="14.7109375" style="937" customWidth="1"/>
    <col min="15374" max="15374" width="15.85546875" style="937" customWidth="1"/>
    <col min="15375" max="15375" width="13" style="937" customWidth="1"/>
    <col min="15376" max="15376" width="16.28515625" style="937" customWidth="1"/>
    <col min="15377" max="15377" width="14.140625" style="937" customWidth="1"/>
    <col min="15378" max="15378" width="14.5703125" style="937" customWidth="1"/>
    <col min="15379" max="15379" width="15" style="937" customWidth="1"/>
    <col min="15380" max="15380" width="14.7109375" style="937" customWidth="1"/>
    <col min="15381" max="15381" width="14.28515625" style="937" customWidth="1"/>
    <col min="15382" max="15382" width="14.140625" style="937" customWidth="1"/>
    <col min="15383" max="15383" width="14.28515625" style="937" bestFit="1" customWidth="1"/>
    <col min="15384" max="15384" width="15.28515625" style="937" customWidth="1"/>
    <col min="15385" max="15385" width="10.7109375" style="937" bestFit="1" customWidth="1"/>
    <col min="15386" max="15386" width="14" style="937" customWidth="1"/>
    <col min="15387" max="15387" width="10.7109375" style="937" bestFit="1" customWidth="1"/>
    <col min="15388" max="15616" width="9.140625" style="937"/>
    <col min="15617" max="15618" width="5.28515625" style="937" customWidth="1"/>
    <col min="15619" max="15619" width="44.7109375" style="937" customWidth="1"/>
    <col min="15620" max="15620" width="6.140625" style="937" customWidth="1"/>
    <col min="15621" max="15621" width="7.7109375" style="937" customWidth="1"/>
    <col min="15622" max="15622" width="6" style="937" bestFit="1" customWidth="1"/>
    <col min="15623" max="15623" width="5.5703125" style="937" customWidth="1"/>
    <col min="15624" max="15624" width="13.5703125" style="937" customWidth="1"/>
    <col min="15625" max="15625" width="14.7109375" style="937" customWidth="1"/>
    <col min="15626" max="15626" width="15.7109375" style="937" customWidth="1"/>
    <col min="15627" max="15627" width="14.140625" style="937" customWidth="1"/>
    <col min="15628" max="15628" width="16.140625" style="937" customWidth="1"/>
    <col min="15629" max="15629" width="14.7109375" style="937" customWidth="1"/>
    <col min="15630" max="15630" width="15.85546875" style="937" customWidth="1"/>
    <col min="15631" max="15631" width="13" style="937" customWidth="1"/>
    <col min="15632" max="15632" width="16.28515625" style="937" customWidth="1"/>
    <col min="15633" max="15633" width="14.140625" style="937" customWidth="1"/>
    <col min="15634" max="15634" width="14.5703125" style="937" customWidth="1"/>
    <col min="15635" max="15635" width="15" style="937" customWidth="1"/>
    <col min="15636" max="15636" width="14.7109375" style="937" customWidth="1"/>
    <col min="15637" max="15637" width="14.28515625" style="937" customWidth="1"/>
    <col min="15638" max="15638" width="14.140625" style="937" customWidth="1"/>
    <col min="15639" max="15639" width="14.28515625" style="937" bestFit="1" customWidth="1"/>
    <col min="15640" max="15640" width="15.28515625" style="937" customWidth="1"/>
    <col min="15641" max="15641" width="10.7109375" style="937" bestFit="1" customWidth="1"/>
    <col min="15642" max="15642" width="14" style="937" customWidth="1"/>
    <col min="15643" max="15643" width="10.7109375" style="937" bestFit="1" customWidth="1"/>
    <col min="15644" max="15872" width="9.140625" style="937"/>
    <col min="15873" max="15874" width="5.28515625" style="937" customWidth="1"/>
    <col min="15875" max="15875" width="44.7109375" style="937" customWidth="1"/>
    <col min="15876" max="15876" width="6.140625" style="937" customWidth="1"/>
    <col min="15877" max="15877" width="7.7109375" style="937" customWidth="1"/>
    <col min="15878" max="15878" width="6" style="937" bestFit="1" customWidth="1"/>
    <col min="15879" max="15879" width="5.5703125" style="937" customWidth="1"/>
    <col min="15880" max="15880" width="13.5703125" style="937" customWidth="1"/>
    <col min="15881" max="15881" width="14.7109375" style="937" customWidth="1"/>
    <col min="15882" max="15882" width="15.7109375" style="937" customWidth="1"/>
    <col min="15883" max="15883" width="14.140625" style="937" customWidth="1"/>
    <col min="15884" max="15884" width="16.140625" style="937" customWidth="1"/>
    <col min="15885" max="15885" width="14.7109375" style="937" customWidth="1"/>
    <col min="15886" max="15886" width="15.85546875" style="937" customWidth="1"/>
    <col min="15887" max="15887" width="13" style="937" customWidth="1"/>
    <col min="15888" max="15888" width="16.28515625" style="937" customWidth="1"/>
    <col min="15889" max="15889" width="14.140625" style="937" customWidth="1"/>
    <col min="15890" max="15890" width="14.5703125" style="937" customWidth="1"/>
    <col min="15891" max="15891" width="15" style="937" customWidth="1"/>
    <col min="15892" max="15892" width="14.7109375" style="937" customWidth="1"/>
    <col min="15893" max="15893" width="14.28515625" style="937" customWidth="1"/>
    <col min="15894" max="15894" width="14.140625" style="937" customWidth="1"/>
    <col min="15895" max="15895" width="14.28515625" style="937" bestFit="1" customWidth="1"/>
    <col min="15896" max="15896" width="15.28515625" style="937" customWidth="1"/>
    <col min="15897" max="15897" width="10.7109375" style="937" bestFit="1" customWidth="1"/>
    <col min="15898" max="15898" width="14" style="937" customWidth="1"/>
    <col min="15899" max="15899" width="10.7109375" style="937" bestFit="1" customWidth="1"/>
    <col min="15900" max="16128" width="9.140625" style="937"/>
    <col min="16129" max="16130" width="5.28515625" style="937" customWidth="1"/>
    <col min="16131" max="16131" width="44.7109375" style="937" customWidth="1"/>
    <col min="16132" max="16132" width="6.140625" style="937" customWidth="1"/>
    <col min="16133" max="16133" width="7.7109375" style="937" customWidth="1"/>
    <col min="16134" max="16134" width="6" style="937" bestFit="1" customWidth="1"/>
    <col min="16135" max="16135" width="5.5703125" style="937" customWidth="1"/>
    <col min="16136" max="16136" width="13.5703125" style="937" customWidth="1"/>
    <col min="16137" max="16137" width="14.7109375" style="937" customWidth="1"/>
    <col min="16138" max="16138" width="15.7109375" style="937" customWidth="1"/>
    <col min="16139" max="16139" width="14.140625" style="937" customWidth="1"/>
    <col min="16140" max="16140" width="16.140625" style="937" customWidth="1"/>
    <col min="16141" max="16141" width="14.7109375" style="937" customWidth="1"/>
    <col min="16142" max="16142" width="15.85546875" style="937" customWidth="1"/>
    <col min="16143" max="16143" width="13" style="937" customWidth="1"/>
    <col min="16144" max="16144" width="16.28515625" style="937" customWidth="1"/>
    <col min="16145" max="16145" width="14.140625" style="937" customWidth="1"/>
    <col min="16146" max="16146" width="14.5703125" style="937" customWidth="1"/>
    <col min="16147" max="16147" width="15" style="937" customWidth="1"/>
    <col min="16148" max="16148" width="14.7109375" style="937" customWidth="1"/>
    <col min="16149" max="16149" width="14.28515625" style="937" customWidth="1"/>
    <col min="16150" max="16150" width="14.140625" style="937" customWidth="1"/>
    <col min="16151" max="16151" width="14.28515625" style="937" bestFit="1" customWidth="1"/>
    <col min="16152" max="16152" width="15.28515625" style="937" customWidth="1"/>
    <col min="16153" max="16153" width="10.7109375" style="937" bestFit="1" customWidth="1"/>
    <col min="16154" max="16154" width="14" style="937" customWidth="1"/>
    <col min="16155" max="16155" width="10.7109375" style="937" bestFit="1" customWidth="1"/>
    <col min="16156" max="16384" width="9.140625" style="937"/>
  </cols>
  <sheetData>
    <row r="1" spans="1:24" x14ac:dyDescent="0.25">
      <c r="A1" s="930"/>
      <c r="B1" s="930"/>
      <c r="C1" s="931"/>
      <c r="D1" s="932"/>
      <c r="E1" s="933"/>
      <c r="F1" s="934"/>
      <c r="G1" s="933"/>
      <c r="H1" s="935"/>
      <c r="I1" s="935"/>
      <c r="J1" s="935"/>
      <c r="K1" s="935"/>
      <c r="L1" s="936"/>
      <c r="M1" s="935"/>
      <c r="N1" s="935"/>
      <c r="O1" s="935"/>
      <c r="P1" s="936"/>
      <c r="Q1" s="935"/>
      <c r="R1" s="935"/>
      <c r="S1" s="935"/>
      <c r="T1" s="935"/>
      <c r="U1" s="935"/>
      <c r="V1" s="935"/>
      <c r="W1" s="935"/>
      <c r="X1" s="935"/>
    </row>
    <row r="2" spans="1:24" ht="15.75" x14ac:dyDescent="0.25">
      <c r="A2" s="2010" t="s">
        <v>1927</v>
      </c>
      <c r="B2" s="2010"/>
      <c r="C2" s="2010"/>
      <c r="D2" s="2010"/>
      <c r="E2" s="2010"/>
      <c r="F2" s="2010"/>
      <c r="G2" s="2010"/>
      <c r="H2" s="2010"/>
      <c r="I2" s="2010"/>
      <c r="J2" s="2010"/>
      <c r="K2" s="2010"/>
      <c r="L2" s="2010"/>
      <c r="M2" s="2010"/>
      <c r="N2" s="2010"/>
      <c r="O2" s="2010"/>
      <c r="P2" s="2010"/>
      <c r="Q2" s="2010"/>
      <c r="R2" s="2010"/>
      <c r="S2" s="2010"/>
      <c r="T2" s="2010"/>
      <c r="U2" s="2010"/>
      <c r="V2" s="2010"/>
      <c r="W2" s="2010"/>
      <c r="X2" s="2010"/>
    </row>
    <row r="3" spans="1:24" x14ac:dyDescent="0.25">
      <c r="A3" s="938"/>
      <c r="B3" s="930"/>
      <c r="C3" s="931"/>
      <c r="D3" s="932"/>
      <c r="E3" s="933"/>
      <c r="F3" s="934"/>
      <c r="G3" s="933"/>
      <c r="H3" s="935"/>
      <c r="I3" s="935"/>
      <c r="J3" s="935"/>
      <c r="K3" s="935"/>
      <c r="L3" s="936"/>
      <c r="M3" s="935"/>
      <c r="N3" s="935"/>
      <c r="O3" s="935"/>
      <c r="P3" s="936"/>
      <c r="Q3" s="935"/>
      <c r="R3" s="935"/>
      <c r="S3" s="935"/>
      <c r="T3" s="935"/>
      <c r="U3" s="935"/>
      <c r="V3" s="935"/>
      <c r="W3" s="935"/>
      <c r="X3" s="939"/>
    </row>
    <row r="4" spans="1:24" x14ac:dyDescent="0.25">
      <c r="A4" s="2005" t="s">
        <v>37</v>
      </c>
      <c r="B4" s="1773" t="s">
        <v>1640</v>
      </c>
      <c r="C4" s="2008" t="s">
        <v>2</v>
      </c>
      <c r="D4" s="1997" t="s">
        <v>1641</v>
      </c>
      <c r="E4" s="1997" t="s">
        <v>116</v>
      </c>
      <c r="F4" s="1997" t="s">
        <v>1642</v>
      </c>
      <c r="G4" s="1997" t="s">
        <v>1643</v>
      </c>
      <c r="H4" s="1999" t="s">
        <v>1644</v>
      </c>
      <c r="I4" s="1999"/>
      <c r="J4" s="1999"/>
      <c r="K4" s="1999"/>
      <c r="L4" s="1999"/>
      <c r="M4" s="1999"/>
      <c r="N4" s="1999"/>
      <c r="O4" s="2000"/>
      <c r="P4" s="940"/>
      <c r="Q4" s="2027" t="s">
        <v>1645</v>
      </c>
      <c r="R4" s="1999"/>
      <c r="S4" s="1999"/>
      <c r="T4" s="1999"/>
      <c r="U4" s="1999"/>
      <c r="V4" s="1999"/>
      <c r="W4" s="1999"/>
      <c r="X4" s="2012"/>
    </row>
    <row r="5" spans="1:24" ht="89.45" customHeight="1" x14ac:dyDescent="0.25">
      <c r="A5" s="2006"/>
      <c r="B5" s="1774"/>
      <c r="C5" s="2009"/>
      <c r="D5" s="1998"/>
      <c r="E5" s="1998"/>
      <c r="F5" s="1998"/>
      <c r="G5" s="1998"/>
      <c r="H5" s="941" t="s">
        <v>1646</v>
      </c>
      <c r="I5" s="942" t="s">
        <v>1647</v>
      </c>
      <c r="J5" s="941" t="s">
        <v>1648</v>
      </c>
      <c r="K5" s="941" t="s">
        <v>1649</v>
      </c>
      <c r="L5" s="941" t="s">
        <v>1650</v>
      </c>
      <c r="M5" s="941" t="s">
        <v>1651</v>
      </c>
      <c r="N5" s="941" t="s">
        <v>1652</v>
      </c>
      <c r="O5" s="942" t="s">
        <v>1653</v>
      </c>
      <c r="P5" s="944" t="s">
        <v>1654</v>
      </c>
      <c r="Q5" s="943" t="s">
        <v>1655</v>
      </c>
      <c r="R5" s="942" t="s">
        <v>1656</v>
      </c>
      <c r="S5" s="941" t="s">
        <v>1657</v>
      </c>
      <c r="T5" s="941" t="s">
        <v>1658</v>
      </c>
      <c r="U5" s="942" t="s">
        <v>1659</v>
      </c>
      <c r="V5" s="942" t="s">
        <v>1660</v>
      </c>
      <c r="W5" s="942" t="s">
        <v>1661</v>
      </c>
      <c r="X5" s="944" t="s">
        <v>1662</v>
      </c>
    </row>
    <row r="6" spans="1:24" ht="18" customHeight="1" x14ac:dyDescent="0.25">
      <c r="A6" s="2005" t="s">
        <v>194</v>
      </c>
      <c r="B6" s="2008" t="s">
        <v>322</v>
      </c>
      <c r="C6" s="2025" t="s">
        <v>1751</v>
      </c>
      <c r="D6" s="946" t="s">
        <v>194</v>
      </c>
      <c r="E6" s="1141" t="s">
        <v>1753</v>
      </c>
      <c r="F6" s="947">
        <v>502</v>
      </c>
      <c r="G6" s="947" t="s">
        <v>1752</v>
      </c>
      <c r="H6" s="948"/>
      <c r="I6" s="948"/>
      <c r="J6" s="948"/>
      <c r="K6" s="948"/>
      <c r="L6" s="949"/>
      <c r="M6" s="948"/>
      <c r="N6" s="948"/>
      <c r="O6" s="948"/>
      <c r="P6" s="976"/>
      <c r="Q6" s="950"/>
      <c r="R6" s="948"/>
      <c r="S6" s="948"/>
      <c r="T6" s="948">
        <f>-153868-100525-71730648-17452744</f>
        <v>-89437785</v>
      </c>
      <c r="U6" s="948"/>
      <c r="V6" s="948"/>
      <c r="W6" s="948"/>
      <c r="X6" s="951"/>
    </row>
    <row r="7" spans="1:24" ht="18" customHeight="1" x14ac:dyDescent="0.25">
      <c r="A7" s="2024"/>
      <c r="B7" s="2023"/>
      <c r="C7" s="2026"/>
      <c r="D7" s="953" t="s">
        <v>194</v>
      </c>
      <c r="E7" s="1307" t="s">
        <v>130</v>
      </c>
      <c r="F7" s="1307" t="s">
        <v>152</v>
      </c>
      <c r="G7" s="1082" t="s">
        <v>1754</v>
      </c>
      <c r="H7" s="1308"/>
      <c r="I7" s="1308"/>
      <c r="J7" s="1308"/>
      <c r="K7" s="1308"/>
      <c r="L7" s="980"/>
      <c r="M7" s="1308"/>
      <c r="N7" s="1308"/>
      <c r="O7" s="1308"/>
      <c r="P7" s="981"/>
      <c r="Q7" s="1313"/>
      <c r="R7" s="1308"/>
      <c r="S7" s="1308"/>
      <c r="T7" s="1308">
        <f>100525+27141</f>
        <v>127666</v>
      </c>
      <c r="U7" s="1308"/>
      <c r="V7" s="1308"/>
      <c r="W7" s="1308"/>
      <c r="X7" s="1314"/>
    </row>
    <row r="8" spans="1:24" ht="18" customHeight="1" x14ac:dyDescent="0.25">
      <c r="A8" s="2024"/>
      <c r="B8" s="2023"/>
      <c r="C8" s="2026"/>
      <c r="D8" s="953" t="s">
        <v>194</v>
      </c>
      <c r="E8" s="1307" t="s">
        <v>641</v>
      </c>
      <c r="F8" s="1307" t="s">
        <v>1755</v>
      </c>
      <c r="G8" s="1082" t="s">
        <v>1754</v>
      </c>
      <c r="H8" s="1308"/>
      <c r="I8" s="1308"/>
      <c r="J8" s="1308"/>
      <c r="K8" s="1308"/>
      <c r="L8" s="980"/>
      <c r="M8" s="1308"/>
      <c r="N8" s="1308"/>
      <c r="O8" s="1308"/>
      <c r="P8" s="981"/>
      <c r="Q8" s="1313"/>
      <c r="R8" s="1308"/>
      <c r="S8" s="1308"/>
      <c r="T8" s="1308">
        <v>5478196</v>
      </c>
      <c r="U8" s="1308"/>
      <c r="V8" s="1308"/>
      <c r="W8" s="1308"/>
      <c r="X8" s="1314"/>
    </row>
    <row r="9" spans="1:24" ht="18" customHeight="1" x14ac:dyDescent="0.25">
      <c r="A9" s="2024"/>
      <c r="B9" s="2023"/>
      <c r="C9" s="2026"/>
      <c r="D9" s="953" t="s">
        <v>194</v>
      </c>
      <c r="E9" s="1307" t="s">
        <v>1757</v>
      </c>
      <c r="F9" s="1307" t="s">
        <v>1756</v>
      </c>
      <c r="G9" s="1082" t="s">
        <v>1754</v>
      </c>
      <c r="H9" s="1308"/>
      <c r="I9" s="1308"/>
      <c r="J9" s="1308"/>
      <c r="K9" s="1308"/>
      <c r="L9" s="980"/>
      <c r="M9" s="1308"/>
      <c r="N9" s="1308"/>
      <c r="O9" s="1308"/>
      <c r="P9" s="981"/>
      <c r="Q9" s="1313"/>
      <c r="R9" s="1308"/>
      <c r="S9" s="1308"/>
      <c r="T9" s="1308">
        <v>1839056</v>
      </c>
      <c r="U9" s="1308"/>
      <c r="V9" s="1308"/>
      <c r="W9" s="1308"/>
      <c r="X9" s="1314"/>
    </row>
    <row r="10" spans="1:24" ht="18" customHeight="1" x14ac:dyDescent="0.25">
      <c r="A10" s="2024"/>
      <c r="B10" s="2023"/>
      <c r="C10" s="2026"/>
      <c r="D10" s="953" t="s">
        <v>194</v>
      </c>
      <c r="E10" s="1307" t="s">
        <v>557</v>
      </c>
      <c r="F10" s="1307" t="s">
        <v>462</v>
      </c>
      <c r="G10" s="1082" t="s">
        <v>1754</v>
      </c>
      <c r="H10" s="1308"/>
      <c r="I10" s="1308"/>
      <c r="J10" s="1308"/>
      <c r="K10" s="1308"/>
      <c r="L10" s="980"/>
      <c r="M10" s="1308"/>
      <c r="N10" s="1308"/>
      <c r="O10" s="1308"/>
      <c r="P10" s="981"/>
      <c r="Q10" s="1313"/>
      <c r="R10" s="1308"/>
      <c r="S10" s="1308"/>
      <c r="T10" s="1308">
        <f>8268+2232</f>
        <v>10500</v>
      </c>
      <c r="U10" s="1308"/>
      <c r="V10" s="1308"/>
      <c r="W10" s="1308"/>
      <c r="X10" s="1314"/>
    </row>
    <row r="11" spans="1:24" ht="18" customHeight="1" x14ac:dyDescent="0.25">
      <c r="A11" s="2024"/>
      <c r="B11" s="2023"/>
      <c r="C11" s="2026"/>
      <c r="D11" s="953" t="s">
        <v>194</v>
      </c>
      <c r="E11" s="1307" t="s">
        <v>1758</v>
      </c>
      <c r="F11" s="1307" t="s">
        <v>1449</v>
      </c>
      <c r="G11" s="1082" t="s">
        <v>1754</v>
      </c>
      <c r="H11" s="1308"/>
      <c r="I11" s="1308"/>
      <c r="J11" s="1308"/>
      <c r="K11" s="1308"/>
      <c r="L11" s="980"/>
      <c r="M11" s="1308"/>
      <c r="N11" s="1308"/>
      <c r="O11" s="1308"/>
      <c r="P11" s="981"/>
      <c r="Q11" s="1313"/>
      <c r="R11" s="1308"/>
      <c r="S11" s="1308"/>
      <c r="T11" s="1308">
        <f>145600+39313</f>
        <v>184913</v>
      </c>
      <c r="U11" s="1308"/>
      <c r="V11" s="1308"/>
      <c r="W11" s="1308"/>
      <c r="X11" s="1314"/>
    </row>
    <row r="12" spans="1:24" ht="18" customHeight="1" x14ac:dyDescent="0.25">
      <c r="A12" s="2024"/>
      <c r="B12" s="2023"/>
      <c r="C12" s="2026"/>
      <c r="D12" s="953" t="s">
        <v>194</v>
      </c>
      <c r="E12" s="1307" t="s">
        <v>62</v>
      </c>
      <c r="F12" s="1307" t="s">
        <v>541</v>
      </c>
      <c r="G12" s="1082" t="s">
        <v>1754</v>
      </c>
      <c r="H12" s="1308"/>
      <c r="I12" s="1308"/>
      <c r="J12" s="1308"/>
      <c r="K12" s="1308"/>
      <c r="L12" s="980"/>
      <c r="M12" s="1308"/>
      <c r="N12" s="1308"/>
      <c r="O12" s="1308"/>
      <c r="P12" s="981"/>
      <c r="Q12" s="1313"/>
      <c r="R12" s="1308"/>
      <c r="S12" s="1308"/>
      <c r="T12" s="1308">
        <v>28000</v>
      </c>
      <c r="U12" s="1308"/>
      <c r="V12" s="1308"/>
      <c r="W12" s="1308"/>
      <c r="X12" s="1314"/>
    </row>
    <row r="13" spans="1:24" ht="18" customHeight="1" x14ac:dyDescent="0.25">
      <c r="A13" s="2024"/>
      <c r="B13" s="2023"/>
      <c r="C13" s="2026"/>
      <c r="D13" s="953" t="s">
        <v>194</v>
      </c>
      <c r="E13" s="1307" t="s">
        <v>129</v>
      </c>
      <c r="F13" s="1307" t="s">
        <v>128</v>
      </c>
      <c r="G13" s="1082" t="s">
        <v>1754</v>
      </c>
      <c r="H13" s="1308"/>
      <c r="I13" s="1308"/>
      <c r="J13" s="1308"/>
      <c r="K13" s="1308"/>
      <c r="L13" s="980"/>
      <c r="M13" s="1308"/>
      <c r="N13" s="1308"/>
      <c r="O13" s="1308"/>
      <c r="P13" s="981"/>
      <c r="Q13" s="1313"/>
      <c r="R13" s="1308"/>
      <c r="S13" s="1308"/>
      <c r="T13" s="1308">
        <f>13343023+3602617</f>
        <v>16945640</v>
      </c>
      <c r="U13" s="1308"/>
      <c r="V13" s="1308"/>
      <c r="W13" s="1308"/>
      <c r="X13" s="1314"/>
    </row>
    <row r="14" spans="1:24" ht="18" customHeight="1" x14ac:dyDescent="0.25">
      <c r="A14" s="2024"/>
      <c r="B14" s="2023"/>
      <c r="C14" s="2026"/>
      <c r="D14" s="953" t="s">
        <v>194</v>
      </c>
      <c r="E14" s="1307" t="s">
        <v>563</v>
      </c>
      <c r="F14" s="1307" t="s">
        <v>1759</v>
      </c>
      <c r="G14" s="1082" t="s">
        <v>1754</v>
      </c>
      <c r="H14" s="1308"/>
      <c r="I14" s="1308"/>
      <c r="J14" s="1308"/>
      <c r="K14" s="1308"/>
      <c r="L14" s="980"/>
      <c r="M14" s="1308"/>
      <c r="N14" s="1308"/>
      <c r="O14" s="1308"/>
      <c r="P14" s="981"/>
      <c r="Q14" s="1313"/>
      <c r="R14" s="1308"/>
      <c r="S14" s="1308"/>
      <c r="T14" s="1308">
        <f>51042373+13781441</f>
        <v>64823814</v>
      </c>
      <c r="U14" s="1308"/>
      <c r="V14" s="1308"/>
      <c r="W14" s="1308"/>
      <c r="X14" s="1314"/>
    </row>
    <row r="15" spans="1:24" ht="15.75" customHeight="1" x14ac:dyDescent="0.25">
      <c r="A15" s="2024" t="s">
        <v>195</v>
      </c>
      <c r="B15" s="2023" t="s">
        <v>323</v>
      </c>
      <c r="C15" s="2026" t="s">
        <v>1751</v>
      </c>
      <c r="D15" s="953" t="s">
        <v>194</v>
      </c>
      <c r="E15" s="1307" t="s">
        <v>1753</v>
      </c>
      <c r="F15" s="1307" t="s">
        <v>1760</v>
      </c>
      <c r="G15" s="1082" t="s">
        <v>1752</v>
      </c>
      <c r="H15" s="1308"/>
      <c r="I15" s="1308"/>
      <c r="J15" s="1308"/>
      <c r="K15" s="1308"/>
      <c r="L15" s="980"/>
      <c r="M15" s="1308"/>
      <c r="N15" s="1308"/>
      <c r="O15" s="1308"/>
      <c r="P15" s="981"/>
      <c r="Q15" s="1313"/>
      <c r="R15" s="1308"/>
      <c r="S15" s="1308">
        <f>-13889158-29661178-3428775</f>
        <v>-46979111</v>
      </c>
      <c r="T15" s="1308"/>
      <c r="U15" s="1308"/>
      <c r="V15" s="1308"/>
      <c r="W15" s="1308"/>
      <c r="X15" s="1314"/>
    </row>
    <row r="16" spans="1:24" ht="15.75" customHeight="1" x14ac:dyDescent="0.25">
      <c r="A16" s="2024"/>
      <c r="B16" s="2023"/>
      <c r="C16" s="2026"/>
      <c r="D16" s="953" t="s">
        <v>194</v>
      </c>
      <c r="E16" s="1307" t="s">
        <v>1762</v>
      </c>
      <c r="F16" s="1307" t="s">
        <v>1761</v>
      </c>
      <c r="G16" s="1082" t="s">
        <v>1754</v>
      </c>
      <c r="H16" s="1308"/>
      <c r="I16" s="1308"/>
      <c r="J16" s="1308"/>
      <c r="K16" s="1308"/>
      <c r="L16" s="980"/>
      <c r="M16" s="1308"/>
      <c r="N16" s="1308"/>
      <c r="O16" s="1308"/>
      <c r="P16" s="981"/>
      <c r="Q16" s="1313"/>
      <c r="R16" s="1308"/>
      <c r="S16" s="1308">
        <f>13889158+29661178+3428775</f>
        <v>46979111</v>
      </c>
      <c r="T16" s="1308"/>
      <c r="U16" s="1308"/>
      <c r="V16" s="1308"/>
      <c r="W16" s="1308"/>
      <c r="X16" s="1314"/>
    </row>
    <row r="17" spans="1:24" ht="18.75" customHeight="1" x14ac:dyDescent="0.25">
      <c r="A17" s="2024" t="s">
        <v>196</v>
      </c>
      <c r="B17" s="2023" t="s">
        <v>324</v>
      </c>
      <c r="C17" s="2026" t="s">
        <v>1765</v>
      </c>
      <c r="D17" s="953" t="s">
        <v>194</v>
      </c>
      <c r="E17" s="1307" t="s">
        <v>73</v>
      </c>
      <c r="F17" s="1307" t="s">
        <v>453</v>
      </c>
      <c r="G17" s="1082" t="s">
        <v>1766</v>
      </c>
      <c r="H17" s="1308">
        <f>-449286+449286</f>
        <v>0</v>
      </c>
      <c r="I17" s="1308"/>
      <c r="J17" s="1308"/>
      <c r="K17" s="1308"/>
      <c r="L17" s="980"/>
      <c r="M17" s="1308"/>
      <c r="N17" s="1308"/>
      <c r="O17" s="1308"/>
      <c r="P17" s="981"/>
      <c r="Q17" s="1313"/>
      <c r="R17" s="1308"/>
      <c r="S17" s="1308"/>
      <c r="T17" s="1308"/>
      <c r="U17" s="1308"/>
      <c r="V17" s="1308"/>
      <c r="W17" s="1308"/>
      <c r="X17" s="1314"/>
    </row>
    <row r="18" spans="1:24" ht="18.75" customHeight="1" x14ac:dyDescent="0.25">
      <c r="A18" s="2024"/>
      <c r="B18" s="2023"/>
      <c r="C18" s="2026"/>
      <c r="D18" s="953" t="s">
        <v>194</v>
      </c>
      <c r="E18" s="1307" t="s">
        <v>609</v>
      </c>
      <c r="F18" s="1307" t="s">
        <v>455</v>
      </c>
      <c r="G18" s="1082" t="s">
        <v>1766</v>
      </c>
      <c r="H18" s="1308">
        <f>-16200+16200</f>
        <v>0</v>
      </c>
      <c r="I18" s="1308"/>
      <c r="J18" s="1308"/>
      <c r="K18" s="1308"/>
      <c r="L18" s="980"/>
      <c r="M18" s="1308"/>
      <c r="N18" s="1308"/>
      <c r="O18" s="1308"/>
      <c r="P18" s="981"/>
      <c r="Q18" s="1313"/>
      <c r="R18" s="1308"/>
      <c r="S18" s="1308"/>
      <c r="T18" s="1308"/>
      <c r="U18" s="1308"/>
      <c r="V18" s="1308"/>
      <c r="W18" s="1308"/>
      <c r="X18" s="1314"/>
    </row>
    <row r="19" spans="1:24" ht="18.75" customHeight="1" x14ac:dyDescent="0.25">
      <c r="A19" s="2024"/>
      <c r="B19" s="2023"/>
      <c r="C19" s="2026"/>
      <c r="D19" s="953" t="s">
        <v>194</v>
      </c>
      <c r="E19" s="1307" t="s">
        <v>130</v>
      </c>
      <c r="F19" s="1307" t="s">
        <v>457</v>
      </c>
      <c r="G19" s="1082" t="s">
        <v>1766</v>
      </c>
      <c r="H19" s="1308">
        <f>-67701+67701</f>
        <v>0</v>
      </c>
      <c r="I19" s="1308"/>
      <c r="J19" s="1308"/>
      <c r="K19" s="1308"/>
      <c r="L19" s="980"/>
      <c r="M19" s="1308"/>
      <c r="N19" s="1308"/>
      <c r="O19" s="1308"/>
      <c r="P19" s="981"/>
      <c r="Q19" s="1313"/>
      <c r="R19" s="1308"/>
      <c r="S19" s="1308"/>
      <c r="T19" s="1308"/>
      <c r="U19" s="1308"/>
      <c r="V19" s="1308"/>
      <c r="W19" s="1308"/>
      <c r="X19" s="1314"/>
    </row>
    <row r="20" spans="1:24" ht="18.75" customHeight="1" x14ac:dyDescent="0.25">
      <c r="A20" s="2024"/>
      <c r="B20" s="2023"/>
      <c r="C20" s="2026"/>
      <c r="D20" s="953" t="s">
        <v>194</v>
      </c>
      <c r="E20" s="1307" t="s">
        <v>557</v>
      </c>
      <c r="F20" s="1307" t="s">
        <v>460</v>
      </c>
      <c r="G20" s="1082" t="s">
        <v>1766</v>
      </c>
      <c r="H20" s="1308">
        <f>-101913+18000+83913</f>
        <v>0</v>
      </c>
      <c r="I20" s="1308"/>
      <c r="J20" s="1308"/>
      <c r="K20" s="1308"/>
      <c r="L20" s="980"/>
      <c r="M20" s="1308"/>
      <c r="N20" s="1308"/>
      <c r="O20" s="1308"/>
      <c r="P20" s="981"/>
      <c r="Q20" s="1313"/>
      <c r="R20" s="1308"/>
      <c r="S20" s="1308"/>
      <c r="T20" s="1308"/>
      <c r="U20" s="1308"/>
      <c r="V20" s="1308"/>
      <c r="W20" s="1308"/>
      <c r="X20" s="1314"/>
    </row>
    <row r="21" spans="1:24" ht="18.75" customHeight="1" x14ac:dyDescent="0.25">
      <c r="A21" s="2024"/>
      <c r="B21" s="2023"/>
      <c r="C21" s="2026"/>
      <c r="D21" s="953" t="s">
        <v>194</v>
      </c>
      <c r="E21" s="1307" t="s">
        <v>557</v>
      </c>
      <c r="F21" s="1307" t="s">
        <v>462</v>
      </c>
      <c r="G21" s="1082" t="s">
        <v>1766</v>
      </c>
      <c r="H21" s="1308">
        <f>-85000+40000+45000</f>
        <v>0</v>
      </c>
      <c r="I21" s="1308"/>
      <c r="J21" s="1308"/>
      <c r="K21" s="1308"/>
      <c r="L21" s="980"/>
      <c r="M21" s="1308"/>
      <c r="N21" s="1308"/>
      <c r="O21" s="1308"/>
      <c r="P21" s="981"/>
      <c r="Q21" s="1313"/>
      <c r="R21" s="1308"/>
      <c r="S21" s="1308"/>
      <c r="T21" s="1308"/>
      <c r="U21" s="1308"/>
      <c r="V21" s="1308"/>
      <c r="W21" s="1308"/>
      <c r="X21" s="1314"/>
    </row>
    <row r="22" spans="1:24" ht="20.25" customHeight="1" x14ac:dyDescent="0.25">
      <c r="A22" s="2024" t="s">
        <v>197</v>
      </c>
      <c r="B22" s="2023" t="s">
        <v>325</v>
      </c>
      <c r="C22" s="2016" t="s">
        <v>1767</v>
      </c>
      <c r="D22" s="953" t="s">
        <v>194</v>
      </c>
      <c r="E22" s="1307" t="s">
        <v>73</v>
      </c>
      <c r="F22" s="1307" t="s">
        <v>453</v>
      </c>
      <c r="G22" s="1082" t="s">
        <v>1766</v>
      </c>
      <c r="H22" s="1308">
        <f>-987857+987857</f>
        <v>0</v>
      </c>
      <c r="I22" s="1308"/>
      <c r="J22" s="1308"/>
      <c r="K22" s="1308"/>
      <c r="L22" s="980"/>
      <c r="M22" s="1308"/>
      <c r="N22" s="1308"/>
      <c r="O22" s="1308"/>
      <c r="P22" s="981"/>
      <c r="Q22" s="1313"/>
      <c r="R22" s="1308"/>
      <c r="S22" s="1308"/>
      <c r="T22" s="1308"/>
      <c r="U22" s="1308"/>
      <c r="V22" s="1308"/>
      <c r="W22" s="1308"/>
      <c r="X22" s="1314"/>
    </row>
    <row r="23" spans="1:24" ht="20.25" customHeight="1" x14ac:dyDescent="0.25">
      <c r="A23" s="2024"/>
      <c r="B23" s="2023"/>
      <c r="C23" s="2016"/>
      <c r="D23" s="953" t="s">
        <v>194</v>
      </c>
      <c r="E23" s="1307" t="s">
        <v>609</v>
      </c>
      <c r="F23" s="1307" t="s">
        <v>455</v>
      </c>
      <c r="G23" s="1082" t="s">
        <v>1766</v>
      </c>
      <c r="H23" s="1308">
        <f>-16200+16200</f>
        <v>0</v>
      </c>
      <c r="I23" s="1308"/>
      <c r="J23" s="1308"/>
      <c r="K23" s="1308"/>
      <c r="L23" s="980"/>
      <c r="M23" s="1308"/>
      <c r="N23" s="1308"/>
      <c r="O23" s="1308"/>
      <c r="P23" s="981"/>
      <c r="Q23" s="1313"/>
      <c r="R23" s="1308"/>
      <c r="S23" s="1308"/>
      <c r="T23" s="1308"/>
      <c r="U23" s="1308"/>
      <c r="V23" s="1308"/>
      <c r="W23" s="1308"/>
      <c r="X23" s="1314"/>
    </row>
    <row r="24" spans="1:24" ht="20.25" customHeight="1" x14ac:dyDescent="0.25">
      <c r="A24" s="2024"/>
      <c r="B24" s="2023"/>
      <c r="C24" s="2016"/>
      <c r="D24" s="953" t="s">
        <v>194</v>
      </c>
      <c r="E24" s="1307" t="s">
        <v>130</v>
      </c>
      <c r="F24" s="1307" t="s">
        <v>457</v>
      </c>
      <c r="G24" s="1082" t="s">
        <v>1766</v>
      </c>
      <c r="H24" s="1308">
        <f>-26207+26207</f>
        <v>0</v>
      </c>
      <c r="I24" s="1308"/>
      <c r="J24" s="1308"/>
      <c r="K24" s="1308"/>
      <c r="L24" s="980"/>
      <c r="M24" s="1308"/>
      <c r="N24" s="1308"/>
      <c r="O24" s="1308"/>
      <c r="P24" s="981"/>
      <c r="Q24" s="1313"/>
      <c r="R24" s="1308"/>
      <c r="S24" s="1308"/>
      <c r="T24" s="1308"/>
      <c r="U24" s="1308"/>
      <c r="V24" s="1308"/>
      <c r="W24" s="1308"/>
      <c r="X24" s="1314"/>
    </row>
    <row r="25" spans="1:24" ht="20.25" customHeight="1" x14ac:dyDescent="0.25">
      <c r="A25" s="2024"/>
      <c r="B25" s="2023"/>
      <c r="C25" s="2016"/>
      <c r="D25" s="953" t="s">
        <v>194</v>
      </c>
      <c r="E25" s="1307" t="s">
        <v>648</v>
      </c>
      <c r="F25" s="1307" t="s">
        <v>135</v>
      </c>
      <c r="G25" s="1082" t="s">
        <v>1766</v>
      </c>
      <c r="H25" s="1308">
        <f>-28000+28000</f>
        <v>0</v>
      </c>
      <c r="I25" s="1308"/>
      <c r="J25" s="1308"/>
      <c r="K25" s="1308"/>
      <c r="L25" s="980"/>
      <c r="M25" s="1308"/>
      <c r="N25" s="1308"/>
      <c r="O25" s="1308"/>
      <c r="P25" s="981"/>
      <c r="Q25" s="1313"/>
      <c r="R25" s="1308"/>
      <c r="S25" s="1308"/>
      <c r="T25" s="1308"/>
      <c r="U25" s="1308"/>
      <c r="V25" s="1308"/>
      <c r="W25" s="1308"/>
      <c r="X25" s="1314"/>
    </row>
    <row r="26" spans="1:24" ht="20.25" customHeight="1" x14ac:dyDescent="0.25">
      <c r="A26" s="2024"/>
      <c r="B26" s="2023"/>
      <c r="C26" s="2016"/>
      <c r="D26" s="953" t="s">
        <v>194</v>
      </c>
      <c r="E26" s="1307" t="s">
        <v>557</v>
      </c>
      <c r="F26" s="1307" t="s">
        <v>462</v>
      </c>
      <c r="G26" s="1082" t="s">
        <v>1766</v>
      </c>
      <c r="H26" s="1308">
        <f>-60000+60000</f>
        <v>0</v>
      </c>
      <c r="I26" s="1308"/>
      <c r="J26" s="1308"/>
      <c r="K26" s="1308"/>
      <c r="L26" s="980"/>
      <c r="M26" s="1308"/>
      <c r="N26" s="1308"/>
      <c r="O26" s="1308"/>
      <c r="P26" s="981"/>
      <c r="Q26" s="1313"/>
      <c r="R26" s="1308"/>
      <c r="S26" s="1308"/>
      <c r="T26" s="1308"/>
      <c r="U26" s="1308"/>
      <c r="V26" s="1308"/>
      <c r="W26" s="1308"/>
      <c r="X26" s="1314"/>
    </row>
    <row r="27" spans="1:24" ht="20.25" customHeight="1" x14ac:dyDescent="0.25">
      <c r="A27" s="2024"/>
      <c r="B27" s="2023"/>
      <c r="C27" s="2016"/>
      <c r="D27" s="953" t="s">
        <v>194</v>
      </c>
      <c r="E27" s="1307" t="s">
        <v>62</v>
      </c>
      <c r="F27" s="1307" t="s">
        <v>541</v>
      </c>
      <c r="G27" s="1082" t="s">
        <v>1766</v>
      </c>
      <c r="H27" s="1308">
        <f>-108333+108333</f>
        <v>0</v>
      </c>
      <c r="I27" s="1308"/>
      <c r="J27" s="1308"/>
      <c r="K27" s="1308"/>
      <c r="L27" s="980"/>
      <c r="M27" s="1308"/>
      <c r="N27" s="1308"/>
      <c r="O27" s="1308"/>
      <c r="P27" s="981"/>
      <c r="Q27" s="1313"/>
      <c r="R27" s="1308"/>
      <c r="S27" s="1308"/>
      <c r="T27" s="1308"/>
      <c r="U27" s="1308"/>
      <c r="V27" s="1308"/>
      <c r="W27" s="1308"/>
      <c r="X27" s="1314"/>
    </row>
    <row r="28" spans="1:24" ht="26.25" customHeight="1" x14ac:dyDescent="0.25">
      <c r="A28" s="2024" t="s">
        <v>198</v>
      </c>
      <c r="B28" s="2023" t="s">
        <v>326</v>
      </c>
      <c r="C28" s="2016" t="s">
        <v>1908</v>
      </c>
      <c r="D28" s="953" t="s">
        <v>197</v>
      </c>
      <c r="E28" s="1307" t="s">
        <v>1297</v>
      </c>
      <c r="F28" s="1307" t="s">
        <v>1768</v>
      </c>
      <c r="G28" s="1082" t="s">
        <v>1752</v>
      </c>
      <c r="H28" s="1308"/>
      <c r="I28" s="1308"/>
      <c r="J28" s="1308"/>
      <c r="K28" s="1308"/>
      <c r="L28" s="980"/>
      <c r="M28" s="1308"/>
      <c r="N28" s="1308"/>
      <c r="O28" s="1308">
        <v>-2500000</v>
      </c>
      <c r="P28" s="981"/>
      <c r="Q28" s="1313"/>
      <c r="R28" s="1308"/>
      <c r="S28" s="1308"/>
      <c r="T28" s="1308"/>
      <c r="U28" s="1308"/>
      <c r="V28" s="1308"/>
      <c r="W28" s="1308"/>
      <c r="X28" s="1314"/>
    </row>
    <row r="29" spans="1:24" ht="26.25" customHeight="1" x14ac:dyDescent="0.25">
      <c r="A29" s="2024"/>
      <c r="B29" s="2023"/>
      <c r="C29" s="2016"/>
      <c r="D29" s="953" t="s">
        <v>197</v>
      </c>
      <c r="E29" s="1307" t="s">
        <v>1297</v>
      </c>
      <c r="F29" s="1307" t="s">
        <v>1769</v>
      </c>
      <c r="G29" s="1082" t="s">
        <v>1754</v>
      </c>
      <c r="H29" s="1308"/>
      <c r="I29" s="1308"/>
      <c r="J29" s="1308"/>
      <c r="K29" s="1308"/>
      <c r="L29" s="980"/>
      <c r="M29" s="1308"/>
      <c r="N29" s="1308"/>
      <c r="O29" s="1308">
        <v>2500000</v>
      </c>
      <c r="P29" s="981"/>
      <c r="Q29" s="1313"/>
      <c r="R29" s="1308"/>
      <c r="S29" s="1308"/>
      <c r="T29" s="1308"/>
      <c r="U29" s="1308"/>
      <c r="V29" s="1308"/>
      <c r="W29" s="1308"/>
      <c r="X29" s="1314"/>
    </row>
    <row r="30" spans="1:24" ht="20.25" customHeight="1" x14ac:dyDescent="0.25">
      <c r="A30" s="2024" t="s">
        <v>199</v>
      </c>
      <c r="B30" s="2023" t="s">
        <v>766</v>
      </c>
      <c r="C30" s="2016" t="s">
        <v>1773</v>
      </c>
      <c r="D30" s="953" t="s">
        <v>202</v>
      </c>
      <c r="E30" s="1307" t="s">
        <v>1294</v>
      </c>
      <c r="F30" s="1307" t="s">
        <v>1774</v>
      </c>
      <c r="G30" s="1082" t="s">
        <v>1752</v>
      </c>
      <c r="H30" s="1308"/>
      <c r="I30" s="1308"/>
      <c r="J30" s="1308"/>
      <c r="K30" s="1308">
        <v>-1000000</v>
      </c>
      <c r="L30" s="980"/>
      <c r="M30" s="1308"/>
      <c r="N30" s="1308"/>
      <c r="O30" s="1308"/>
      <c r="P30" s="981"/>
      <c r="Q30" s="1313"/>
      <c r="R30" s="1308"/>
      <c r="S30" s="1308"/>
      <c r="T30" s="1308"/>
      <c r="U30" s="1308"/>
      <c r="V30" s="1308"/>
      <c r="W30" s="1308"/>
      <c r="X30" s="1314"/>
    </row>
    <row r="31" spans="1:24" ht="20.25" customHeight="1" x14ac:dyDescent="0.25">
      <c r="A31" s="2024"/>
      <c r="B31" s="2023"/>
      <c r="C31" s="2016"/>
      <c r="D31" s="953" t="s">
        <v>202</v>
      </c>
      <c r="E31" s="1307" t="s">
        <v>1294</v>
      </c>
      <c r="F31" s="1307" t="s">
        <v>1775</v>
      </c>
      <c r="G31" s="1082" t="s">
        <v>1754</v>
      </c>
      <c r="H31" s="1308"/>
      <c r="I31" s="1308"/>
      <c r="J31" s="1308"/>
      <c r="K31" s="1308">
        <v>1000000</v>
      </c>
      <c r="L31" s="980"/>
      <c r="M31" s="1308"/>
      <c r="N31" s="1308"/>
      <c r="O31" s="1308"/>
      <c r="P31" s="981"/>
      <c r="Q31" s="1313"/>
      <c r="R31" s="1308"/>
      <c r="S31" s="1308"/>
      <c r="T31" s="1308"/>
      <c r="U31" s="1308"/>
      <c r="V31" s="1308"/>
      <c r="W31" s="1308"/>
      <c r="X31" s="1314"/>
    </row>
    <row r="32" spans="1:24" ht="23.25" customHeight="1" x14ac:dyDescent="0.25">
      <c r="A32" s="1423" t="s">
        <v>200</v>
      </c>
      <c r="B32" s="1422" t="s">
        <v>767</v>
      </c>
      <c r="C32" s="754" t="s">
        <v>1779</v>
      </c>
      <c r="D32" s="953" t="s">
        <v>194</v>
      </c>
      <c r="E32" s="1307" t="s">
        <v>1781</v>
      </c>
      <c r="F32" s="1307" t="s">
        <v>1780</v>
      </c>
      <c r="G32" s="1082" t="s">
        <v>1754</v>
      </c>
      <c r="H32" s="1308"/>
      <c r="I32" s="1308"/>
      <c r="J32" s="1308"/>
      <c r="K32" s="1308"/>
      <c r="L32" s="980"/>
      <c r="M32" s="1308"/>
      <c r="N32" s="1308"/>
      <c r="O32" s="1308"/>
      <c r="P32" s="981">
        <v>44181211</v>
      </c>
      <c r="Q32" s="1313"/>
      <c r="R32" s="1308"/>
      <c r="S32" s="1308"/>
      <c r="T32" s="1308"/>
      <c r="U32" s="1308"/>
      <c r="V32" s="1308"/>
      <c r="W32" s="1308"/>
      <c r="X32" s="1314">
        <v>44181211</v>
      </c>
    </row>
    <row r="33" spans="1:24" ht="23.25" customHeight="1" x14ac:dyDescent="0.25">
      <c r="A33" s="1423" t="s">
        <v>201</v>
      </c>
      <c r="B33" s="1422" t="s">
        <v>768</v>
      </c>
      <c r="C33" s="754" t="s">
        <v>1782</v>
      </c>
      <c r="D33" s="953" t="s">
        <v>194</v>
      </c>
      <c r="E33" s="1307" t="s">
        <v>1781</v>
      </c>
      <c r="F33" s="1307" t="s">
        <v>1780</v>
      </c>
      <c r="G33" s="1082" t="s">
        <v>1754</v>
      </c>
      <c r="H33" s="1308"/>
      <c r="I33" s="1308"/>
      <c r="J33" s="1308"/>
      <c r="K33" s="1308"/>
      <c r="L33" s="980"/>
      <c r="M33" s="1308"/>
      <c r="N33" s="1308"/>
      <c r="O33" s="1308"/>
      <c r="P33" s="981">
        <v>8420273</v>
      </c>
      <c r="Q33" s="1313"/>
      <c r="R33" s="1308"/>
      <c r="S33" s="1308"/>
      <c r="T33" s="1308"/>
      <c r="U33" s="1308"/>
      <c r="V33" s="1308"/>
      <c r="W33" s="1308"/>
      <c r="X33" s="1314">
        <v>8420273</v>
      </c>
    </row>
    <row r="34" spans="1:24" ht="24" customHeight="1" x14ac:dyDescent="0.25">
      <c r="A34" s="2024" t="s">
        <v>202</v>
      </c>
      <c r="B34" s="2023" t="s">
        <v>769</v>
      </c>
      <c r="C34" s="2019" t="s">
        <v>1883</v>
      </c>
      <c r="D34" s="953" t="s">
        <v>204</v>
      </c>
      <c r="E34" s="1307" t="s">
        <v>1753</v>
      </c>
      <c r="F34" s="1307" t="s">
        <v>1784</v>
      </c>
      <c r="G34" s="1082" t="s">
        <v>1754</v>
      </c>
      <c r="H34" s="1308"/>
      <c r="I34" s="1308"/>
      <c r="J34" s="1308"/>
      <c r="K34" s="1308"/>
      <c r="L34" s="980"/>
      <c r="M34" s="1308"/>
      <c r="N34" s="1308"/>
      <c r="O34" s="1308"/>
      <c r="P34" s="981"/>
      <c r="Q34" s="1313">
        <v>2037004</v>
      </c>
      <c r="R34" s="1308"/>
      <c r="S34" s="1308"/>
      <c r="T34" s="1308"/>
      <c r="U34" s="1308"/>
      <c r="V34" s="1308"/>
      <c r="W34" s="1308"/>
      <c r="X34" s="1314"/>
    </row>
    <row r="35" spans="1:24" ht="24" customHeight="1" x14ac:dyDescent="0.25">
      <c r="A35" s="2024"/>
      <c r="B35" s="2023"/>
      <c r="C35" s="2019"/>
      <c r="D35" s="953" t="s">
        <v>201</v>
      </c>
      <c r="E35" s="1307" t="s">
        <v>73</v>
      </c>
      <c r="F35" s="1307" t="s">
        <v>1785</v>
      </c>
      <c r="G35" s="1082" t="s">
        <v>1754</v>
      </c>
      <c r="H35" s="1308"/>
      <c r="I35" s="1308"/>
      <c r="J35" s="1308"/>
      <c r="K35" s="1308"/>
      <c r="L35" s="980">
        <v>2037004</v>
      </c>
      <c r="M35" s="1308"/>
      <c r="N35" s="1308"/>
      <c r="O35" s="1308"/>
      <c r="P35" s="981"/>
      <c r="Q35" s="1313"/>
      <c r="R35" s="1308"/>
      <c r="S35" s="1308"/>
      <c r="T35" s="1308"/>
      <c r="U35" s="1308"/>
      <c r="V35" s="1308"/>
      <c r="W35" s="1308"/>
      <c r="X35" s="1314"/>
    </row>
    <row r="36" spans="1:24" ht="21" customHeight="1" x14ac:dyDescent="0.25">
      <c r="A36" s="2024" t="s">
        <v>203</v>
      </c>
      <c r="B36" s="2023" t="s">
        <v>770</v>
      </c>
      <c r="C36" s="2019" t="s">
        <v>1884</v>
      </c>
      <c r="D36" s="953" t="s">
        <v>204</v>
      </c>
      <c r="E36" s="1307" t="s">
        <v>1753</v>
      </c>
      <c r="F36" s="1307" t="s">
        <v>1784</v>
      </c>
      <c r="G36" s="1082" t="s">
        <v>1754</v>
      </c>
      <c r="H36" s="1308"/>
      <c r="I36" s="1308"/>
      <c r="J36" s="1308"/>
      <c r="K36" s="1308"/>
      <c r="L36" s="980"/>
      <c r="M36" s="1308"/>
      <c r="N36" s="1308"/>
      <c r="O36" s="1308"/>
      <c r="P36" s="981"/>
      <c r="Q36" s="1313">
        <v>2619348</v>
      </c>
      <c r="R36" s="1308"/>
      <c r="S36" s="1308"/>
      <c r="T36" s="1308"/>
      <c r="U36" s="1308"/>
      <c r="V36" s="1308"/>
      <c r="W36" s="1308"/>
      <c r="X36" s="1314"/>
    </row>
    <row r="37" spans="1:24" ht="21" customHeight="1" x14ac:dyDescent="0.25">
      <c r="A37" s="2024"/>
      <c r="B37" s="2023"/>
      <c r="C37" s="2019"/>
      <c r="D37" s="953" t="s">
        <v>201</v>
      </c>
      <c r="E37" s="1307" t="s">
        <v>73</v>
      </c>
      <c r="F37" s="1307" t="s">
        <v>1785</v>
      </c>
      <c r="G37" s="1082" t="s">
        <v>1754</v>
      </c>
      <c r="H37" s="1308"/>
      <c r="I37" s="1308"/>
      <c r="J37" s="1308"/>
      <c r="K37" s="1308"/>
      <c r="L37" s="980">
        <v>2619348</v>
      </c>
      <c r="M37" s="1308"/>
      <c r="N37" s="1308"/>
      <c r="O37" s="1308"/>
      <c r="P37" s="981"/>
      <c r="Q37" s="1313"/>
      <c r="R37" s="1308"/>
      <c r="S37" s="1308"/>
      <c r="T37" s="1308"/>
      <c r="U37" s="1308"/>
      <c r="V37" s="1308"/>
      <c r="W37" s="1308"/>
      <c r="X37" s="1314"/>
    </row>
    <row r="38" spans="1:24" ht="33" customHeight="1" x14ac:dyDescent="0.25">
      <c r="A38" s="2024" t="s">
        <v>204</v>
      </c>
      <c r="B38" s="2023" t="s">
        <v>771</v>
      </c>
      <c r="C38" s="2016" t="s">
        <v>1798</v>
      </c>
      <c r="D38" s="953" t="s">
        <v>201</v>
      </c>
      <c r="E38" s="1307" t="s">
        <v>73</v>
      </c>
      <c r="F38" s="1307" t="s">
        <v>1785</v>
      </c>
      <c r="G38" s="1082" t="s">
        <v>1752</v>
      </c>
      <c r="H38" s="1308"/>
      <c r="I38" s="1308"/>
      <c r="J38" s="1308"/>
      <c r="K38" s="1308"/>
      <c r="L38" s="980">
        <v>-275000</v>
      </c>
      <c r="M38" s="1308"/>
      <c r="N38" s="1308"/>
      <c r="O38" s="1308"/>
      <c r="P38" s="981"/>
      <c r="Q38" s="1313"/>
      <c r="R38" s="1308"/>
      <c r="S38" s="1308"/>
      <c r="T38" s="1308"/>
      <c r="U38" s="1308"/>
      <c r="V38" s="1308"/>
      <c r="W38" s="1308"/>
      <c r="X38" s="1314"/>
    </row>
    <row r="39" spans="1:24" ht="33" customHeight="1" x14ac:dyDescent="0.25">
      <c r="A39" s="2024"/>
      <c r="B39" s="2023"/>
      <c r="C39" s="2016"/>
      <c r="D39" s="953" t="s">
        <v>198</v>
      </c>
      <c r="E39" s="1307" t="s">
        <v>1297</v>
      </c>
      <c r="F39" s="1307" t="s">
        <v>1769</v>
      </c>
      <c r="G39" s="1082" t="s">
        <v>1754</v>
      </c>
      <c r="H39" s="1308"/>
      <c r="I39" s="1308"/>
      <c r="J39" s="1308"/>
      <c r="K39" s="1308"/>
      <c r="L39" s="980">
        <v>275000</v>
      </c>
      <c r="M39" s="1308"/>
      <c r="N39" s="1308"/>
      <c r="O39" s="1308"/>
      <c r="P39" s="981"/>
      <c r="Q39" s="1313"/>
      <c r="R39" s="1308"/>
      <c r="S39" s="1308"/>
      <c r="T39" s="1308"/>
      <c r="U39" s="1308"/>
      <c r="V39" s="1308"/>
      <c r="W39" s="1308"/>
      <c r="X39" s="1314"/>
    </row>
    <row r="40" spans="1:24" ht="21" customHeight="1" x14ac:dyDescent="0.25">
      <c r="A40" s="2024" t="s">
        <v>231</v>
      </c>
      <c r="B40" s="2023" t="s">
        <v>1801</v>
      </c>
      <c r="C40" s="2016" t="s">
        <v>1826</v>
      </c>
      <c r="D40" s="953" t="s">
        <v>199</v>
      </c>
      <c r="E40" s="1307" t="s">
        <v>1803</v>
      </c>
      <c r="F40" s="1307" t="s">
        <v>1312</v>
      </c>
      <c r="G40" s="1082" t="s">
        <v>1752</v>
      </c>
      <c r="H40" s="1308"/>
      <c r="I40" s="1308"/>
      <c r="J40" s="1308"/>
      <c r="K40" s="1308"/>
      <c r="L40" s="980"/>
      <c r="M40" s="1308">
        <f>-3937008-1062992</f>
        <v>-5000000</v>
      </c>
      <c r="N40" s="1308"/>
      <c r="O40" s="1308"/>
      <c r="P40" s="981"/>
      <c r="Q40" s="1313"/>
      <c r="R40" s="1308"/>
      <c r="S40" s="1308"/>
      <c r="T40" s="1308"/>
      <c r="U40" s="1308"/>
      <c r="V40" s="1308"/>
      <c r="W40" s="1308"/>
      <c r="X40" s="1314"/>
    </row>
    <row r="41" spans="1:24" ht="21" customHeight="1" x14ac:dyDescent="0.25">
      <c r="A41" s="2024"/>
      <c r="B41" s="2023"/>
      <c r="C41" s="2016"/>
      <c r="D41" s="953" t="s">
        <v>199</v>
      </c>
      <c r="E41" s="1307" t="s">
        <v>844</v>
      </c>
      <c r="F41" s="1307" t="s">
        <v>1802</v>
      </c>
      <c r="G41" s="1082" t="s">
        <v>1754</v>
      </c>
      <c r="H41" s="1308"/>
      <c r="I41" s="1308"/>
      <c r="J41" s="1308"/>
      <c r="K41" s="1308"/>
      <c r="L41" s="980"/>
      <c r="M41" s="1308">
        <f>3937008+1062992</f>
        <v>5000000</v>
      </c>
      <c r="N41" s="1308"/>
      <c r="O41" s="1308"/>
      <c r="P41" s="981"/>
      <c r="Q41" s="1313"/>
      <c r="R41" s="1308"/>
      <c r="S41" s="1308"/>
      <c r="T41" s="1308"/>
      <c r="U41" s="1308"/>
      <c r="V41" s="1308"/>
      <c r="W41" s="1308"/>
      <c r="X41" s="1314"/>
    </row>
    <row r="42" spans="1:24" ht="25.5" customHeight="1" x14ac:dyDescent="0.25">
      <c r="A42" s="2024" t="s">
        <v>232</v>
      </c>
      <c r="B42" s="2023" t="s">
        <v>772</v>
      </c>
      <c r="C42" s="2016" t="s">
        <v>1804</v>
      </c>
      <c r="D42" s="953" t="s">
        <v>201</v>
      </c>
      <c r="E42" s="1307" t="s">
        <v>73</v>
      </c>
      <c r="F42" s="1307" t="s">
        <v>1785</v>
      </c>
      <c r="G42" s="1082" t="s">
        <v>1752</v>
      </c>
      <c r="H42" s="1308"/>
      <c r="I42" s="1308"/>
      <c r="J42" s="1308"/>
      <c r="K42" s="1308"/>
      <c r="L42" s="980">
        <v>-2476500</v>
      </c>
      <c r="M42" s="1308"/>
      <c r="N42" s="1308"/>
      <c r="O42" s="1308"/>
      <c r="P42" s="981"/>
      <c r="Q42" s="1313"/>
      <c r="R42" s="1308"/>
      <c r="S42" s="1308"/>
      <c r="T42" s="1308"/>
      <c r="U42" s="1308"/>
      <c r="V42" s="1308"/>
      <c r="W42" s="1308"/>
      <c r="X42" s="1314"/>
    </row>
    <row r="43" spans="1:24" ht="25.5" customHeight="1" x14ac:dyDescent="0.25">
      <c r="A43" s="2024"/>
      <c r="B43" s="2023"/>
      <c r="C43" s="2016"/>
      <c r="D43" s="953" t="s">
        <v>199</v>
      </c>
      <c r="E43" s="1307" t="s">
        <v>129</v>
      </c>
      <c r="F43" s="1307" t="s">
        <v>151</v>
      </c>
      <c r="G43" s="1082" t="s">
        <v>1754</v>
      </c>
      <c r="H43" s="1308"/>
      <c r="I43" s="1308"/>
      <c r="J43" s="1308"/>
      <c r="K43" s="1308"/>
      <c r="L43" s="980"/>
      <c r="M43" s="1308">
        <f>1950000+526500</f>
        <v>2476500</v>
      </c>
      <c r="N43" s="1308"/>
      <c r="O43" s="1308"/>
      <c r="P43" s="981"/>
      <c r="Q43" s="1313"/>
      <c r="R43" s="1308"/>
      <c r="S43" s="1308"/>
      <c r="T43" s="1308"/>
      <c r="U43" s="1308"/>
      <c r="V43" s="1308"/>
      <c r="W43" s="1308"/>
      <c r="X43" s="1314"/>
    </row>
    <row r="44" spans="1:24" ht="27" customHeight="1" x14ac:dyDescent="0.25">
      <c r="A44" s="2024" t="s">
        <v>233</v>
      </c>
      <c r="B44" s="2023" t="s">
        <v>909</v>
      </c>
      <c r="C44" s="2016" t="s">
        <v>1805</v>
      </c>
      <c r="D44" s="953" t="s">
        <v>201</v>
      </c>
      <c r="E44" s="1307" t="s">
        <v>73</v>
      </c>
      <c r="F44" s="1307" t="s">
        <v>1785</v>
      </c>
      <c r="G44" s="1082" t="s">
        <v>1752</v>
      </c>
      <c r="H44" s="1308"/>
      <c r="I44" s="1308"/>
      <c r="J44" s="1308"/>
      <c r="K44" s="1308"/>
      <c r="L44" s="980">
        <v>-2476500</v>
      </c>
      <c r="M44" s="1308"/>
      <c r="N44" s="1308"/>
      <c r="O44" s="1308"/>
      <c r="P44" s="981"/>
      <c r="Q44" s="1313"/>
      <c r="R44" s="1308"/>
      <c r="S44" s="1308"/>
      <c r="T44" s="1308"/>
      <c r="U44" s="1308"/>
      <c r="V44" s="1308"/>
      <c r="W44" s="1308"/>
      <c r="X44" s="1314"/>
    </row>
    <row r="45" spans="1:24" ht="27" customHeight="1" x14ac:dyDescent="0.25">
      <c r="A45" s="2024"/>
      <c r="B45" s="2023"/>
      <c r="C45" s="2016"/>
      <c r="D45" s="953" t="s">
        <v>199</v>
      </c>
      <c r="E45" s="1307" t="s">
        <v>129</v>
      </c>
      <c r="F45" s="1307" t="s">
        <v>151</v>
      </c>
      <c r="G45" s="1082" t="s">
        <v>1754</v>
      </c>
      <c r="H45" s="1308"/>
      <c r="I45" s="1308"/>
      <c r="J45" s="1308"/>
      <c r="K45" s="1308"/>
      <c r="L45" s="980"/>
      <c r="M45" s="1308">
        <f>1950000+526500</f>
        <v>2476500</v>
      </c>
      <c r="N45" s="1308"/>
      <c r="O45" s="1308"/>
      <c r="P45" s="981"/>
      <c r="Q45" s="1313"/>
      <c r="R45" s="1308"/>
      <c r="S45" s="1308"/>
      <c r="T45" s="1308"/>
      <c r="U45" s="1308"/>
      <c r="V45" s="1308"/>
      <c r="W45" s="1308"/>
      <c r="X45" s="1314"/>
    </row>
    <row r="46" spans="1:24" ht="21" customHeight="1" x14ac:dyDescent="0.25">
      <c r="A46" s="2024" t="s">
        <v>234</v>
      </c>
      <c r="B46" s="2023" t="s">
        <v>327</v>
      </c>
      <c r="C46" s="2016" t="s">
        <v>1909</v>
      </c>
      <c r="D46" s="953" t="s">
        <v>199</v>
      </c>
      <c r="E46" s="1307" t="s">
        <v>602</v>
      </c>
      <c r="F46" s="1307" t="s">
        <v>134</v>
      </c>
      <c r="G46" s="1082" t="s">
        <v>1752</v>
      </c>
      <c r="H46" s="1308"/>
      <c r="I46" s="1308"/>
      <c r="J46" s="1308"/>
      <c r="K46" s="1308"/>
      <c r="L46" s="980"/>
      <c r="M46" s="1308">
        <f>-1568000-423360</f>
        <v>-1991360</v>
      </c>
      <c r="N46" s="1308"/>
      <c r="O46" s="1308"/>
      <c r="P46" s="981"/>
      <c r="Q46" s="1313"/>
      <c r="R46" s="1308"/>
      <c r="S46" s="1308"/>
      <c r="T46" s="1308"/>
      <c r="U46" s="1308"/>
      <c r="V46" s="1308"/>
      <c r="W46" s="1308"/>
      <c r="X46" s="1314"/>
    </row>
    <row r="47" spans="1:24" ht="21" customHeight="1" x14ac:dyDescent="0.25">
      <c r="A47" s="2024"/>
      <c r="B47" s="2023"/>
      <c r="C47" s="2016"/>
      <c r="D47" s="953" t="s">
        <v>200</v>
      </c>
      <c r="E47" s="1307" t="s">
        <v>602</v>
      </c>
      <c r="F47" s="1307" t="s">
        <v>134</v>
      </c>
      <c r="G47" s="1082" t="s">
        <v>1754</v>
      </c>
      <c r="H47" s="1308"/>
      <c r="I47" s="1308"/>
      <c r="J47" s="1308"/>
      <c r="K47" s="1308"/>
      <c r="L47" s="980"/>
      <c r="M47" s="1308"/>
      <c r="N47" s="1308">
        <f>1568000+423360</f>
        <v>1991360</v>
      </c>
      <c r="O47" s="1308"/>
      <c r="P47" s="981"/>
      <c r="Q47" s="1313"/>
      <c r="R47" s="1308"/>
      <c r="S47" s="1308"/>
      <c r="T47" s="1308"/>
      <c r="U47" s="1308"/>
      <c r="V47" s="1308"/>
      <c r="W47" s="1308"/>
      <c r="X47" s="1314"/>
    </row>
    <row r="48" spans="1:24" ht="21" customHeight="1" x14ac:dyDescent="0.25">
      <c r="A48" s="2024" t="s">
        <v>235</v>
      </c>
      <c r="B48" s="2023" t="s">
        <v>329</v>
      </c>
      <c r="C48" s="2016" t="s">
        <v>1808</v>
      </c>
      <c r="D48" s="953" t="s">
        <v>201</v>
      </c>
      <c r="E48" s="1307" t="s">
        <v>73</v>
      </c>
      <c r="F48" s="1307" t="s">
        <v>1785</v>
      </c>
      <c r="G48" s="1082" t="s">
        <v>1752</v>
      </c>
      <c r="H48" s="1308"/>
      <c r="I48" s="1308"/>
      <c r="J48" s="1308"/>
      <c r="K48" s="1308"/>
      <c r="L48" s="980">
        <v>-4906000</v>
      </c>
      <c r="M48" s="1308"/>
      <c r="N48" s="1308"/>
      <c r="O48" s="1308"/>
      <c r="P48" s="981"/>
      <c r="Q48" s="1313"/>
      <c r="R48" s="1308"/>
      <c r="S48" s="1308"/>
      <c r="T48" s="1308"/>
      <c r="U48" s="1308"/>
      <c r="V48" s="1308"/>
      <c r="W48" s="1308"/>
      <c r="X48" s="1314"/>
    </row>
    <row r="49" spans="1:24" ht="21" customHeight="1" x14ac:dyDescent="0.25">
      <c r="A49" s="2024"/>
      <c r="B49" s="2023"/>
      <c r="C49" s="2016"/>
      <c r="D49" s="953" t="s">
        <v>199</v>
      </c>
      <c r="E49" s="1307" t="s">
        <v>844</v>
      </c>
      <c r="F49" s="1307" t="s">
        <v>1802</v>
      </c>
      <c r="G49" s="1082" t="s">
        <v>1754</v>
      </c>
      <c r="H49" s="1308"/>
      <c r="I49" s="1308"/>
      <c r="J49" s="1308"/>
      <c r="K49" s="1308"/>
      <c r="L49" s="980"/>
      <c r="M49" s="1308">
        <f>3862992+1043008</f>
        <v>4906000</v>
      </c>
      <c r="N49" s="1308"/>
      <c r="O49" s="1308"/>
      <c r="P49" s="981"/>
      <c r="Q49" s="1313"/>
      <c r="R49" s="1308"/>
      <c r="S49" s="1308"/>
      <c r="T49" s="1308"/>
      <c r="U49" s="1308"/>
      <c r="V49" s="1308"/>
      <c r="W49" s="1308"/>
      <c r="X49" s="1314"/>
    </row>
    <row r="50" spans="1:24" ht="17.25" customHeight="1" x14ac:dyDescent="0.25">
      <c r="A50" s="2024" t="s">
        <v>236</v>
      </c>
      <c r="B50" s="2023" t="s">
        <v>330</v>
      </c>
      <c r="C50" s="2016" t="s">
        <v>1841</v>
      </c>
      <c r="D50" s="953" t="s">
        <v>201</v>
      </c>
      <c r="E50" s="1307" t="s">
        <v>73</v>
      </c>
      <c r="F50" s="1307" t="s">
        <v>1785</v>
      </c>
      <c r="G50" s="1082" t="s">
        <v>1752</v>
      </c>
      <c r="H50" s="1308"/>
      <c r="I50" s="1308"/>
      <c r="J50" s="1308"/>
      <c r="K50" s="1308"/>
      <c r="L50" s="980">
        <v>-10245932</v>
      </c>
      <c r="M50" s="1308"/>
      <c r="N50" s="1308"/>
      <c r="O50" s="1308"/>
      <c r="P50" s="981"/>
      <c r="Q50" s="1313"/>
      <c r="R50" s="1308"/>
      <c r="S50" s="1308"/>
      <c r="T50" s="1308"/>
      <c r="U50" s="1308"/>
      <c r="V50" s="1308"/>
      <c r="W50" s="1308"/>
      <c r="X50" s="1314"/>
    </row>
    <row r="51" spans="1:24" ht="17.25" customHeight="1" x14ac:dyDescent="0.25">
      <c r="A51" s="2024"/>
      <c r="B51" s="2023"/>
      <c r="C51" s="2016"/>
      <c r="D51" s="953" t="s">
        <v>200</v>
      </c>
      <c r="E51" s="1307" t="s">
        <v>129</v>
      </c>
      <c r="F51" s="1307" t="s">
        <v>128</v>
      </c>
      <c r="G51" s="1082" t="s">
        <v>1754</v>
      </c>
      <c r="H51" s="1308"/>
      <c r="I51" s="1308"/>
      <c r="J51" s="1308"/>
      <c r="K51" s="1308"/>
      <c r="L51" s="980"/>
      <c r="M51" s="1308"/>
      <c r="N51" s="1308">
        <f>2372367+640539</f>
        <v>3012906</v>
      </c>
      <c r="O51" s="1308"/>
      <c r="P51" s="981"/>
      <c r="Q51" s="1313"/>
      <c r="R51" s="1308"/>
      <c r="S51" s="1308"/>
      <c r="T51" s="1308"/>
      <c r="U51" s="1308"/>
      <c r="V51" s="1308"/>
      <c r="W51" s="1308"/>
      <c r="X51" s="1314"/>
    </row>
    <row r="52" spans="1:24" ht="17.25" customHeight="1" x14ac:dyDescent="0.25">
      <c r="A52" s="2024"/>
      <c r="B52" s="2023"/>
      <c r="C52" s="2016"/>
      <c r="D52" s="953" t="s">
        <v>200</v>
      </c>
      <c r="E52" s="1307" t="s">
        <v>563</v>
      </c>
      <c r="F52" s="1307" t="s">
        <v>777</v>
      </c>
      <c r="G52" s="1082" t="s">
        <v>1754</v>
      </c>
      <c r="H52" s="1308"/>
      <c r="I52" s="1308"/>
      <c r="J52" s="1308"/>
      <c r="K52" s="1308"/>
      <c r="L52" s="980"/>
      <c r="M52" s="1308"/>
      <c r="N52" s="1308">
        <f>5695296+1537730</f>
        <v>7233026</v>
      </c>
      <c r="O52" s="1308"/>
      <c r="P52" s="981"/>
      <c r="Q52" s="1313"/>
      <c r="R52" s="1308"/>
      <c r="S52" s="1308"/>
      <c r="T52" s="1308"/>
      <c r="U52" s="1308"/>
      <c r="V52" s="1308"/>
      <c r="W52" s="1308"/>
      <c r="X52" s="1314"/>
    </row>
    <row r="53" spans="1:24" ht="16.5" customHeight="1" x14ac:dyDescent="0.25">
      <c r="A53" s="2024" t="s">
        <v>237</v>
      </c>
      <c r="B53" s="2023" t="s">
        <v>331</v>
      </c>
      <c r="C53" s="2016" t="s">
        <v>1810</v>
      </c>
      <c r="D53" s="953" t="s">
        <v>200</v>
      </c>
      <c r="E53" s="1307" t="s">
        <v>129</v>
      </c>
      <c r="F53" s="1307" t="s">
        <v>128</v>
      </c>
      <c r="G53" s="1082" t="s">
        <v>1752</v>
      </c>
      <c r="H53" s="1308"/>
      <c r="I53" s="1308"/>
      <c r="J53" s="1308"/>
      <c r="K53" s="1308"/>
      <c r="L53" s="980"/>
      <c r="M53" s="1308"/>
      <c r="N53" s="1308">
        <f>-24978098-6744086</f>
        <v>-31722184</v>
      </c>
      <c r="O53" s="1308"/>
      <c r="P53" s="981"/>
      <c r="Q53" s="1313"/>
      <c r="R53" s="1308"/>
      <c r="S53" s="1308"/>
      <c r="T53" s="1308"/>
      <c r="U53" s="1308"/>
      <c r="V53" s="1308"/>
      <c r="W53" s="1308"/>
      <c r="X53" s="1314"/>
    </row>
    <row r="54" spans="1:24" ht="16.5" customHeight="1" x14ac:dyDescent="0.25">
      <c r="A54" s="2024"/>
      <c r="B54" s="2023"/>
      <c r="C54" s="2016"/>
      <c r="D54" s="953" t="s">
        <v>199</v>
      </c>
      <c r="E54" s="1307" t="s">
        <v>129</v>
      </c>
      <c r="F54" s="1307" t="s">
        <v>128</v>
      </c>
      <c r="G54" s="1082" t="s">
        <v>1754</v>
      </c>
      <c r="H54" s="1308"/>
      <c r="I54" s="1308"/>
      <c r="J54" s="1308">
        <v>6744086</v>
      </c>
      <c r="K54" s="1308"/>
      <c r="L54" s="980"/>
      <c r="M54" s="1308">
        <v>24978098</v>
      </c>
      <c r="N54" s="1308"/>
      <c r="O54" s="1308"/>
      <c r="P54" s="981"/>
      <c r="Q54" s="1313"/>
      <c r="R54" s="1308"/>
      <c r="S54" s="1308"/>
      <c r="T54" s="1308"/>
      <c r="U54" s="1308"/>
      <c r="V54" s="1308"/>
      <c r="W54" s="1308"/>
      <c r="X54" s="1314"/>
    </row>
    <row r="55" spans="1:24" ht="16.5" customHeight="1" x14ac:dyDescent="0.25">
      <c r="A55" s="2024"/>
      <c r="B55" s="2023"/>
      <c r="C55" s="2016"/>
      <c r="D55" s="953" t="s">
        <v>199</v>
      </c>
      <c r="E55" s="1307" t="s">
        <v>129</v>
      </c>
      <c r="F55" s="1307" t="s">
        <v>151</v>
      </c>
      <c r="G55" s="1082" t="s">
        <v>1754</v>
      </c>
      <c r="H55" s="1308"/>
      <c r="I55" s="1308"/>
      <c r="J55" s="1308">
        <v>6377953</v>
      </c>
      <c r="K55" s="1308"/>
      <c r="L55" s="980"/>
      <c r="M55" s="1308">
        <v>-6377953</v>
      </c>
      <c r="N55" s="1308"/>
      <c r="O55" s="1308"/>
      <c r="P55" s="981"/>
      <c r="Q55" s="1313"/>
      <c r="R55" s="1308"/>
      <c r="S55" s="1308"/>
      <c r="T55" s="1308"/>
      <c r="U55" s="1308"/>
      <c r="V55" s="1308"/>
      <c r="W55" s="1308"/>
      <c r="X55" s="1314"/>
    </row>
    <row r="56" spans="1:24" ht="21" customHeight="1" x14ac:dyDescent="0.25">
      <c r="A56" s="2024" t="s">
        <v>238</v>
      </c>
      <c r="B56" s="2023" t="s">
        <v>773</v>
      </c>
      <c r="C56" s="2016" t="s">
        <v>1811</v>
      </c>
      <c r="D56" s="953" t="s">
        <v>194</v>
      </c>
      <c r="E56" s="1307" t="s">
        <v>130</v>
      </c>
      <c r="F56" s="1307" t="s">
        <v>1812</v>
      </c>
      <c r="G56" s="1082" t="s">
        <v>1752</v>
      </c>
      <c r="H56" s="1308"/>
      <c r="I56" s="1308"/>
      <c r="J56" s="1308">
        <f>-50780-13711</f>
        <v>-64491</v>
      </c>
      <c r="K56" s="1308"/>
      <c r="L56" s="980"/>
      <c r="M56" s="1308"/>
      <c r="N56" s="1308"/>
      <c r="O56" s="1308"/>
      <c r="P56" s="981"/>
      <c r="Q56" s="1313"/>
      <c r="R56" s="1308"/>
      <c r="S56" s="1308"/>
      <c r="T56" s="1308"/>
      <c r="U56" s="1308"/>
      <c r="V56" s="1308"/>
      <c r="W56" s="1308"/>
      <c r="X56" s="1314"/>
    </row>
    <row r="57" spans="1:24" ht="21" customHeight="1" x14ac:dyDescent="0.25">
      <c r="A57" s="2024"/>
      <c r="B57" s="2023"/>
      <c r="C57" s="2016"/>
      <c r="D57" s="953" t="s">
        <v>199</v>
      </c>
      <c r="E57" s="1307" t="s">
        <v>844</v>
      </c>
      <c r="F57" s="1307" t="s">
        <v>1802</v>
      </c>
      <c r="G57" s="1082" t="s">
        <v>1754</v>
      </c>
      <c r="H57" s="1308"/>
      <c r="I57" s="1308"/>
      <c r="J57" s="1308"/>
      <c r="K57" s="1308"/>
      <c r="L57" s="980"/>
      <c r="M57" s="1308">
        <f>50780+13711</f>
        <v>64491</v>
      </c>
      <c r="N57" s="1308"/>
      <c r="O57" s="1308"/>
      <c r="P57" s="981"/>
      <c r="Q57" s="1313"/>
      <c r="R57" s="1308"/>
      <c r="S57" s="1308"/>
      <c r="T57" s="1308"/>
      <c r="U57" s="1308"/>
      <c r="V57" s="1308"/>
      <c r="W57" s="1308"/>
      <c r="X57" s="1314"/>
    </row>
    <row r="58" spans="1:24" ht="54.75" customHeight="1" x14ac:dyDescent="0.25">
      <c r="A58" s="1423" t="s">
        <v>239</v>
      </c>
      <c r="B58" s="1422" t="s">
        <v>798</v>
      </c>
      <c r="C58" s="1490" t="s">
        <v>1813</v>
      </c>
      <c r="D58" s="953" t="s">
        <v>194</v>
      </c>
      <c r="E58" s="1307" t="s">
        <v>73</v>
      </c>
      <c r="F58" s="1307" t="s">
        <v>553</v>
      </c>
      <c r="G58" s="1082" t="s">
        <v>1766</v>
      </c>
      <c r="H58" s="1308">
        <v>-144000</v>
      </c>
      <c r="I58" s="1308">
        <v>-18720</v>
      </c>
      <c r="J58" s="1308">
        <v>162720</v>
      </c>
      <c r="K58" s="1308"/>
      <c r="L58" s="980"/>
      <c r="M58" s="1308"/>
      <c r="N58" s="1308"/>
      <c r="O58" s="1308"/>
      <c r="P58" s="981"/>
      <c r="Q58" s="1313"/>
      <c r="R58" s="1308"/>
      <c r="S58" s="1308"/>
      <c r="T58" s="1308"/>
      <c r="U58" s="1308"/>
      <c r="V58" s="1308"/>
      <c r="W58" s="1308"/>
      <c r="X58" s="1314"/>
    </row>
    <row r="59" spans="1:24" ht="21" customHeight="1" x14ac:dyDescent="0.25">
      <c r="A59" s="2024" t="s">
        <v>266</v>
      </c>
      <c r="B59" s="2023" t="s">
        <v>799</v>
      </c>
      <c r="C59" s="2016" t="s">
        <v>1827</v>
      </c>
      <c r="D59" s="953" t="s">
        <v>201</v>
      </c>
      <c r="E59" s="1307" t="s">
        <v>73</v>
      </c>
      <c r="F59" s="1307" t="s">
        <v>1785</v>
      </c>
      <c r="G59" s="1082" t="s">
        <v>1752</v>
      </c>
      <c r="H59" s="1308"/>
      <c r="I59" s="1308"/>
      <c r="J59" s="1308"/>
      <c r="K59" s="1308"/>
      <c r="L59" s="980">
        <v>-24500000</v>
      </c>
      <c r="M59" s="1308"/>
      <c r="N59" s="1308"/>
      <c r="O59" s="1308"/>
      <c r="P59" s="981"/>
      <c r="Q59" s="1313"/>
      <c r="R59" s="1308"/>
      <c r="S59" s="1308"/>
      <c r="T59" s="1308"/>
      <c r="U59" s="1308"/>
      <c r="V59" s="1308"/>
      <c r="W59" s="1308"/>
      <c r="X59" s="1314"/>
    </row>
    <row r="60" spans="1:24" ht="21" customHeight="1" x14ac:dyDescent="0.25">
      <c r="A60" s="2024"/>
      <c r="B60" s="2023"/>
      <c r="C60" s="2016"/>
      <c r="D60" s="953" t="s">
        <v>200</v>
      </c>
      <c r="E60" s="1307" t="s">
        <v>557</v>
      </c>
      <c r="F60" s="1307" t="s">
        <v>462</v>
      </c>
      <c r="G60" s="1082" t="s">
        <v>1754</v>
      </c>
      <c r="H60" s="1308"/>
      <c r="I60" s="1308"/>
      <c r="J60" s="1308"/>
      <c r="K60" s="1308"/>
      <c r="L60" s="980"/>
      <c r="M60" s="1308"/>
      <c r="N60" s="1308">
        <f>19291339+5208661</f>
        <v>24500000</v>
      </c>
      <c r="O60" s="1308"/>
      <c r="P60" s="981"/>
      <c r="Q60" s="1313"/>
      <c r="R60" s="1308"/>
      <c r="S60" s="1308"/>
      <c r="T60" s="1308"/>
      <c r="U60" s="1308"/>
      <c r="V60" s="1308"/>
      <c r="W60" s="1308"/>
      <c r="X60" s="1314"/>
    </row>
    <row r="61" spans="1:24" ht="18.75" customHeight="1" x14ac:dyDescent="0.25">
      <c r="A61" s="2024" t="s">
        <v>267</v>
      </c>
      <c r="B61" s="2023" t="s">
        <v>800</v>
      </c>
      <c r="C61" s="2016" t="s">
        <v>1829</v>
      </c>
      <c r="D61" s="953" t="s">
        <v>201</v>
      </c>
      <c r="E61" s="1307" t="s">
        <v>73</v>
      </c>
      <c r="F61" s="1307" t="s">
        <v>1785</v>
      </c>
      <c r="G61" s="1082" t="s">
        <v>1752</v>
      </c>
      <c r="H61" s="1308"/>
      <c r="I61" s="1308"/>
      <c r="J61" s="1308"/>
      <c r="K61" s="1308"/>
      <c r="L61" s="980">
        <v>-700000</v>
      </c>
      <c r="M61" s="1308"/>
      <c r="N61" s="1308"/>
      <c r="O61" s="1308"/>
      <c r="P61" s="981"/>
      <c r="Q61" s="1313"/>
      <c r="R61" s="1308"/>
      <c r="S61" s="1308"/>
      <c r="T61" s="1308"/>
      <c r="U61" s="1308"/>
      <c r="V61" s="1308"/>
      <c r="W61" s="1308"/>
      <c r="X61" s="1314"/>
    </row>
    <row r="62" spans="1:24" ht="18.75" customHeight="1" x14ac:dyDescent="0.25">
      <c r="A62" s="2024"/>
      <c r="B62" s="2023"/>
      <c r="C62" s="2016"/>
      <c r="D62" s="953" t="s">
        <v>198</v>
      </c>
      <c r="E62" s="1307" t="s">
        <v>1831</v>
      </c>
      <c r="F62" s="1307" t="s">
        <v>1830</v>
      </c>
      <c r="G62" s="1082" t="s">
        <v>1754</v>
      </c>
      <c r="H62" s="1308"/>
      <c r="I62" s="1308"/>
      <c r="J62" s="1308"/>
      <c r="K62" s="1308"/>
      <c r="L62" s="980">
        <v>700000</v>
      </c>
      <c r="M62" s="1308"/>
      <c r="N62" s="1308"/>
      <c r="O62" s="1308"/>
      <c r="P62" s="981"/>
      <c r="Q62" s="1313"/>
      <c r="R62" s="1308"/>
      <c r="S62" s="1308"/>
      <c r="T62" s="1308"/>
      <c r="U62" s="1308"/>
      <c r="V62" s="1308"/>
      <c r="W62" s="1308"/>
      <c r="X62" s="1314"/>
    </row>
    <row r="63" spans="1:24" ht="21" customHeight="1" x14ac:dyDescent="0.25">
      <c r="A63" s="2024" t="s">
        <v>268</v>
      </c>
      <c r="B63" s="2023" t="s">
        <v>801</v>
      </c>
      <c r="C63" s="2016" t="s">
        <v>1833</v>
      </c>
      <c r="D63" s="953" t="s">
        <v>201</v>
      </c>
      <c r="E63" s="1307" t="s">
        <v>73</v>
      </c>
      <c r="F63" s="1307" t="s">
        <v>1785</v>
      </c>
      <c r="G63" s="1082" t="s">
        <v>1752</v>
      </c>
      <c r="H63" s="1308"/>
      <c r="I63" s="1308"/>
      <c r="J63" s="1308"/>
      <c r="K63" s="1308"/>
      <c r="L63" s="980">
        <v>-8953500</v>
      </c>
      <c r="M63" s="1308"/>
      <c r="N63" s="1308"/>
      <c r="O63" s="1308"/>
      <c r="P63" s="981"/>
      <c r="Q63" s="1313"/>
      <c r="R63" s="1308"/>
      <c r="S63" s="1308"/>
      <c r="T63" s="1308"/>
      <c r="U63" s="1308"/>
      <c r="V63" s="1308"/>
      <c r="W63" s="1308"/>
      <c r="X63" s="1314"/>
    </row>
    <row r="64" spans="1:24" ht="21" customHeight="1" x14ac:dyDescent="0.25">
      <c r="A64" s="2024"/>
      <c r="B64" s="2023"/>
      <c r="C64" s="2016"/>
      <c r="D64" s="953" t="s">
        <v>194</v>
      </c>
      <c r="E64" s="1307" t="s">
        <v>641</v>
      </c>
      <c r="F64" s="1307" t="s">
        <v>1755</v>
      </c>
      <c r="G64" s="1082" t="s">
        <v>1754</v>
      </c>
      <c r="H64" s="1308"/>
      <c r="I64" s="1308"/>
      <c r="J64" s="1308">
        <f>7050000+1903500</f>
        <v>8953500</v>
      </c>
      <c r="K64" s="1308"/>
      <c r="L64" s="980"/>
      <c r="M64" s="1308"/>
      <c r="N64" s="1308"/>
      <c r="O64" s="1308"/>
      <c r="P64" s="981"/>
      <c r="Q64" s="1313"/>
      <c r="R64" s="1308"/>
      <c r="S64" s="1308"/>
      <c r="T64" s="1308"/>
      <c r="U64" s="1308"/>
      <c r="V64" s="1308"/>
      <c r="W64" s="1308"/>
      <c r="X64" s="1314"/>
    </row>
    <row r="65" spans="1:24" ht="30.75" customHeight="1" x14ac:dyDescent="0.25">
      <c r="A65" s="1423" t="s">
        <v>269</v>
      </c>
      <c r="B65" s="1422" t="s">
        <v>802</v>
      </c>
      <c r="C65" s="1490" t="s">
        <v>1834</v>
      </c>
      <c r="D65" s="953" t="s">
        <v>194</v>
      </c>
      <c r="E65" s="1307" t="s">
        <v>73</v>
      </c>
      <c r="F65" s="1307" t="s">
        <v>553</v>
      </c>
      <c r="G65" s="1082" t="s">
        <v>1766</v>
      </c>
      <c r="H65" s="1308"/>
      <c r="I65" s="1308"/>
      <c r="J65" s="1308">
        <f>-100000+100000</f>
        <v>0</v>
      </c>
      <c r="K65" s="1308"/>
      <c r="L65" s="980"/>
      <c r="M65" s="1308"/>
      <c r="N65" s="1308"/>
      <c r="O65" s="1308"/>
      <c r="P65" s="981"/>
      <c r="Q65" s="1313"/>
      <c r="R65" s="1308"/>
      <c r="S65" s="1308"/>
      <c r="T65" s="1308"/>
      <c r="U65" s="1308"/>
      <c r="V65" s="1308"/>
      <c r="W65" s="1308"/>
      <c r="X65" s="1314"/>
    </row>
    <row r="66" spans="1:24" ht="21" customHeight="1" x14ac:dyDescent="0.25">
      <c r="A66" s="2024" t="s">
        <v>270</v>
      </c>
      <c r="B66" s="2023" t="s">
        <v>803</v>
      </c>
      <c r="C66" s="2016" t="s">
        <v>1835</v>
      </c>
      <c r="D66" s="953" t="s">
        <v>200</v>
      </c>
      <c r="E66" s="1307" t="s">
        <v>129</v>
      </c>
      <c r="F66" s="1307" t="s">
        <v>128</v>
      </c>
      <c r="G66" s="1082" t="s">
        <v>1836</v>
      </c>
      <c r="H66" s="1308"/>
      <c r="I66" s="1308"/>
      <c r="J66" s="1308">
        <f>240200+64854</f>
        <v>305054</v>
      </c>
      <c r="K66" s="1308"/>
      <c r="L66" s="980"/>
      <c r="M66" s="1308"/>
      <c r="N66" s="1308">
        <f>-240200-64854</f>
        <v>-305054</v>
      </c>
      <c r="O66" s="1308"/>
      <c r="P66" s="981"/>
      <c r="Q66" s="1313"/>
      <c r="R66" s="1308"/>
      <c r="S66" s="1308"/>
      <c r="T66" s="1308"/>
      <c r="U66" s="1308"/>
      <c r="V66" s="1308"/>
      <c r="W66" s="1308"/>
      <c r="X66" s="1314"/>
    </row>
    <row r="67" spans="1:24" ht="21" customHeight="1" x14ac:dyDescent="0.25">
      <c r="A67" s="2024"/>
      <c r="B67" s="2023"/>
      <c r="C67" s="2016"/>
      <c r="D67" s="953" t="s">
        <v>200</v>
      </c>
      <c r="E67" s="1307" t="s">
        <v>563</v>
      </c>
      <c r="F67" s="1307" t="s">
        <v>777</v>
      </c>
      <c r="G67" s="1082" t="s">
        <v>1766</v>
      </c>
      <c r="H67" s="1308"/>
      <c r="I67" s="1308"/>
      <c r="J67" s="1308">
        <f>164300+44361</f>
        <v>208661</v>
      </c>
      <c r="K67" s="1308"/>
      <c r="L67" s="980"/>
      <c r="M67" s="1308"/>
      <c r="N67" s="1308">
        <f>-164300-44361</f>
        <v>-208661</v>
      </c>
      <c r="O67" s="1308"/>
      <c r="P67" s="981"/>
      <c r="Q67" s="1313"/>
      <c r="R67" s="1308"/>
      <c r="S67" s="1308"/>
      <c r="T67" s="1308"/>
      <c r="U67" s="1308"/>
      <c r="V67" s="1308"/>
      <c r="W67" s="1308"/>
      <c r="X67" s="1314"/>
    </row>
    <row r="68" spans="1:24" ht="19.5" customHeight="1" x14ac:dyDescent="0.25">
      <c r="A68" s="2024" t="s">
        <v>271</v>
      </c>
      <c r="B68" s="2023" t="s">
        <v>804</v>
      </c>
      <c r="C68" s="2016" t="s">
        <v>2060</v>
      </c>
      <c r="D68" s="953" t="s">
        <v>194</v>
      </c>
      <c r="E68" s="1307" t="s">
        <v>1838</v>
      </c>
      <c r="F68" s="1307" t="s">
        <v>1837</v>
      </c>
      <c r="G68" s="1082" t="s">
        <v>1752</v>
      </c>
      <c r="H68" s="1308"/>
      <c r="I68" s="1308"/>
      <c r="J68" s="1308">
        <f>-565500-152685</f>
        <v>-718185</v>
      </c>
      <c r="K68" s="1308"/>
      <c r="L68" s="980"/>
      <c r="M68" s="1308"/>
      <c r="N68" s="1308"/>
      <c r="O68" s="1308"/>
      <c r="P68" s="981"/>
      <c r="Q68" s="1313"/>
      <c r="R68" s="1308"/>
      <c r="S68" s="1308"/>
      <c r="T68" s="1308"/>
      <c r="U68" s="1308"/>
      <c r="V68" s="1308"/>
      <c r="W68" s="1308"/>
      <c r="X68" s="1314"/>
    </row>
    <row r="69" spans="1:24" ht="19.5" customHeight="1" x14ac:dyDescent="0.25">
      <c r="A69" s="2024"/>
      <c r="B69" s="2023"/>
      <c r="C69" s="2016"/>
      <c r="D69" s="953" t="s">
        <v>199</v>
      </c>
      <c r="E69" s="1307" t="s">
        <v>1838</v>
      </c>
      <c r="F69" s="1307" t="s">
        <v>1837</v>
      </c>
      <c r="G69" s="1082" t="s">
        <v>1754</v>
      </c>
      <c r="H69" s="1308"/>
      <c r="I69" s="1308"/>
      <c r="J69" s="1308"/>
      <c r="K69" s="1308"/>
      <c r="L69" s="980"/>
      <c r="M69" s="1308">
        <f>565500+152685</f>
        <v>718185</v>
      </c>
      <c r="N69" s="1308"/>
      <c r="O69" s="1308"/>
      <c r="P69" s="981"/>
      <c r="Q69" s="1313"/>
      <c r="R69" s="1308"/>
      <c r="S69" s="1308"/>
      <c r="T69" s="1308"/>
      <c r="U69" s="1308"/>
      <c r="V69" s="1308"/>
      <c r="W69" s="1308"/>
      <c r="X69" s="1314"/>
    </row>
    <row r="70" spans="1:24" ht="28.5" customHeight="1" x14ac:dyDescent="0.25">
      <c r="A70" s="1423" t="s">
        <v>272</v>
      </c>
      <c r="B70" s="1422" t="s">
        <v>1492</v>
      </c>
      <c r="C70" s="1490" t="s">
        <v>1840</v>
      </c>
      <c r="D70" s="953" t="s">
        <v>194</v>
      </c>
      <c r="E70" s="1307" t="s">
        <v>602</v>
      </c>
      <c r="F70" s="1307" t="s">
        <v>857</v>
      </c>
      <c r="G70" s="1082" t="s">
        <v>1766</v>
      </c>
      <c r="H70" s="1308"/>
      <c r="I70" s="1308"/>
      <c r="J70" s="1308">
        <f>-7000000+7000000</f>
        <v>0</v>
      </c>
      <c r="K70" s="1308"/>
      <c r="L70" s="980"/>
      <c r="M70" s="1308"/>
      <c r="N70" s="1308"/>
      <c r="O70" s="1308"/>
      <c r="P70" s="981"/>
      <c r="Q70" s="1313"/>
      <c r="R70" s="1308"/>
      <c r="S70" s="1308"/>
      <c r="T70" s="1308"/>
      <c r="U70" s="1308"/>
      <c r="V70" s="1308"/>
      <c r="W70" s="1308"/>
      <c r="X70" s="1314"/>
    </row>
    <row r="71" spans="1:24" ht="27" customHeight="1" x14ac:dyDescent="0.25">
      <c r="A71" s="2024" t="s">
        <v>273</v>
      </c>
      <c r="B71" s="2023" t="s">
        <v>1493</v>
      </c>
      <c r="C71" s="2016" t="s">
        <v>2208</v>
      </c>
      <c r="D71" s="953" t="s">
        <v>201</v>
      </c>
      <c r="E71" s="1307" t="s">
        <v>73</v>
      </c>
      <c r="F71" s="1307" t="s">
        <v>1785</v>
      </c>
      <c r="G71" s="1082" t="s">
        <v>1752</v>
      </c>
      <c r="H71" s="1308"/>
      <c r="I71" s="1308"/>
      <c r="J71" s="1308"/>
      <c r="K71" s="1308"/>
      <c r="L71" s="980">
        <v>-26736</v>
      </c>
      <c r="M71" s="1308"/>
      <c r="N71" s="1308"/>
      <c r="O71" s="1308"/>
      <c r="P71" s="981"/>
      <c r="Q71" s="1313"/>
      <c r="R71" s="1308"/>
      <c r="S71" s="1308"/>
      <c r="T71" s="1308"/>
      <c r="U71" s="1308"/>
      <c r="V71" s="1308"/>
      <c r="W71" s="1308"/>
      <c r="X71" s="1314"/>
    </row>
    <row r="72" spans="1:24" ht="27" customHeight="1" x14ac:dyDescent="0.25">
      <c r="A72" s="2024"/>
      <c r="B72" s="2023"/>
      <c r="C72" s="2016"/>
      <c r="D72" s="953" t="s">
        <v>194</v>
      </c>
      <c r="E72" s="1307" t="s">
        <v>561</v>
      </c>
      <c r="F72" s="1307" t="s">
        <v>867</v>
      </c>
      <c r="G72" s="1082" t="s">
        <v>1754</v>
      </c>
      <c r="H72" s="1308"/>
      <c r="I72" s="1308"/>
      <c r="J72" s="1308">
        <f>21052+5684</f>
        <v>26736</v>
      </c>
      <c r="K72" s="1308"/>
      <c r="L72" s="980"/>
      <c r="M72" s="1308"/>
      <c r="N72" s="1308"/>
      <c r="O72" s="1308"/>
      <c r="P72" s="981"/>
      <c r="Q72" s="1313"/>
      <c r="R72" s="1308"/>
      <c r="S72" s="1308"/>
      <c r="T72" s="1308"/>
      <c r="U72" s="1308"/>
      <c r="V72" s="1308"/>
      <c r="W72" s="1308"/>
      <c r="X72" s="1314"/>
    </row>
    <row r="73" spans="1:24" ht="21.75" customHeight="1" x14ac:dyDescent="0.25">
      <c r="A73" s="2024" t="s">
        <v>274</v>
      </c>
      <c r="B73" s="2023" t="s">
        <v>805</v>
      </c>
      <c r="C73" s="2016" t="s">
        <v>1842</v>
      </c>
      <c r="D73" s="953" t="s">
        <v>199</v>
      </c>
      <c r="E73" s="1307" t="s">
        <v>844</v>
      </c>
      <c r="F73" s="1307" t="s">
        <v>1312</v>
      </c>
      <c r="G73" s="1082" t="s">
        <v>1766</v>
      </c>
      <c r="H73" s="1308"/>
      <c r="I73" s="1308"/>
      <c r="J73" s="1308">
        <v>70155909</v>
      </c>
      <c r="K73" s="1308"/>
      <c r="L73" s="980"/>
      <c r="M73" s="1308">
        <f>-128104452-104744111</f>
        <v>-232848563</v>
      </c>
      <c r="N73" s="1308"/>
      <c r="O73" s="1308"/>
      <c r="P73" s="981"/>
      <c r="Q73" s="1313"/>
      <c r="R73" s="1308"/>
      <c r="S73" s="1308"/>
      <c r="T73" s="1308"/>
      <c r="U73" s="1308"/>
      <c r="V73" s="1308"/>
      <c r="W73" s="1308"/>
      <c r="X73" s="1314"/>
    </row>
    <row r="74" spans="1:24" ht="21.75" customHeight="1" x14ac:dyDescent="0.25">
      <c r="A74" s="2024"/>
      <c r="B74" s="2023"/>
      <c r="C74" s="2016"/>
      <c r="D74" s="953" t="s">
        <v>199</v>
      </c>
      <c r="E74" s="1307" t="s">
        <v>844</v>
      </c>
      <c r="F74" s="1307" t="s">
        <v>1802</v>
      </c>
      <c r="G74" s="1082" t="s">
        <v>1754</v>
      </c>
      <c r="H74" s="1308"/>
      <c r="I74" s="1308"/>
      <c r="J74" s="1308">
        <v>34588202</v>
      </c>
      <c r="K74" s="1308"/>
      <c r="L74" s="980"/>
      <c r="M74" s="1308">
        <v>128104452</v>
      </c>
      <c r="N74" s="1308"/>
      <c r="O74" s="1308"/>
      <c r="P74" s="981"/>
      <c r="Q74" s="1313"/>
      <c r="R74" s="1308"/>
      <c r="S74" s="1308"/>
      <c r="T74" s="1308"/>
      <c r="U74" s="1308"/>
      <c r="V74" s="1308"/>
      <c r="W74" s="1308"/>
      <c r="X74" s="1314"/>
    </row>
    <row r="75" spans="1:24" ht="21.75" customHeight="1" x14ac:dyDescent="0.25">
      <c r="A75" s="2024" t="s">
        <v>275</v>
      </c>
      <c r="B75" s="2023" t="s">
        <v>806</v>
      </c>
      <c r="C75" s="2016" t="s">
        <v>1843</v>
      </c>
      <c r="D75" s="953" t="s">
        <v>201</v>
      </c>
      <c r="E75" s="1307" t="s">
        <v>73</v>
      </c>
      <c r="F75" s="1307" t="s">
        <v>1785</v>
      </c>
      <c r="G75" s="1082" t="s">
        <v>1752</v>
      </c>
      <c r="H75" s="1308"/>
      <c r="I75" s="1308"/>
      <c r="J75" s="1308"/>
      <c r="K75" s="1308"/>
      <c r="L75" s="980">
        <v>-1333500</v>
      </c>
      <c r="M75" s="1308"/>
      <c r="N75" s="1308"/>
      <c r="O75" s="1308"/>
      <c r="P75" s="981"/>
      <c r="Q75" s="1313"/>
      <c r="R75" s="1308"/>
      <c r="S75" s="1308"/>
      <c r="T75" s="1308"/>
      <c r="U75" s="1308"/>
      <c r="V75" s="1308"/>
      <c r="W75" s="1308"/>
      <c r="X75" s="1314"/>
    </row>
    <row r="76" spans="1:24" ht="21.75" customHeight="1" x14ac:dyDescent="0.25">
      <c r="A76" s="2024"/>
      <c r="B76" s="2023"/>
      <c r="C76" s="2016"/>
      <c r="D76" s="953" t="s">
        <v>199</v>
      </c>
      <c r="E76" s="1307" t="s">
        <v>844</v>
      </c>
      <c r="F76" s="1307" t="s">
        <v>1802</v>
      </c>
      <c r="G76" s="1082" t="s">
        <v>1754</v>
      </c>
      <c r="H76" s="1308"/>
      <c r="I76" s="1308"/>
      <c r="J76" s="1308"/>
      <c r="K76" s="1308"/>
      <c r="L76" s="980"/>
      <c r="M76" s="1308">
        <f>1050000+283500</f>
        <v>1333500</v>
      </c>
      <c r="N76" s="1308"/>
      <c r="O76" s="1308"/>
      <c r="P76" s="981"/>
      <c r="Q76" s="1313"/>
      <c r="R76" s="1308"/>
      <c r="S76" s="1308"/>
      <c r="T76" s="1308"/>
      <c r="U76" s="1308"/>
      <c r="V76" s="1308"/>
      <c r="W76" s="1308"/>
      <c r="X76" s="1314"/>
    </row>
    <row r="77" spans="1:24" ht="39" customHeight="1" x14ac:dyDescent="0.25">
      <c r="A77" s="1423" t="s">
        <v>276</v>
      </c>
      <c r="B77" s="1422" t="s">
        <v>807</v>
      </c>
      <c r="C77" s="1490" t="s">
        <v>1844</v>
      </c>
      <c r="D77" s="953" t="s">
        <v>199</v>
      </c>
      <c r="E77" s="1307" t="s">
        <v>129</v>
      </c>
      <c r="F77" s="1307" t="s">
        <v>90</v>
      </c>
      <c r="G77" s="1082" t="s">
        <v>1766</v>
      </c>
      <c r="H77" s="1308"/>
      <c r="I77" s="1308"/>
      <c r="J77" s="1308"/>
      <c r="K77" s="1308"/>
      <c r="L77" s="980"/>
      <c r="M77" s="1308">
        <f>-7400000-1998000+7400000+1998000</f>
        <v>0</v>
      </c>
      <c r="N77" s="1308"/>
      <c r="O77" s="1308"/>
      <c r="P77" s="981"/>
      <c r="Q77" s="1313"/>
      <c r="R77" s="1308"/>
      <c r="S77" s="1308"/>
      <c r="T77" s="1308"/>
      <c r="U77" s="1308"/>
      <c r="V77" s="1308"/>
      <c r="W77" s="1308"/>
      <c r="X77" s="1314"/>
    </row>
    <row r="78" spans="1:24" ht="27.75" customHeight="1" x14ac:dyDescent="0.25">
      <c r="A78" s="2024" t="s">
        <v>277</v>
      </c>
      <c r="B78" s="2023" t="s">
        <v>808</v>
      </c>
      <c r="C78" s="2016" t="s">
        <v>1847</v>
      </c>
      <c r="D78" s="953" t="s">
        <v>194</v>
      </c>
      <c r="E78" s="1307" t="s">
        <v>1297</v>
      </c>
      <c r="F78" s="1307" t="s">
        <v>1769</v>
      </c>
      <c r="G78" s="1082" t="s">
        <v>1754</v>
      </c>
      <c r="H78" s="1308"/>
      <c r="I78" s="1308"/>
      <c r="J78" s="1308"/>
      <c r="K78" s="1308"/>
      <c r="L78" s="980"/>
      <c r="M78" s="1308"/>
      <c r="N78" s="1308"/>
      <c r="O78" s="1308"/>
      <c r="P78" s="981"/>
      <c r="Q78" s="1313">
        <v>32017</v>
      </c>
      <c r="R78" s="1308"/>
      <c r="S78" s="1308"/>
      <c r="T78" s="1308"/>
      <c r="U78" s="1308"/>
      <c r="V78" s="1308"/>
      <c r="W78" s="1308"/>
      <c r="X78" s="1314"/>
    </row>
    <row r="79" spans="1:24" ht="27.75" customHeight="1" x14ac:dyDescent="0.25">
      <c r="A79" s="2024"/>
      <c r="B79" s="2023"/>
      <c r="C79" s="2016"/>
      <c r="D79" s="953" t="s">
        <v>201</v>
      </c>
      <c r="E79" s="1307" t="s">
        <v>73</v>
      </c>
      <c r="F79" s="1307" t="s">
        <v>1785</v>
      </c>
      <c r="G79" s="1082" t="s">
        <v>1754</v>
      </c>
      <c r="H79" s="1308"/>
      <c r="I79" s="1308"/>
      <c r="J79" s="1308"/>
      <c r="K79" s="1308"/>
      <c r="L79" s="980">
        <v>32017</v>
      </c>
      <c r="M79" s="1308"/>
      <c r="N79" s="1308"/>
      <c r="O79" s="1308"/>
      <c r="P79" s="981"/>
      <c r="Q79" s="1313"/>
      <c r="R79" s="1308"/>
      <c r="S79" s="1308"/>
      <c r="T79" s="1308"/>
      <c r="U79" s="1308"/>
      <c r="V79" s="1308"/>
      <c r="W79" s="1308"/>
      <c r="X79" s="1314"/>
    </row>
    <row r="80" spans="1:24" ht="18" customHeight="1" x14ac:dyDescent="0.25">
      <c r="A80" s="2024" t="s">
        <v>278</v>
      </c>
      <c r="B80" s="2023" t="s">
        <v>811</v>
      </c>
      <c r="C80" s="2016" t="s">
        <v>1850</v>
      </c>
      <c r="D80" s="953" t="s">
        <v>194</v>
      </c>
      <c r="E80" s="1307" t="s">
        <v>73</v>
      </c>
      <c r="F80" s="1307" t="s">
        <v>453</v>
      </c>
      <c r="G80" s="1082" t="s">
        <v>1766</v>
      </c>
      <c r="H80" s="1308">
        <f>-312857+312857</f>
        <v>0</v>
      </c>
      <c r="I80" s="1308"/>
      <c r="J80" s="1308"/>
      <c r="K80" s="1308"/>
      <c r="L80" s="980"/>
      <c r="M80" s="1308"/>
      <c r="N80" s="1308"/>
      <c r="O80" s="1308"/>
      <c r="P80" s="981"/>
      <c r="Q80" s="1313"/>
      <c r="R80" s="1308"/>
      <c r="S80" s="1308"/>
      <c r="T80" s="1308"/>
      <c r="U80" s="1308"/>
      <c r="V80" s="1308"/>
      <c r="W80" s="1308"/>
      <c r="X80" s="1314"/>
    </row>
    <row r="81" spans="1:24" ht="18" customHeight="1" x14ac:dyDescent="0.25">
      <c r="A81" s="2024"/>
      <c r="B81" s="2023"/>
      <c r="C81" s="2016"/>
      <c r="D81" s="953" t="s">
        <v>194</v>
      </c>
      <c r="E81" s="1307" t="s">
        <v>609</v>
      </c>
      <c r="F81" s="1307" t="s">
        <v>455</v>
      </c>
      <c r="G81" s="1082" t="s">
        <v>1766</v>
      </c>
      <c r="H81" s="1308">
        <f>-15000+15000</f>
        <v>0</v>
      </c>
      <c r="I81" s="1308"/>
      <c r="J81" s="1308"/>
      <c r="K81" s="1308"/>
      <c r="L81" s="980"/>
      <c r="M81" s="1308"/>
      <c r="N81" s="1308"/>
      <c r="O81" s="1308"/>
      <c r="P81" s="981"/>
      <c r="Q81" s="1313"/>
      <c r="R81" s="1308"/>
      <c r="S81" s="1308"/>
      <c r="T81" s="1308"/>
      <c r="U81" s="1308"/>
      <c r="V81" s="1308"/>
      <c r="W81" s="1308"/>
      <c r="X81" s="1314"/>
    </row>
    <row r="82" spans="1:24" ht="18" customHeight="1" x14ac:dyDescent="0.25">
      <c r="A82" s="2024"/>
      <c r="B82" s="2023"/>
      <c r="C82" s="2016"/>
      <c r="D82" s="953" t="s">
        <v>194</v>
      </c>
      <c r="E82" s="1307" t="s">
        <v>130</v>
      </c>
      <c r="F82" s="1307" t="s">
        <v>457</v>
      </c>
      <c r="G82" s="1082" t="s">
        <v>1766</v>
      </c>
      <c r="H82" s="1308">
        <f>-70000+70000</f>
        <v>0</v>
      </c>
      <c r="I82" s="1308"/>
      <c r="J82" s="1308"/>
      <c r="K82" s="1308"/>
      <c r="L82" s="980"/>
      <c r="M82" s="1308"/>
      <c r="N82" s="1308"/>
      <c r="O82" s="1308"/>
      <c r="P82" s="981"/>
      <c r="Q82" s="1313"/>
      <c r="R82" s="1308"/>
      <c r="S82" s="1308"/>
      <c r="T82" s="1308"/>
      <c r="U82" s="1308"/>
      <c r="V82" s="1308"/>
      <c r="W82" s="1308"/>
      <c r="X82" s="1314"/>
    </row>
    <row r="83" spans="1:24" ht="18" customHeight="1" x14ac:dyDescent="0.25">
      <c r="A83" s="2024"/>
      <c r="B83" s="2023"/>
      <c r="C83" s="2016"/>
      <c r="D83" s="953" t="s">
        <v>194</v>
      </c>
      <c r="E83" s="1307" t="s">
        <v>648</v>
      </c>
      <c r="F83" s="1307" t="s">
        <v>135</v>
      </c>
      <c r="G83" s="1082" t="s">
        <v>1766</v>
      </c>
      <c r="H83" s="1308">
        <f>-28000+28000</f>
        <v>0</v>
      </c>
      <c r="I83" s="1308"/>
      <c r="J83" s="1308"/>
      <c r="K83" s="1308"/>
      <c r="L83" s="980"/>
      <c r="M83" s="1308"/>
      <c r="N83" s="1308"/>
      <c r="O83" s="1308"/>
      <c r="P83" s="981"/>
      <c r="Q83" s="1313"/>
      <c r="R83" s="1308"/>
      <c r="S83" s="1308"/>
      <c r="T83" s="1308"/>
      <c r="U83" s="1308"/>
      <c r="V83" s="1308"/>
      <c r="W83" s="1308"/>
      <c r="X83" s="1314"/>
    </row>
    <row r="84" spans="1:24" ht="18" customHeight="1" x14ac:dyDescent="0.25">
      <c r="A84" s="2024"/>
      <c r="B84" s="2023"/>
      <c r="C84" s="2016"/>
      <c r="D84" s="953" t="s">
        <v>194</v>
      </c>
      <c r="E84" s="1307" t="s">
        <v>557</v>
      </c>
      <c r="F84" s="1307" t="s">
        <v>462</v>
      </c>
      <c r="G84" s="1082" t="s">
        <v>1766</v>
      </c>
      <c r="H84" s="1308">
        <f>-34920+34920</f>
        <v>0</v>
      </c>
      <c r="I84" s="1308"/>
      <c r="J84" s="1308"/>
      <c r="K84" s="1308"/>
      <c r="L84" s="980"/>
      <c r="M84" s="1308"/>
      <c r="N84" s="1308"/>
      <c r="O84" s="1308"/>
      <c r="P84" s="981"/>
      <c r="Q84" s="1313"/>
      <c r="R84" s="1308"/>
      <c r="S84" s="1308"/>
      <c r="T84" s="1308"/>
      <c r="U84" s="1308"/>
      <c r="V84" s="1308"/>
      <c r="W84" s="1308"/>
      <c r="X84" s="1314"/>
    </row>
    <row r="85" spans="1:24" ht="18" customHeight="1" x14ac:dyDescent="0.25">
      <c r="A85" s="2024"/>
      <c r="B85" s="2023"/>
      <c r="C85" s="2016"/>
      <c r="D85" s="953" t="s">
        <v>194</v>
      </c>
      <c r="E85" s="1307" t="s">
        <v>62</v>
      </c>
      <c r="F85" s="1307" t="s">
        <v>541</v>
      </c>
      <c r="G85" s="1082" t="s">
        <v>1766</v>
      </c>
      <c r="H85" s="1308">
        <f>-162685+162685</f>
        <v>0</v>
      </c>
      <c r="I85" s="1308"/>
      <c r="J85" s="1308"/>
      <c r="K85" s="1308"/>
      <c r="L85" s="980"/>
      <c r="M85" s="1308"/>
      <c r="N85" s="1308"/>
      <c r="O85" s="1308"/>
      <c r="P85" s="981"/>
      <c r="Q85" s="1313"/>
      <c r="R85" s="1308"/>
      <c r="S85" s="1308"/>
      <c r="T85" s="1308"/>
      <c r="U85" s="1308"/>
      <c r="V85" s="1308"/>
      <c r="W85" s="1308"/>
      <c r="X85" s="1314"/>
    </row>
    <row r="86" spans="1:24" ht="18.75" customHeight="1" x14ac:dyDescent="0.25">
      <c r="A86" s="2024" t="s">
        <v>282</v>
      </c>
      <c r="B86" s="2023" t="s">
        <v>812</v>
      </c>
      <c r="C86" s="2016" t="s">
        <v>1851</v>
      </c>
      <c r="D86" s="953" t="s">
        <v>201</v>
      </c>
      <c r="E86" s="1307" t="s">
        <v>73</v>
      </c>
      <c r="F86" s="1307" t="s">
        <v>1785</v>
      </c>
      <c r="G86" s="1082" t="s">
        <v>1752</v>
      </c>
      <c r="H86" s="1308"/>
      <c r="I86" s="1308"/>
      <c r="J86" s="1308"/>
      <c r="K86" s="1308"/>
      <c r="L86" s="980">
        <v>-15000</v>
      </c>
      <c r="M86" s="1308"/>
      <c r="N86" s="1308"/>
      <c r="O86" s="1308"/>
      <c r="P86" s="981"/>
      <c r="Q86" s="1313"/>
      <c r="R86" s="1308"/>
      <c r="S86" s="1308"/>
      <c r="T86" s="1308"/>
      <c r="U86" s="1308"/>
      <c r="V86" s="1308"/>
      <c r="W86" s="1308"/>
      <c r="X86" s="1314"/>
    </row>
    <row r="87" spans="1:24" ht="18.75" customHeight="1" x14ac:dyDescent="0.25">
      <c r="A87" s="2024"/>
      <c r="B87" s="2023"/>
      <c r="C87" s="2016"/>
      <c r="D87" s="953" t="s">
        <v>194</v>
      </c>
      <c r="E87" s="1307" t="s">
        <v>1368</v>
      </c>
      <c r="F87" s="1307" t="s">
        <v>1412</v>
      </c>
      <c r="G87" s="1082" t="s">
        <v>1754</v>
      </c>
      <c r="H87" s="1308"/>
      <c r="I87" s="1308"/>
      <c r="J87" s="1308">
        <v>15000</v>
      </c>
      <c r="K87" s="1308"/>
      <c r="L87" s="980"/>
      <c r="M87" s="1308"/>
      <c r="N87" s="1308"/>
      <c r="O87" s="1308"/>
      <c r="P87" s="981"/>
      <c r="Q87" s="1313"/>
      <c r="R87" s="1308"/>
      <c r="S87" s="1308"/>
      <c r="T87" s="1308"/>
      <c r="U87" s="1308"/>
      <c r="V87" s="1308"/>
      <c r="W87" s="1308"/>
      <c r="X87" s="1314"/>
    </row>
    <row r="88" spans="1:24" ht="26.25" customHeight="1" x14ac:dyDescent="0.25">
      <c r="A88" s="2024" t="s">
        <v>283</v>
      </c>
      <c r="B88" s="2023" t="s">
        <v>813</v>
      </c>
      <c r="C88" s="2028" t="s">
        <v>1856</v>
      </c>
      <c r="D88" s="953" t="s">
        <v>204</v>
      </c>
      <c r="E88" s="1307" t="s">
        <v>1753</v>
      </c>
      <c r="F88" s="1307" t="s">
        <v>1784</v>
      </c>
      <c r="G88" s="1082" t="s">
        <v>1754</v>
      </c>
      <c r="H88" s="1308"/>
      <c r="I88" s="1308"/>
      <c r="J88" s="1308"/>
      <c r="K88" s="1308"/>
      <c r="L88" s="980"/>
      <c r="M88" s="1308"/>
      <c r="N88" s="1308"/>
      <c r="O88" s="1308"/>
      <c r="P88" s="981"/>
      <c r="Q88" s="1313">
        <v>16564354</v>
      </c>
      <c r="R88" s="1308"/>
      <c r="S88" s="1308"/>
      <c r="T88" s="1308"/>
      <c r="U88" s="1308"/>
      <c r="V88" s="1308"/>
      <c r="W88" s="1308"/>
      <c r="X88" s="1314"/>
    </row>
    <row r="89" spans="1:24" ht="26.25" customHeight="1" x14ac:dyDescent="0.25">
      <c r="A89" s="2024"/>
      <c r="B89" s="2023"/>
      <c r="C89" s="2028"/>
      <c r="D89" s="953" t="s">
        <v>202</v>
      </c>
      <c r="E89" s="1307" t="s">
        <v>1297</v>
      </c>
      <c r="F89" s="1307" t="s">
        <v>550</v>
      </c>
      <c r="G89" s="1082" t="s">
        <v>1754</v>
      </c>
      <c r="H89" s="1308"/>
      <c r="I89" s="1308"/>
      <c r="J89" s="1308"/>
      <c r="K89" s="1308"/>
      <c r="L89" s="980"/>
      <c r="M89" s="1308"/>
      <c r="N89" s="1308"/>
      <c r="O89" s="1308"/>
      <c r="P89" s="981">
        <v>16564354</v>
      </c>
      <c r="Q89" s="1313"/>
      <c r="R89" s="1308"/>
      <c r="S89" s="1308"/>
      <c r="T89" s="1308"/>
      <c r="U89" s="1308"/>
      <c r="V89" s="1308"/>
      <c r="W89" s="1308"/>
      <c r="X89" s="1314"/>
    </row>
    <row r="90" spans="1:24" ht="39" customHeight="1" x14ac:dyDescent="0.25">
      <c r="A90" s="1423" t="s">
        <v>284</v>
      </c>
      <c r="B90" s="1422" t="s">
        <v>814</v>
      </c>
      <c r="C90" s="1490" t="s">
        <v>1857</v>
      </c>
      <c r="D90" s="953" t="s">
        <v>194</v>
      </c>
      <c r="E90" s="1307" t="s">
        <v>130</v>
      </c>
      <c r="F90" s="1307" t="s">
        <v>65</v>
      </c>
      <c r="G90" s="1082" t="s">
        <v>1754</v>
      </c>
      <c r="H90" s="1308"/>
      <c r="I90" s="1308"/>
      <c r="J90" s="1308"/>
      <c r="K90" s="1308"/>
      <c r="L90" s="980"/>
      <c r="M90" s="1308"/>
      <c r="N90" s="1308"/>
      <c r="O90" s="1308">
        <v>599400</v>
      </c>
      <c r="P90" s="981"/>
      <c r="Q90" s="1313"/>
      <c r="R90" s="1308"/>
      <c r="S90" s="1308"/>
      <c r="T90" s="1308"/>
      <c r="U90" s="1308"/>
      <c r="V90" s="1308"/>
      <c r="W90" s="1308">
        <v>599400</v>
      </c>
      <c r="X90" s="1314"/>
    </row>
    <row r="91" spans="1:24" ht="21.75" customHeight="1" x14ac:dyDescent="0.25">
      <c r="A91" s="2024" t="s">
        <v>285</v>
      </c>
      <c r="B91" s="2023" t="s">
        <v>815</v>
      </c>
      <c r="C91" s="2016" t="s">
        <v>1858</v>
      </c>
      <c r="D91" s="953" t="s">
        <v>201</v>
      </c>
      <c r="E91" s="1307" t="s">
        <v>73</v>
      </c>
      <c r="F91" s="1307" t="s">
        <v>1785</v>
      </c>
      <c r="G91" s="1082" t="s">
        <v>1752</v>
      </c>
      <c r="H91" s="1308"/>
      <c r="I91" s="1308"/>
      <c r="J91" s="1308"/>
      <c r="K91" s="1308"/>
      <c r="L91" s="980">
        <v>-82550</v>
      </c>
      <c r="M91" s="1308"/>
      <c r="N91" s="1308"/>
      <c r="O91" s="1308"/>
      <c r="P91" s="981"/>
      <c r="Q91" s="1313"/>
      <c r="R91" s="1308"/>
      <c r="S91" s="1308"/>
      <c r="T91" s="1308"/>
      <c r="U91" s="1308"/>
      <c r="V91" s="1308"/>
      <c r="W91" s="1308"/>
      <c r="X91" s="1314"/>
    </row>
    <row r="92" spans="1:24" ht="21.75" customHeight="1" x14ac:dyDescent="0.25">
      <c r="A92" s="2024"/>
      <c r="B92" s="2023"/>
      <c r="C92" s="2016"/>
      <c r="D92" s="953" t="s">
        <v>194</v>
      </c>
      <c r="E92" s="1307" t="s">
        <v>130</v>
      </c>
      <c r="F92" s="1307" t="s">
        <v>1812</v>
      </c>
      <c r="G92" s="1082" t="s">
        <v>1754</v>
      </c>
      <c r="H92" s="1308"/>
      <c r="I92" s="1308"/>
      <c r="J92" s="1308">
        <f>65000+17550</f>
        <v>82550</v>
      </c>
      <c r="K92" s="1308"/>
      <c r="L92" s="980"/>
      <c r="M92" s="1308"/>
      <c r="N92" s="1308"/>
      <c r="O92" s="1308"/>
      <c r="P92" s="981"/>
      <c r="Q92" s="1313"/>
      <c r="R92" s="1308"/>
      <c r="S92" s="1308"/>
      <c r="T92" s="1308"/>
      <c r="U92" s="1308"/>
      <c r="V92" s="1308"/>
      <c r="W92" s="1308"/>
      <c r="X92" s="1314"/>
    </row>
    <row r="93" spans="1:24" ht="18" customHeight="1" x14ac:dyDescent="0.25">
      <c r="A93" s="1423"/>
      <c r="B93" s="1422"/>
      <c r="C93" s="1490" t="s">
        <v>1862</v>
      </c>
      <c r="D93" s="953" t="s">
        <v>203</v>
      </c>
      <c r="E93" s="1307" t="s">
        <v>1297</v>
      </c>
      <c r="F93" s="1307" t="s">
        <v>550</v>
      </c>
      <c r="G93" s="1082" t="s">
        <v>1766</v>
      </c>
      <c r="H93" s="1308"/>
      <c r="I93" s="1308"/>
      <c r="J93" s="1308"/>
      <c r="K93" s="1308"/>
      <c r="L93" s="980"/>
      <c r="M93" s="1308"/>
      <c r="N93" s="1308"/>
      <c r="O93" s="1308"/>
      <c r="P93" s="981">
        <f>-5000+5000</f>
        <v>0</v>
      </c>
      <c r="Q93" s="1313"/>
      <c r="R93" s="1308"/>
      <c r="S93" s="1308"/>
      <c r="T93" s="1308"/>
      <c r="U93" s="1308"/>
      <c r="V93" s="1308"/>
      <c r="W93" s="1308"/>
      <c r="X93" s="1314"/>
    </row>
    <row r="94" spans="1:24" ht="30" customHeight="1" x14ac:dyDescent="0.25">
      <c r="A94" s="1423" t="s">
        <v>286</v>
      </c>
      <c r="B94" s="1422" t="s">
        <v>816</v>
      </c>
      <c r="C94" s="1490" t="s">
        <v>1863</v>
      </c>
      <c r="D94" s="953" t="s">
        <v>194</v>
      </c>
      <c r="E94" s="1307" t="s">
        <v>73</v>
      </c>
      <c r="F94" s="1307" t="s">
        <v>453</v>
      </c>
      <c r="G94" s="1082" t="s">
        <v>1766</v>
      </c>
      <c r="H94" s="1308"/>
      <c r="I94" s="1308"/>
      <c r="J94" s="1308">
        <f>-17000+17000</f>
        <v>0</v>
      </c>
      <c r="K94" s="1308"/>
      <c r="L94" s="980"/>
      <c r="M94" s="1308"/>
      <c r="N94" s="1308"/>
      <c r="O94" s="1308"/>
      <c r="P94" s="981"/>
      <c r="Q94" s="1313"/>
      <c r="R94" s="1308"/>
      <c r="S94" s="1308"/>
      <c r="T94" s="1308"/>
      <c r="U94" s="1308"/>
      <c r="V94" s="1308"/>
      <c r="W94" s="1308"/>
      <c r="X94" s="1314"/>
    </row>
    <row r="95" spans="1:24" ht="15" customHeight="1" x14ac:dyDescent="0.25">
      <c r="A95" s="2024" t="s">
        <v>287</v>
      </c>
      <c r="B95" s="2023" t="s">
        <v>817</v>
      </c>
      <c r="C95" s="2016" t="s">
        <v>1864</v>
      </c>
      <c r="D95" s="953" t="s">
        <v>194</v>
      </c>
      <c r="E95" s="1307" t="s">
        <v>130</v>
      </c>
      <c r="F95" s="1307" t="s">
        <v>1865</v>
      </c>
      <c r="G95" s="1082" t="s">
        <v>1754</v>
      </c>
      <c r="H95" s="1308"/>
      <c r="I95" s="1308"/>
      <c r="J95" s="1308"/>
      <c r="K95" s="1308"/>
      <c r="L95" s="980"/>
      <c r="M95" s="1308"/>
      <c r="N95" s="1308"/>
      <c r="O95" s="1308"/>
      <c r="P95" s="981"/>
      <c r="Q95" s="1313"/>
      <c r="R95" s="1308"/>
      <c r="S95" s="1308"/>
      <c r="T95" s="1308">
        <v>348000</v>
      </c>
      <c r="U95" s="1308"/>
      <c r="V95" s="1308"/>
      <c r="W95" s="1308"/>
      <c r="X95" s="1314"/>
    </row>
    <row r="96" spans="1:24" ht="15" customHeight="1" x14ac:dyDescent="0.25">
      <c r="A96" s="2024"/>
      <c r="B96" s="2023"/>
      <c r="C96" s="2016"/>
      <c r="D96" s="953" t="s">
        <v>194</v>
      </c>
      <c r="E96" s="1307" t="s">
        <v>641</v>
      </c>
      <c r="F96" s="1307" t="s">
        <v>1755</v>
      </c>
      <c r="G96" s="1082" t="s">
        <v>1754</v>
      </c>
      <c r="H96" s="1308"/>
      <c r="I96" s="1308"/>
      <c r="J96" s="1308">
        <f>274016+73984</f>
        <v>348000</v>
      </c>
      <c r="K96" s="1308"/>
      <c r="L96" s="980"/>
      <c r="M96" s="1308"/>
      <c r="N96" s="1308"/>
      <c r="O96" s="1308"/>
      <c r="P96" s="981"/>
      <c r="Q96" s="1313"/>
      <c r="R96" s="1308"/>
      <c r="S96" s="1308"/>
      <c r="T96" s="1308"/>
      <c r="U96" s="1308"/>
      <c r="V96" s="1308"/>
      <c r="W96" s="1308"/>
      <c r="X96" s="1314"/>
    </row>
    <row r="97" spans="1:24" ht="19.5" customHeight="1" x14ac:dyDescent="0.25">
      <c r="A97" s="1423" t="s">
        <v>288</v>
      </c>
      <c r="B97" s="1422" t="s">
        <v>818</v>
      </c>
      <c r="C97" s="1490" t="s">
        <v>1866</v>
      </c>
      <c r="D97" s="953" t="s">
        <v>194</v>
      </c>
      <c r="E97" s="1307" t="s">
        <v>1781</v>
      </c>
      <c r="F97" s="1307" t="s">
        <v>1780</v>
      </c>
      <c r="G97" s="1082" t="s">
        <v>1754</v>
      </c>
      <c r="H97" s="1308"/>
      <c r="I97" s="1308"/>
      <c r="J97" s="1308">
        <v>941</v>
      </c>
      <c r="K97" s="1308"/>
      <c r="L97" s="980"/>
      <c r="M97" s="1308"/>
      <c r="N97" s="1308"/>
      <c r="O97" s="1308"/>
      <c r="P97" s="981"/>
      <c r="Q97" s="1313"/>
      <c r="R97" s="1308"/>
      <c r="S97" s="1308"/>
      <c r="T97" s="1308">
        <v>941</v>
      </c>
      <c r="U97" s="1308"/>
      <c r="V97" s="1308"/>
      <c r="W97" s="1308"/>
      <c r="X97" s="1314"/>
    </row>
    <row r="98" spans="1:24" ht="27" customHeight="1" x14ac:dyDescent="0.25">
      <c r="A98" s="2024" t="s">
        <v>289</v>
      </c>
      <c r="B98" s="2023" t="s">
        <v>819</v>
      </c>
      <c r="C98" s="2016" t="s">
        <v>1867</v>
      </c>
      <c r="D98" s="953" t="s">
        <v>194</v>
      </c>
      <c r="E98" s="1307" t="s">
        <v>130</v>
      </c>
      <c r="F98" s="1307" t="s">
        <v>153</v>
      </c>
      <c r="G98" s="1082" t="s">
        <v>1754</v>
      </c>
      <c r="H98" s="1308"/>
      <c r="I98" s="1308"/>
      <c r="J98" s="1308"/>
      <c r="K98" s="1308"/>
      <c r="L98" s="980"/>
      <c r="M98" s="1308"/>
      <c r="N98" s="1308"/>
      <c r="O98" s="1308"/>
      <c r="P98" s="981"/>
      <c r="Q98" s="1313"/>
      <c r="R98" s="1308"/>
      <c r="S98" s="1308"/>
      <c r="T98" s="1308">
        <v>94060</v>
      </c>
      <c r="U98" s="1308"/>
      <c r="V98" s="1308"/>
      <c r="W98" s="1308"/>
      <c r="X98" s="1314"/>
    </row>
    <row r="99" spans="1:24" ht="27" customHeight="1" x14ac:dyDescent="0.25">
      <c r="A99" s="2024"/>
      <c r="B99" s="2023"/>
      <c r="C99" s="2016"/>
      <c r="D99" s="953" t="s">
        <v>201</v>
      </c>
      <c r="E99" s="1307" t="s">
        <v>73</v>
      </c>
      <c r="F99" s="1307" t="s">
        <v>1785</v>
      </c>
      <c r="G99" s="1082" t="s">
        <v>1754</v>
      </c>
      <c r="H99" s="1308"/>
      <c r="I99" s="1308"/>
      <c r="J99" s="1308"/>
      <c r="K99" s="1308"/>
      <c r="L99" s="980">
        <v>94060</v>
      </c>
      <c r="M99" s="1308"/>
      <c r="N99" s="1308"/>
      <c r="O99" s="1308"/>
      <c r="P99" s="981"/>
      <c r="Q99" s="1313"/>
      <c r="R99" s="1308"/>
      <c r="S99" s="1308"/>
      <c r="T99" s="1308"/>
      <c r="U99" s="1308"/>
      <c r="V99" s="1308"/>
      <c r="W99" s="1308"/>
      <c r="X99" s="1314"/>
    </row>
    <row r="100" spans="1:24" ht="18" customHeight="1" x14ac:dyDescent="0.25">
      <c r="A100" s="1423" t="s">
        <v>290</v>
      </c>
      <c r="B100" s="1422" t="s">
        <v>820</v>
      </c>
      <c r="C100" s="1490" t="s">
        <v>1868</v>
      </c>
      <c r="D100" s="953" t="s">
        <v>194</v>
      </c>
      <c r="E100" s="1307" t="s">
        <v>1781</v>
      </c>
      <c r="F100" s="1307" t="s">
        <v>1780</v>
      </c>
      <c r="G100" s="1082" t="s">
        <v>1754</v>
      </c>
      <c r="H100" s="1308"/>
      <c r="I100" s="1308"/>
      <c r="J100" s="1308"/>
      <c r="K100" s="1308"/>
      <c r="L100" s="980"/>
      <c r="M100" s="1308"/>
      <c r="N100" s="1308"/>
      <c r="O100" s="1308"/>
      <c r="P100" s="981">
        <v>15009215</v>
      </c>
      <c r="Q100" s="1313"/>
      <c r="R100" s="1308"/>
      <c r="S100" s="1308"/>
      <c r="T100" s="1308"/>
      <c r="U100" s="1308"/>
      <c r="V100" s="1308"/>
      <c r="W100" s="1308"/>
      <c r="X100" s="1314">
        <v>15009215</v>
      </c>
    </row>
    <row r="101" spans="1:24" ht="18" customHeight="1" x14ac:dyDescent="0.25">
      <c r="A101" s="2024" t="s">
        <v>291</v>
      </c>
      <c r="B101" s="2023" t="s">
        <v>821</v>
      </c>
      <c r="C101" s="2016" t="s">
        <v>1869</v>
      </c>
      <c r="D101" s="953" t="s">
        <v>194</v>
      </c>
      <c r="E101" s="1307" t="s">
        <v>130</v>
      </c>
      <c r="F101" s="1307" t="s">
        <v>153</v>
      </c>
      <c r="G101" s="1082" t="s">
        <v>1754</v>
      </c>
      <c r="H101" s="1308"/>
      <c r="I101" s="1308"/>
      <c r="J101" s="1308"/>
      <c r="K101" s="1308"/>
      <c r="L101" s="980"/>
      <c r="M101" s="1308"/>
      <c r="N101" s="1308"/>
      <c r="O101" s="1308"/>
      <c r="P101" s="981"/>
      <c r="Q101" s="1313"/>
      <c r="R101" s="1308"/>
      <c r="S101" s="1308"/>
      <c r="T101" s="1308">
        <v>10000</v>
      </c>
      <c r="U101" s="1308"/>
      <c r="V101" s="1308"/>
      <c r="W101" s="1308"/>
      <c r="X101" s="1314"/>
    </row>
    <row r="102" spans="1:24" ht="18.75" customHeight="1" x14ac:dyDescent="0.25">
      <c r="A102" s="2024"/>
      <c r="B102" s="2023"/>
      <c r="C102" s="2016"/>
      <c r="D102" s="953" t="s">
        <v>201</v>
      </c>
      <c r="E102" s="1307" t="s">
        <v>73</v>
      </c>
      <c r="F102" s="1307" t="s">
        <v>1785</v>
      </c>
      <c r="G102" s="1082" t="s">
        <v>1754</v>
      </c>
      <c r="H102" s="1308"/>
      <c r="I102" s="1308"/>
      <c r="J102" s="1308"/>
      <c r="K102" s="1308"/>
      <c r="L102" s="980">
        <v>10000</v>
      </c>
      <c r="M102" s="1308"/>
      <c r="N102" s="1308"/>
      <c r="O102" s="1308"/>
      <c r="P102" s="981"/>
      <c r="Q102" s="1313"/>
      <c r="R102" s="1308"/>
      <c r="S102" s="1308"/>
      <c r="T102" s="1308"/>
      <c r="U102" s="1308"/>
      <c r="V102" s="1308"/>
      <c r="W102" s="1308"/>
      <c r="X102" s="1314"/>
    </row>
    <row r="103" spans="1:24" ht="18.75" customHeight="1" x14ac:dyDescent="0.25">
      <c r="A103" s="1423"/>
      <c r="B103" s="1422"/>
      <c r="C103" s="1424" t="s">
        <v>1871</v>
      </c>
      <c r="D103" s="953" t="s">
        <v>203</v>
      </c>
      <c r="E103" s="1307" t="s">
        <v>1297</v>
      </c>
      <c r="F103" s="1307" t="s">
        <v>550</v>
      </c>
      <c r="G103" s="1082" t="s">
        <v>1766</v>
      </c>
      <c r="H103" s="1308"/>
      <c r="I103" s="1308"/>
      <c r="J103" s="1308"/>
      <c r="K103" s="1308"/>
      <c r="L103" s="980"/>
      <c r="M103" s="1308"/>
      <c r="N103" s="1308"/>
      <c r="O103" s="1308"/>
      <c r="P103" s="981">
        <f>-360000+360000</f>
        <v>0</v>
      </c>
      <c r="Q103" s="1313"/>
      <c r="R103" s="1308"/>
      <c r="S103" s="1308"/>
      <c r="T103" s="1308"/>
      <c r="U103" s="1308"/>
      <c r="V103" s="1308"/>
      <c r="W103" s="1308"/>
      <c r="X103" s="1314"/>
    </row>
    <row r="104" spans="1:24" ht="28.5" customHeight="1" x14ac:dyDescent="0.25">
      <c r="A104" s="1423" t="s">
        <v>292</v>
      </c>
      <c r="B104" s="1422" t="s">
        <v>822</v>
      </c>
      <c r="C104" s="1424" t="s">
        <v>1872</v>
      </c>
      <c r="D104" s="953" t="s">
        <v>194</v>
      </c>
      <c r="E104" s="1307" t="s">
        <v>130</v>
      </c>
      <c r="F104" s="1307" t="s">
        <v>1812</v>
      </c>
      <c r="G104" s="1082" t="s">
        <v>1766</v>
      </c>
      <c r="H104" s="1308"/>
      <c r="I104" s="1308"/>
      <c r="J104" s="1308">
        <f>-100000+100000</f>
        <v>0</v>
      </c>
      <c r="K104" s="1308"/>
      <c r="L104" s="980"/>
      <c r="M104" s="1308"/>
      <c r="N104" s="1308"/>
      <c r="O104" s="1308"/>
      <c r="P104" s="981"/>
      <c r="Q104" s="1313"/>
      <c r="R104" s="1308"/>
      <c r="S104" s="1308"/>
      <c r="T104" s="1308"/>
      <c r="U104" s="1308"/>
      <c r="V104" s="1308"/>
      <c r="W104" s="1308"/>
      <c r="X104" s="1314"/>
    </row>
    <row r="105" spans="1:24" ht="17.25" customHeight="1" x14ac:dyDescent="0.25">
      <c r="A105" s="2024" t="s">
        <v>293</v>
      </c>
      <c r="B105" s="2023" t="s">
        <v>823</v>
      </c>
      <c r="C105" s="2026" t="s">
        <v>1873</v>
      </c>
      <c r="D105" s="953" t="s">
        <v>194</v>
      </c>
      <c r="E105" s="1307" t="s">
        <v>1294</v>
      </c>
      <c r="F105" s="1307" t="s">
        <v>1874</v>
      </c>
      <c r="G105" s="1082" t="s">
        <v>1754</v>
      </c>
      <c r="H105" s="1308"/>
      <c r="I105" s="1308"/>
      <c r="J105" s="1308"/>
      <c r="K105" s="1308"/>
      <c r="L105" s="980"/>
      <c r="M105" s="1308"/>
      <c r="N105" s="1308"/>
      <c r="O105" s="1308"/>
      <c r="P105" s="981"/>
      <c r="Q105" s="1313">
        <v>630000</v>
      </c>
      <c r="R105" s="1308"/>
      <c r="S105" s="1308"/>
      <c r="T105" s="1308"/>
      <c r="U105" s="1308"/>
      <c r="V105" s="1308"/>
      <c r="W105" s="1308"/>
      <c r="X105" s="1314"/>
    </row>
    <row r="106" spans="1:24" ht="17.25" customHeight="1" x14ac:dyDescent="0.25">
      <c r="A106" s="2024"/>
      <c r="B106" s="2023"/>
      <c r="C106" s="2026"/>
      <c r="D106" s="953" t="s">
        <v>201</v>
      </c>
      <c r="E106" s="1307" t="s">
        <v>73</v>
      </c>
      <c r="F106" s="1307" t="s">
        <v>1785</v>
      </c>
      <c r="G106" s="1082" t="s">
        <v>1754</v>
      </c>
      <c r="H106" s="1308"/>
      <c r="I106" s="1308"/>
      <c r="J106" s="1308"/>
      <c r="K106" s="1308"/>
      <c r="L106" s="980">
        <v>630000</v>
      </c>
      <c r="M106" s="1308"/>
      <c r="N106" s="1308"/>
      <c r="O106" s="1308"/>
      <c r="P106" s="981"/>
      <c r="Q106" s="1313"/>
      <c r="R106" s="1308"/>
      <c r="S106" s="1308"/>
      <c r="T106" s="1308"/>
      <c r="U106" s="1308"/>
      <c r="V106" s="1308"/>
      <c r="W106" s="1308"/>
      <c r="X106" s="1314"/>
    </row>
    <row r="107" spans="1:24" ht="18" customHeight="1" x14ac:dyDescent="0.25">
      <c r="A107" s="2024" t="s">
        <v>294</v>
      </c>
      <c r="B107" s="2023" t="s">
        <v>831</v>
      </c>
      <c r="C107" s="2026" t="s">
        <v>1875</v>
      </c>
      <c r="D107" s="953" t="s">
        <v>201</v>
      </c>
      <c r="E107" s="1307" t="s">
        <v>73</v>
      </c>
      <c r="F107" s="1307" t="s">
        <v>1785</v>
      </c>
      <c r="G107" s="1082" t="s">
        <v>1752</v>
      </c>
      <c r="H107" s="1308"/>
      <c r="I107" s="1308"/>
      <c r="J107" s="1308"/>
      <c r="K107" s="1308"/>
      <c r="L107" s="980">
        <v>-4768251</v>
      </c>
      <c r="M107" s="1308"/>
      <c r="N107" s="1308"/>
      <c r="O107" s="1308"/>
      <c r="P107" s="981"/>
      <c r="Q107" s="1313"/>
      <c r="R107" s="1308"/>
      <c r="S107" s="1308"/>
      <c r="T107" s="1308"/>
      <c r="U107" s="1308"/>
      <c r="V107" s="1308"/>
      <c r="W107" s="1308"/>
      <c r="X107" s="1314"/>
    </row>
    <row r="108" spans="1:24" ht="18" customHeight="1" x14ac:dyDescent="0.25">
      <c r="A108" s="2024"/>
      <c r="B108" s="2023"/>
      <c r="C108" s="2026"/>
      <c r="D108" s="953" t="s">
        <v>194</v>
      </c>
      <c r="E108" s="1307" t="s">
        <v>1877</v>
      </c>
      <c r="F108" s="1307" t="s">
        <v>1876</v>
      </c>
      <c r="G108" s="1082" t="s">
        <v>1754</v>
      </c>
      <c r="H108" s="1308"/>
      <c r="I108" s="1308"/>
      <c r="J108" s="1308">
        <f>9534+3675406+1073311+10000</f>
        <v>4768251</v>
      </c>
      <c r="K108" s="1308"/>
      <c r="L108" s="980"/>
      <c r="M108" s="1308"/>
      <c r="N108" s="1308"/>
      <c r="O108" s="1308"/>
      <c r="P108" s="981"/>
      <c r="Q108" s="1313"/>
      <c r="R108" s="1308"/>
      <c r="S108" s="1308"/>
      <c r="T108" s="1308"/>
      <c r="U108" s="1308"/>
      <c r="V108" s="1308"/>
      <c r="W108" s="1308"/>
      <c r="X108" s="1314"/>
    </row>
    <row r="109" spans="1:24" ht="27.75" customHeight="1" x14ac:dyDescent="0.25">
      <c r="A109" s="1423" t="s">
        <v>295</v>
      </c>
      <c r="B109" s="1422" t="s">
        <v>830</v>
      </c>
      <c r="C109" s="1424" t="s">
        <v>1878</v>
      </c>
      <c r="D109" s="953" t="s">
        <v>194</v>
      </c>
      <c r="E109" s="1307" t="s">
        <v>1877</v>
      </c>
      <c r="F109" s="1307" t="s">
        <v>1876</v>
      </c>
      <c r="G109" s="1082" t="s">
        <v>1766</v>
      </c>
      <c r="H109" s="1308"/>
      <c r="I109" s="1308"/>
      <c r="J109" s="1308">
        <f>-96520+96520</f>
        <v>0</v>
      </c>
      <c r="K109" s="1308"/>
      <c r="L109" s="980"/>
      <c r="M109" s="1308"/>
      <c r="N109" s="1308"/>
      <c r="O109" s="1308"/>
      <c r="P109" s="981"/>
      <c r="Q109" s="1313"/>
      <c r="R109" s="1308"/>
      <c r="S109" s="1308"/>
      <c r="T109" s="1308"/>
      <c r="U109" s="1308"/>
      <c r="V109" s="1308"/>
      <c r="W109" s="1308"/>
      <c r="X109" s="1314"/>
    </row>
    <row r="110" spans="1:24" ht="17.25" customHeight="1" x14ac:dyDescent="0.25">
      <c r="A110" s="2024" t="s">
        <v>296</v>
      </c>
      <c r="B110" s="2023" t="s">
        <v>832</v>
      </c>
      <c r="C110" s="2026" t="s">
        <v>1881</v>
      </c>
      <c r="D110" s="953" t="s">
        <v>201</v>
      </c>
      <c r="E110" s="1307" t="s">
        <v>73</v>
      </c>
      <c r="F110" s="1307" t="s">
        <v>1785</v>
      </c>
      <c r="G110" s="1082" t="s">
        <v>1752</v>
      </c>
      <c r="H110" s="1308"/>
      <c r="I110" s="1308"/>
      <c r="J110" s="1308"/>
      <c r="K110" s="1308"/>
      <c r="L110" s="980">
        <v>-87549</v>
      </c>
      <c r="M110" s="1308"/>
      <c r="N110" s="1308"/>
      <c r="O110" s="1308"/>
      <c r="P110" s="981"/>
      <c r="Q110" s="1313"/>
      <c r="R110" s="1308"/>
      <c r="S110" s="1308"/>
      <c r="T110" s="1308"/>
      <c r="U110" s="1308"/>
      <c r="V110" s="1308"/>
      <c r="W110" s="1308"/>
      <c r="X110" s="1314"/>
    </row>
    <row r="111" spans="1:24" ht="17.25" customHeight="1" x14ac:dyDescent="0.25">
      <c r="A111" s="2024"/>
      <c r="B111" s="2023"/>
      <c r="C111" s="2026"/>
      <c r="D111" s="953" t="s">
        <v>194</v>
      </c>
      <c r="E111" s="1307" t="s">
        <v>1880</v>
      </c>
      <c r="F111" s="1307" t="s">
        <v>1879</v>
      </c>
      <c r="G111" s="1082" t="s">
        <v>1754</v>
      </c>
      <c r="H111" s="1308">
        <v>68936</v>
      </c>
      <c r="I111" s="1308"/>
      <c r="J111" s="1308">
        <v>18613</v>
      </c>
      <c r="K111" s="1308"/>
      <c r="L111" s="980"/>
      <c r="M111" s="1308"/>
      <c r="N111" s="1308"/>
      <c r="O111" s="1308"/>
      <c r="P111" s="981"/>
      <c r="Q111" s="1313"/>
      <c r="R111" s="1308"/>
      <c r="S111" s="1308"/>
      <c r="T111" s="1308"/>
      <c r="U111" s="1308"/>
      <c r="V111" s="1308"/>
      <c r="W111" s="1308"/>
      <c r="X111" s="1314"/>
    </row>
    <row r="112" spans="1:24" ht="53.25" customHeight="1" x14ac:dyDescent="0.25">
      <c r="A112" s="1423" t="s">
        <v>297</v>
      </c>
      <c r="B112" s="1422" t="s">
        <v>829</v>
      </c>
      <c r="C112" s="1424" t="s">
        <v>1882</v>
      </c>
      <c r="D112" s="953" t="s">
        <v>198</v>
      </c>
      <c r="E112" s="1307" t="s">
        <v>74</v>
      </c>
      <c r="F112" s="1307" t="s">
        <v>1408</v>
      </c>
      <c r="G112" s="1082" t="s">
        <v>1766</v>
      </c>
      <c r="H112" s="1308"/>
      <c r="I112" s="1308"/>
      <c r="J112" s="1308">
        <f>-785920+485920</f>
        <v>-300000</v>
      </c>
      <c r="K112" s="1308"/>
      <c r="L112" s="980">
        <v>300000</v>
      </c>
      <c r="M112" s="1308"/>
      <c r="N112" s="1308"/>
      <c r="O112" s="1308"/>
      <c r="P112" s="981"/>
      <c r="Q112" s="1313"/>
      <c r="R112" s="1308"/>
      <c r="S112" s="1308"/>
      <c r="T112" s="1308"/>
      <c r="U112" s="1308"/>
      <c r="V112" s="1308"/>
      <c r="W112" s="1308"/>
      <c r="X112" s="1314"/>
    </row>
    <row r="113" spans="1:24" ht="18.75" customHeight="1" x14ac:dyDescent="0.25">
      <c r="A113" s="2024" t="s">
        <v>298</v>
      </c>
      <c r="B113" s="2023" t="s">
        <v>834</v>
      </c>
      <c r="C113" s="2026" t="s">
        <v>1885</v>
      </c>
      <c r="D113" s="953" t="s">
        <v>204</v>
      </c>
      <c r="E113" s="1307" t="s">
        <v>1753</v>
      </c>
      <c r="F113" s="1307" t="s">
        <v>1784</v>
      </c>
      <c r="G113" s="1082" t="s">
        <v>1754</v>
      </c>
      <c r="H113" s="1308"/>
      <c r="I113" s="1308"/>
      <c r="J113" s="1308"/>
      <c r="K113" s="1308"/>
      <c r="L113" s="980"/>
      <c r="M113" s="1308"/>
      <c r="N113" s="1308"/>
      <c r="O113" s="1308"/>
      <c r="P113" s="981"/>
      <c r="Q113" s="1313">
        <v>2596264</v>
      </c>
      <c r="R113" s="1308"/>
      <c r="S113" s="1308"/>
      <c r="T113" s="1308"/>
      <c r="U113" s="1308"/>
      <c r="V113" s="1308"/>
      <c r="W113" s="1308"/>
      <c r="X113" s="1314"/>
    </row>
    <row r="114" spans="1:24" ht="18.75" customHeight="1" x14ac:dyDescent="0.25">
      <c r="A114" s="2024"/>
      <c r="B114" s="2023"/>
      <c r="C114" s="2026"/>
      <c r="D114" s="953" t="s">
        <v>201</v>
      </c>
      <c r="E114" s="1307" t="s">
        <v>73</v>
      </c>
      <c r="F114" s="1307" t="s">
        <v>1785</v>
      </c>
      <c r="G114" s="1082" t="s">
        <v>1754</v>
      </c>
      <c r="H114" s="1308"/>
      <c r="I114" s="1308"/>
      <c r="J114" s="1308"/>
      <c r="K114" s="1308"/>
      <c r="L114" s="980">
        <v>2596264</v>
      </c>
      <c r="M114" s="1308"/>
      <c r="N114" s="1308"/>
      <c r="O114" s="1308"/>
      <c r="P114" s="981"/>
      <c r="Q114" s="1313"/>
      <c r="R114" s="1308"/>
      <c r="S114" s="1308"/>
      <c r="T114" s="1308"/>
      <c r="U114" s="1308"/>
      <c r="V114" s="1308"/>
      <c r="W114" s="1308"/>
      <c r="X114" s="1314"/>
    </row>
    <row r="115" spans="1:24" ht="31.5" customHeight="1" x14ac:dyDescent="0.25">
      <c r="A115" s="1423" t="s">
        <v>299</v>
      </c>
      <c r="B115" s="1422" t="s">
        <v>828</v>
      </c>
      <c r="C115" s="1424" t="s">
        <v>1886</v>
      </c>
      <c r="D115" s="953" t="s">
        <v>194</v>
      </c>
      <c r="E115" s="1307" t="s">
        <v>130</v>
      </c>
      <c r="F115" s="1307" t="s">
        <v>152</v>
      </c>
      <c r="G115" s="1082" t="s">
        <v>1754</v>
      </c>
      <c r="H115" s="1308"/>
      <c r="I115" s="1308"/>
      <c r="J115" s="1308">
        <f>1725000+465750</f>
        <v>2190750</v>
      </c>
      <c r="K115" s="1308"/>
      <c r="L115" s="980"/>
      <c r="M115" s="1308"/>
      <c r="N115" s="1308"/>
      <c r="O115" s="1308"/>
      <c r="P115" s="981"/>
      <c r="Q115" s="1313"/>
      <c r="R115" s="1308"/>
      <c r="S115" s="1308"/>
      <c r="T115" s="1308">
        <f>1725000+465750</f>
        <v>2190750</v>
      </c>
      <c r="U115" s="1308"/>
      <c r="V115" s="1308"/>
      <c r="W115" s="1308"/>
      <c r="X115" s="1314"/>
    </row>
    <row r="116" spans="1:24" ht="33" customHeight="1" x14ac:dyDescent="0.25">
      <c r="A116" s="2024" t="s">
        <v>300</v>
      </c>
      <c r="B116" s="2023" t="s">
        <v>827</v>
      </c>
      <c r="C116" s="2026" t="s">
        <v>1887</v>
      </c>
      <c r="D116" s="953" t="s">
        <v>202</v>
      </c>
      <c r="E116" s="1307" t="s">
        <v>1294</v>
      </c>
      <c r="F116" s="1307" t="s">
        <v>1774</v>
      </c>
      <c r="G116" s="1082" t="s">
        <v>1752</v>
      </c>
      <c r="H116" s="1308"/>
      <c r="I116" s="1308"/>
      <c r="J116" s="1308"/>
      <c r="K116" s="1308">
        <v>-68810</v>
      </c>
      <c r="L116" s="980"/>
      <c r="M116" s="1308"/>
      <c r="N116" s="1308"/>
      <c r="O116" s="1308"/>
      <c r="P116" s="981"/>
      <c r="Q116" s="1313"/>
      <c r="R116" s="1308"/>
      <c r="S116" s="1308"/>
      <c r="T116" s="1308"/>
      <c r="U116" s="1308"/>
      <c r="V116" s="1308"/>
      <c r="W116" s="1308"/>
      <c r="X116" s="1314"/>
    </row>
    <row r="117" spans="1:24" ht="33" customHeight="1" x14ac:dyDescent="0.25">
      <c r="A117" s="2024"/>
      <c r="B117" s="2023"/>
      <c r="C117" s="2026"/>
      <c r="D117" s="953" t="s">
        <v>194</v>
      </c>
      <c r="E117" s="1307" t="s">
        <v>169</v>
      </c>
      <c r="F117" s="1307" t="s">
        <v>1888</v>
      </c>
      <c r="G117" s="1082" t="s">
        <v>1754</v>
      </c>
      <c r="H117" s="1308"/>
      <c r="I117" s="1308"/>
      <c r="J117" s="1308">
        <f>65533+3277</f>
        <v>68810</v>
      </c>
      <c r="K117" s="1308"/>
      <c r="L117" s="980"/>
      <c r="M117" s="1308"/>
      <c r="N117" s="1308"/>
      <c r="O117" s="1308"/>
      <c r="P117" s="981"/>
      <c r="Q117" s="1313"/>
      <c r="R117" s="1308"/>
      <c r="S117" s="1308"/>
      <c r="T117" s="1308"/>
      <c r="U117" s="1308"/>
      <c r="V117" s="1308"/>
      <c r="W117" s="1308"/>
      <c r="X117" s="1314"/>
    </row>
    <row r="118" spans="1:24" ht="26.25" customHeight="1" x14ac:dyDescent="0.25">
      <c r="A118" s="2024" t="s">
        <v>759</v>
      </c>
      <c r="B118" s="2023" t="s">
        <v>837</v>
      </c>
      <c r="C118" s="2016" t="s">
        <v>1910</v>
      </c>
      <c r="D118" s="953" t="s">
        <v>201</v>
      </c>
      <c r="E118" s="1307" t="s">
        <v>73</v>
      </c>
      <c r="F118" s="1307" t="s">
        <v>1785</v>
      </c>
      <c r="G118" s="1082" t="s">
        <v>1752</v>
      </c>
      <c r="H118" s="1308"/>
      <c r="I118" s="1308"/>
      <c r="J118" s="1308"/>
      <c r="K118" s="1308"/>
      <c r="L118" s="980">
        <v>-5461000</v>
      </c>
      <c r="M118" s="1308"/>
      <c r="N118" s="1308"/>
      <c r="O118" s="1308"/>
      <c r="P118" s="981"/>
      <c r="Q118" s="1313"/>
      <c r="R118" s="1308"/>
      <c r="S118" s="1308"/>
      <c r="T118" s="1308"/>
      <c r="U118" s="1308"/>
      <c r="V118" s="1308"/>
      <c r="W118" s="1308"/>
      <c r="X118" s="1314"/>
    </row>
    <row r="119" spans="1:24" ht="26.25" customHeight="1" x14ac:dyDescent="0.25">
      <c r="A119" s="2024"/>
      <c r="B119" s="2023"/>
      <c r="C119" s="2016"/>
      <c r="D119" s="953" t="s">
        <v>199</v>
      </c>
      <c r="E119" s="1307" t="s">
        <v>844</v>
      </c>
      <c r="F119" s="1307" t="s">
        <v>1891</v>
      </c>
      <c r="G119" s="1082" t="s">
        <v>1754</v>
      </c>
      <c r="H119" s="1308"/>
      <c r="I119" s="1308"/>
      <c r="J119" s="1308"/>
      <c r="K119" s="1308"/>
      <c r="L119" s="980"/>
      <c r="M119" s="1308">
        <f>4300000+1161000</f>
        <v>5461000</v>
      </c>
      <c r="N119" s="1308"/>
      <c r="O119" s="1308"/>
      <c r="P119" s="981"/>
      <c r="Q119" s="1313"/>
      <c r="R119" s="1308"/>
      <c r="S119" s="1308"/>
      <c r="T119" s="1308"/>
      <c r="U119" s="1308"/>
      <c r="V119" s="1308"/>
      <c r="W119" s="1308"/>
      <c r="X119" s="1314"/>
    </row>
    <row r="120" spans="1:24" ht="39" customHeight="1" x14ac:dyDescent="0.25">
      <c r="A120" s="2024" t="s">
        <v>301</v>
      </c>
      <c r="B120" s="2023" t="s">
        <v>826</v>
      </c>
      <c r="C120" s="2016" t="s">
        <v>1896</v>
      </c>
      <c r="D120" s="953" t="s">
        <v>198</v>
      </c>
      <c r="E120" s="1307" t="s">
        <v>1297</v>
      </c>
      <c r="F120" s="1307" t="s">
        <v>1769</v>
      </c>
      <c r="G120" s="1082" t="s">
        <v>1752</v>
      </c>
      <c r="H120" s="1308"/>
      <c r="I120" s="1308"/>
      <c r="J120" s="1308"/>
      <c r="K120" s="1308"/>
      <c r="L120" s="980">
        <v>-275000</v>
      </c>
      <c r="M120" s="1308"/>
      <c r="N120" s="1308"/>
      <c r="O120" s="1308"/>
      <c r="P120" s="981"/>
      <c r="Q120" s="1313"/>
      <c r="R120" s="1308"/>
      <c r="S120" s="1308"/>
      <c r="T120" s="1308"/>
      <c r="U120" s="1308"/>
      <c r="V120" s="1308"/>
      <c r="W120" s="1308"/>
      <c r="X120" s="1314"/>
    </row>
    <row r="121" spans="1:24" ht="39" customHeight="1" x14ac:dyDescent="0.25">
      <c r="A121" s="2024"/>
      <c r="B121" s="2023"/>
      <c r="C121" s="2016"/>
      <c r="D121" s="953" t="s">
        <v>198</v>
      </c>
      <c r="E121" s="1307" t="s">
        <v>620</v>
      </c>
      <c r="F121" s="1307" t="s">
        <v>1830</v>
      </c>
      <c r="G121" s="1082" t="s">
        <v>1754</v>
      </c>
      <c r="H121" s="1308"/>
      <c r="I121" s="1308"/>
      <c r="J121" s="1308"/>
      <c r="K121" s="1308"/>
      <c r="L121" s="980">
        <v>275000</v>
      </c>
      <c r="M121" s="1308"/>
      <c r="N121" s="1308"/>
      <c r="O121" s="1308"/>
      <c r="P121" s="981"/>
      <c r="Q121" s="1313"/>
      <c r="R121" s="1308"/>
      <c r="S121" s="1308"/>
      <c r="T121" s="1308"/>
      <c r="U121" s="1308"/>
      <c r="V121" s="1308"/>
      <c r="W121" s="1308"/>
      <c r="X121" s="1314"/>
    </row>
    <row r="122" spans="1:24" ht="24" customHeight="1" x14ac:dyDescent="0.25">
      <c r="A122" s="2024" t="s">
        <v>760</v>
      </c>
      <c r="B122" s="2023" t="s">
        <v>825</v>
      </c>
      <c r="C122" s="2016" t="s">
        <v>1898</v>
      </c>
      <c r="D122" s="953" t="s">
        <v>201</v>
      </c>
      <c r="E122" s="1307" t="s">
        <v>73</v>
      </c>
      <c r="F122" s="1307" t="s">
        <v>1785</v>
      </c>
      <c r="G122" s="1082" t="s">
        <v>1752</v>
      </c>
      <c r="H122" s="1308"/>
      <c r="I122" s="1308"/>
      <c r="J122" s="1308"/>
      <c r="K122" s="1308"/>
      <c r="L122" s="980">
        <v>-3186600</v>
      </c>
      <c r="M122" s="1308"/>
      <c r="N122" s="1308"/>
      <c r="O122" s="1308"/>
      <c r="P122" s="981"/>
      <c r="Q122" s="1313"/>
      <c r="R122" s="1308"/>
      <c r="S122" s="1308"/>
      <c r="T122" s="1308"/>
      <c r="U122" s="1308"/>
      <c r="V122" s="1308"/>
      <c r="W122" s="1308"/>
      <c r="X122" s="1314"/>
    </row>
    <row r="123" spans="1:24" ht="24" customHeight="1" x14ac:dyDescent="0.25">
      <c r="A123" s="2024"/>
      <c r="B123" s="2023"/>
      <c r="C123" s="2016"/>
      <c r="D123" s="953" t="s">
        <v>203</v>
      </c>
      <c r="E123" s="1307" t="s">
        <v>1297</v>
      </c>
      <c r="F123" s="1307" t="s">
        <v>550</v>
      </c>
      <c r="G123" s="1082" t="s">
        <v>1754</v>
      </c>
      <c r="H123" s="1308"/>
      <c r="I123" s="1308"/>
      <c r="J123" s="1308"/>
      <c r="K123" s="1308"/>
      <c r="L123" s="980"/>
      <c r="M123" s="1308"/>
      <c r="N123" s="1308"/>
      <c r="O123" s="1308"/>
      <c r="P123" s="981">
        <v>3186600</v>
      </c>
      <c r="Q123" s="1313"/>
      <c r="R123" s="1308"/>
      <c r="S123" s="1308"/>
      <c r="T123" s="1308"/>
      <c r="U123" s="1308"/>
      <c r="V123" s="1308"/>
      <c r="W123" s="1308"/>
      <c r="X123" s="1314"/>
    </row>
    <row r="124" spans="1:24" ht="39" customHeight="1" x14ac:dyDescent="0.25">
      <c r="A124" s="1423" t="s">
        <v>302</v>
      </c>
      <c r="B124" s="1422" t="s">
        <v>824</v>
      </c>
      <c r="C124" s="1490" t="s">
        <v>1899</v>
      </c>
      <c r="D124" s="953" t="s">
        <v>201</v>
      </c>
      <c r="E124" s="1307" t="s">
        <v>73</v>
      </c>
      <c r="F124" s="1307" t="s">
        <v>1785</v>
      </c>
      <c r="G124" s="1082" t="s">
        <v>1766</v>
      </c>
      <c r="H124" s="1308"/>
      <c r="I124" s="1308"/>
      <c r="J124" s="1308"/>
      <c r="K124" s="1308"/>
      <c r="L124" s="980">
        <f>-19413400+19413400</f>
        <v>0</v>
      </c>
      <c r="M124" s="1308"/>
      <c r="N124" s="1308"/>
      <c r="O124" s="1308"/>
      <c r="P124" s="981"/>
      <c r="Q124" s="1313"/>
      <c r="R124" s="1308"/>
      <c r="S124" s="1308"/>
      <c r="T124" s="1308"/>
      <c r="U124" s="1308"/>
      <c r="V124" s="1308"/>
      <c r="W124" s="1308"/>
      <c r="X124" s="1314"/>
    </row>
    <row r="125" spans="1:24" ht="20.25" customHeight="1" x14ac:dyDescent="0.25">
      <c r="A125" s="2024" t="s">
        <v>303</v>
      </c>
      <c r="B125" s="2023" t="s">
        <v>838</v>
      </c>
      <c r="C125" s="2016" t="s">
        <v>1900</v>
      </c>
      <c r="D125" s="953" t="s">
        <v>199</v>
      </c>
      <c r="E125" s="1307" t="s">
        <v>601</v>
      </c>
      <c r="F125" s="1307" t="s">
        <v>127</v>
      </c>
      <c r="G125" s="1082" t="s">
        <v>1752</v>
      </c>
      <c r="H125" s="1308"/>
      <c r="I125" s="1308"/>
      <c r="J125" s="1308"/>
      <c r="K125" s="1308"/>
      <c r="L125" s="980"/>
      <c r="M125" s="1308">
        <v>-500000</v>
      </c>
      <c r="N125" s="1308"/>
      <c r="O125" s="1308"/>
      <c r="P125" s="981"/>
      <c r="Q125" s="1313"/>
      <c r="R125" s="1308"/>
      <c r="S125" s="1308"/>
      <c r="T125" s="1308"/>
      <c r="U125" s="1308"/>
      <c r="V125" s="1308"/>
      <c r="W125" s="1308"/>
      <c r="X125" s="1314"/>
    </row>
    <row r="126" spans="1:24" ht="20.25" customHeight="1" x14ac:dyDescent="0.25">
      <c r="A126" s="2024"/>
      <c r="B126" s="2023"/>
      <c r="C126" s="2016"/>
      <c r="D126" s="953" t="s">
        <v>199</v>
      </c>
      <c r="E126" s="1307" t="s">
        <v>844</v>
      </c>
      <c r="F126" s="1307" t="s">
        <v>1385</v>
      </c>
      <c r="G126" s="1082" t="s">
        <v>1754</v>
      </c>
      <c r="H126" s="1308"/>
      <c r="I126" s="1308"/>
      <c r="J126" s="1308"/>
      <c r="K126" s="1308"/>
      <c r="L126" s="980"/>
      <c r="M126" s="1308">
        <v>500000</v>
      </c>
      <c r="N126" s="1308"/>
      <c r="O126" s="1308"/>
      <c r="P126" s="981"/>
      <c r="Q126" s="1313"/>
      <c r="R126" s="1308"/>
      <c r="S126" s="1308"/>
      <c r="T126" s="1308"/>
      <c r="U126" s="1308"/>
      <c r="V126" s="1308"/>
      <c r="W126" s="1308"/>
      <c r="X126" s="1314"/>
    </row>
    <row r="127" spans="1:24" ht="16.5" customHeight="1" x14ac:dyDescent="0.25">
      <c r="A127" s="2024" t="s">
        <v>304</v>
      </c>
      <c r="B127" s="2023" t="s">
        <v>839</v>
      </c>
      <c r="C127" s="2016" t="s">
        <v>1905</v>
      </c>
      <c r="D127" s="953" t="s">
        <v>194</v>
      </c>
      <c r="E127" s="1307" t="s">
        <v>1762</v>
      </c>
      <c r="F127" s="1307" t="s">
        <v>1761</v>
      </c>
      <c r="G127" s="1082" t="s">
        <v>1754</v>
      </c>
      <c r="H127" s="1308"/>
      <c r="I127" s="1308"/>
      <c r="J127" s="1308"/>
      <c r="K127" s="1308"/>
      <c r="L127" s="980"/>
      <c r="M127" s="1308"/>
      <c r="N127" s="1308"/>
      <c r="O127" s="1308"/>
      <c r="P127" s="981"/>
      <c r="Q127" s="1313"/>
      <c r="R127" s="1308"/>
      <c r="S127" s="1308">
        <v>2916629</v>
      </c>
      <c r="T127" s="1308"/>
      <c r="U127" s="1308"/>
      <c r="V127" s="1308"/>
      <c r="W127" s="1308"/>
      <c r="X127" s="1314"/>
    </row>
    <row r="128" spans="1:24" ht="16.5" customHeight="1" x14ac:dyDescent="0.25">
      <c r="A128" s="2024"/>
      <c r="B128" s="2023"/>
      <c r="C128" s="2016"/>
      <c r="D128" s="953" t="s">
        <v>201</v>
      </c>
      <c r="E128" s="1307" t="s">
        <v>73</v>
      </c>
      <c r="F128" s="1307" t="s">
        <v>1785</v>
      </c>
      <c r="G128" s="1082" t="s">
        <v>1754</v>
      </c>
      <c r="H128" s="1308"/>
      <c r="I128" s="1308"/>
      <c r="J128" s="1308"/>
      <c r="K128" s="1308"/>
      <c r="L128" s="980">
        <v>2916629</v>
      </c>
      <c r="M128" s="1308"/>
      <c r="N128" s="1308"/>
      <c r="O128" s="1308"/>
      <c r="P128" s="981"/>
      <c r="Q128" s="1313"/>
      <c r="R128" s="1308"/>
      <c r="S128" s="1308"/>
      <c r="T128" s="1308"/>
      <c r="U128" s="1308"/>
      <c r="V128" s="1308"/>
      <c r="W128" s="1308"/>
      <c r="X128" s="1314"/>
    </row>
    <row r="129" spans="1:24" ht="21.75" customHeight="1" x14ac:dyDescent="0.25">
      <c r="A129" s="2024" t="s">
        <v>305</v>
      </c>
      <c r="B129" s="2023" t="s">
        <v>840</v>
      </c>
      <c r="C129" s="2016" t="s">
        <v>1906</v>
      </c>
      <c r="D129" s="953" t="s">
        <v>194</v>
      </c>
      <c r="E129" s="1307" t="s">
        <v>130</v>
      </c>
      <c r="F129" s="1307" t="s">
        <v>1812</v>
      </c>
      <c r="G129" s="1082" t="s">
        <v>1752</v>
      </c>
      <c r="H129" s="1308"/>
      <c r="I129" s="1308"/>
      <c r="J129" s="1308">
        <f>-34410-9290</f>
        <v>-43700</v>
      </c>
      <c r="K129" s="1308"/>
      <c r="L129" s="980"/>
      <c r="M129" s="1308"/>
      <c r="N129" s="1308"/>
      <c r="O129" s="1308"/>
      <c r="P129" s="981"/>
      <c r="Q129" s="1313"/>
      <c r="R129" s="1308"/>
      <c r="S129" s="1308"/>
      <c r="T129" s="1308"/>
      <c r="U129" s="1308"/>
      <c r="V129" s="1308"/>
      <c r="W129" s="1308"/>
      <c r="X129" s="1314"/>
    </row>
    <row r="130" spans="1:24" ht="21.75" customHeight="1" x14ac:dyDescent="0.25">
      <c r="A130" s="2024"/>
      <c r="B130" s="2023"/>
      <c r="C130" s="2016"/>
      <c r="D130" s="953" t="s">
        <v>194</v>
      </c>
      <c r="E130" s="1307" t="s">
        <v>844</v>
      </c>
      <c r="F130" s="1307" t="s">
        <v>1802</v>
      </c>
      <c r="G130" s="1082" t="s">
        <v>1754</v>
      </c>
      <c r="H130" s="1308"/>
      <c r="I130" s="1308"/>
      <c r="J130" s="1308">
        <f>34410+9290</f>
        <v>43700</v>
      </c>
      <c r="K130" s="1308"/>
      <c r="L130" s="980"/>
      <c r="M130" s="1308"/>
      <c r="N130" s="1308"/>
      <c r="O130" s="1308"/>
      <c r="P130" s="981"/>
      <c r="Q130" s="1313"/>
      <c r="R130" s="1308"/>
      <c r="S130" s="1308"/>
      <c r="T130" s="1308"/>
      <c r="U130" s="1308"/>
      <c r="V130" s="1308"/>
      <c r="W130" s="1308"/>
      <c r="X130" s="1314"/>
    </row>
    <row r="131" spans="1:24" ht="27.75" customHeight="1" x14ac:dyDescent="0.25">
      <c r="A131" s="2024" t="s">
        <v>306</v>
      </c>
      <c r="B131" s="2023" t="s">
        <v>1911</v>
      </c>
      <c r="C131" s="2016" t="s">
        <v>1912</v>
      </c>
      <c r="D131" s="953" t="s">
        <v>201</v>
      </c>
      <c r="E131" s="1307" t="s">
        <v>73</v>
      </c>
      <c r="F131" s="1307" t="s">
        <v>1785</v>
      </c>
      <c r="G131" s="1082" t="s">
        <v>1752</v>
      </c>
      <c r="H131" s="1308"/>
      <c r="I131" s="1308"/>
      <c r="J131" s="1308"/>
      <c r="K131" s="1308"/>
      <c r="L131" s="980">
        <v>-5000000</v>
      </c>
      <c r="M131" s="1308"/>
      <c r="N131" s="1308"/>
      <c r="O131" s="1308"/>
      <c r="P131" s="981"/>
      <c r="Q131" s="1313"/>
      <c r="R131" s="1308"/>
      <c r="S131" s="1308"/>
      <c r="T131" s="1308"/>
      <c r="U131" s="1308"/>
      <c r="V131" s="1308"/>
      <c r="W131" s="1308"/>
      <c r="X131" s="1314"/>
    </row>
    <row r="132" spans="1:24" ht="27.75" customHeight="1" x14ac:dyDescent="0.25">
      <c r="A132" s="2024"/>
      <c r="B132" s="2023"/>
      <c r="C132" s="2016"/>
      <c r="D132" s="953" t="s">
        <v>199</v>
      </c>
      <c r="E132" s="1307" t="s">
        <v>164</v>
      </c>
      <c r="F132" s="1307" t="s">
        <v>1913</v>
      </c>
      <c r="G132" s="1082" t="s">
        <v>1754</v>
      </c>
      <c r="H132" s="1308"/>
      <c r="I132" s="1308"/>
      <c r="J132" s="1308"/>
      <c r="K132" s="1308"/>
      <c r="L132" s="980"/>
      <c r="M132" s="1308">
        <f>3937008+1062992</f>
        <v>5000000</v>
      </c>
      <c r="N132" s="1308"/>
      <c r="O132" s="1308"/>
      <c r="P132" s="981"/>
      <c r="Q132" s="1313"/>
      <c r="R132" s="1308"/>
      <c r="S132" s="1308"/>
      <c r="T132" s="1308"/>
      <c r="U132" s="1308"/>
      <c r="V132" s="1308"/>
      <c r="W132" s="1308"/>
      <c r="X132" s="1314"/>
    </row>
    <row r="133" spans="1:24" ht="26.25" customHeight="1" x14ac:dyDescent="0.25">
      <c r="A133" s="2024" t="s">
        <v>307</v>
      </c>
      <c r="B133" s="2023" t="s">
        <v>1321</v>
      </c>
      <c r="C133" s="2016" t="s">
        <v>1918</v>
      </c>
      <c r="D133" s="953" t="s">
        <v>201</v>
      </c>
      <c r="E133" s="1307" t="s">
        <v>73</v>
      </c>
      <c r="F133" s="1307" t="s">
        <v>1785</v>
      </c>
      <c r="G133" s="1082" t="s">
        <v>1752</v>
      </c>
      <c r="H133" s="1308"/>
      <c r="I133" s="1308"/>
      <c r="J133" s="1308"/>
      <c r="K133" s="1308"/>
      <c r="L133" s="980">
        <v>-3826500</v>
      </c>
      <c r="M133" s="1308"/>
      <c r="N133" s="1308"/>
      <c r="O133" s="1308"/>
      <c r="P133" s="981"/>
      <c r="Q133" s="1313"/>
      <c r="R133" s="1308"/>
      <c r="S133" s="1308"/>
      <c r="T133" s="1308"/>
      <c r="U133" s="1308"/>
      <c r="V133" s="1308"/>
      <c r="W133" s="1308"/>
      <c r="X133" s="1314"/>
    </row>
    <row r="134" spans="1:24" ht="26.25" customHeight="1" x14ac:dyDescent="0.25">
      <c r="A134" s="2024"/>
      <c r="B134" s="2023"/>
      <c r="C134" s="2016"/>
      <c r="D134" s="953" t="s">
        <v>199</v>
      </c>
      <c r="E134" s="1307" t="s">
        <v>164</v>
      </c>
      <c r="F134" s="1307" t="s">
        <v>1913</v>
      </c>
      <c r="G134" s="1082" t="s">
        <v>1754</v>
      </c>
      <c r="H134" s="1308"/>
      <c r="I134" s="1308"/>
      <c r="J134" s="1308"/>
      <c r="K134" s="1308"/>
      <c r="L134" s="980"/>
      <c r="M134" s="1308">
        <f>3012992+813508</f>
        <v>3826500</v>
      </c>
      <c r="N134" s="1308"/>
      <c r="O134" s="1308"/>
      <c r="P134" s="981"/>
      <c r="Q134" s="1313"/>
      <c r="R134" s="1308"/>
      <c r="S134" s="1308"/>
      <c r="T134" s="1308"/>
      <c r="U134" s="1308"/>
      <c r="V134" s="1308"/>
      <c r="W134" s="1308"/>
      <c r="X134" s="1314"/>
    </row>
    <row r="135" spans="1:24" ht="30" customHeight="1" x14ac:dyDescent="0.25">
      <c r="A135" s="1423" t="s">
        <v>308</v>
      </c>
      <c r="B135" s="1422" t="s">
        <v>1324</v>
      </c>
      <c r="C135" s="1490" t="s">
        <v>2061</v>
      </c>
      <c r="D135" s="953" t="s">
        <v>194</v>
      </c>
      <c r="E135" s="1307" t="s">
        <v>1838</v>
      </c>
      <c r="F135" s="1307" t="s">
        <v>1837</v>
      </c>
      <c r="G135" s="1082" t="s">
        <v>1766</v>
      </c>
      <c r="H135" s="1308"/>
      <c r="I135" s="1308"/>
      <c r="J135" s="1308">
        <f>-121700+121700</f>
        <v>0</v>
      </c>
      <c r="K135" s="1308"/>
      <c r="L135" s="980"/>
      <c r="M135" s="1308"/>
      <c r="N135" s="1308"/>
      <c r="O135" s="1308"/>
      <c r="P135" s="981"/>
      <c r="Q135" s="1313"/>
      <c r="R135" s="1308"/>
      <c r="S135" s="1308"/>
      <c r="T135" s="1308"/>
      <c r="U135" s="1308"/>
      <c r="V135" s="1308"/>
      <c r="W135" s="1308"/>
      <c r="X135" s="1314"/>
    </row>
    <row r="136" spans="1:24" ht="53.25" customHeight="1" x14ac:dyDescent="0.25">
      <c r="A136" s="1423" t="s">
        <v>309</v>
      </c>
      <c r="B136" s="1422"/>
      <c r="C136" s="1424" t="s">
        <v>2125</v>
      </c>
      <c r="D136" s="953"/>
      <c r="E136" s="1307"/>
      <c r="F136" s="1307"/>
      <c r="G136" s="1082"/>
      <c r="H136" s="1308"/>
      <c r="I136" s="1308"/>
      <c r="J136" s="1308"/>
      <c r="K136" s="1308"/>
      <c r="L136" s="980"/>
      <c r="M136" s="1308"/>
      <c r="N136" s="1308"/>
      <c r="O136" s="1308"/>
      <c r="P136" s="981"/>
      <c r="Q136" s="1313"/>
      <c r="R136" s="1308"/>
      <c r="S136" s="1308"/>
      <c r="T136" s="1308"/>
      <c r="U136" s="1308"/>
      <c r="V136" s="1308"/>
      <c r="W136" s="1308"/>
      <c r="X136" s="1314"/>
    </row>
    <row r="137" spans="1:24" ht="57" customHeight="1" x14ac:dyDescent="0.25">
      <c r="A137" s="1423" t="s">
        <v>310</v>
      </c>
      <c r="B137" s="1422"/>
      <c r="C137" s="1424" t="s">
        <v>2124</v>
      </c>
      <c r="D137" s="953"/>
      <c r="E137" s="1307"/>
      <c r="F137" s="1307"/>
      <c r="G137" s="1082"/>
      <c r="H137" s="1308"/>
      <c r="I137" s="1308"/>
      <c r="J137" s="1308"/>
      <c r="K137" s="1308"/>
      <c r="L137" s="980"/>
      <c r="M137" s="1308"/>
      <c r="N137" s="1308"/>
      <c r="O137" s="1308"/>
      <c r="P137" s="981"/>
      <c r="Q137" s="1313"/>
      <c r="R137" s="1308"/>
      <c r="S137" s="1308"/>
      <c r="T137" s="1308"/>
      <c r="U137" s="1308"/>
      <c r="V137" s="1308"/>
      <c r="W137" s="1308"/>
      <c r="X137" s="1314"/>
    </row>
    <row r="138" spans="1:24" ht="17.25" customHeight="1" x14ac:dyDescent="0.25">
      <c r="A138" s="2024" t="s">
        <v>311</v>
      </c>
      <c r="B138" s="2023" t="s">
        <v>1329</v>
      </c>
      <c r="C138" s="2026" t="s">
        <v>1928</v>
      </c>
      <c r="D138" s="953" t="s">
        <v>194</v>
      </c>
      <c r="E138" s="1307" t="s">
        <v>73</v>
      </c>
      <c r="F138" s="1307" t="s">
        <v>453</v>
      </c>
      <c r="G138" s="1082" t="s">
        <v>1766</v>
      </c>
      <c r="H138" s="1308">
        <f>-750000+750000</f>
        <v>0</v>
      </c>
      <c r="I138" s="1308"/>
      <c r="J138" s="1308"/>
      <c r="K138" s="1308"/>
      <c r="L138" s="980"/>
      <c r="M138" s="1308"/>
      <c r="N138" s="1308"/>
      <c r="O138" s="1308"/>
      <c r="P138" s="981"/>
      <c r="Q138" s="1313"/>
      <c r="R138" s="1308"/>
      <c r="S138" s="1308"/>
      <c r="T138" s="1308"/>
      <c r="U138" s="1308"/>
      <c r="V138" s="1308"/>
      <c r="W138" s="1308"/>
      <c r="X138" s="1314"/>
    </row>
    <row r="139" spans="1:24" ht="17.25" customHeight="1" x14ac:dyDescent="0.25">
      <c r="A139" s="2024"/>
      <c r="B139" s="2023"/>
      <c r="C139" s="2026"/>
      <c r="D139" s="953" t="s">
        <v>194</v>
      </c>
      <c r="E139" s="1307" t="s">
        <v>73</v>
      </c>
      <c r="F139" s="1307" t="s">
        <v>553</v>
      </c>
      <c r="G139" s="1082" t="s">
        <v>1766</v>
      </c>
      <c r="H139" s="1308">
        <f>-21225</f>
        <v>-21225</v>
      </c>
      <c r="I139" s="1308"/>
      <c r="J139" s="1308">
        <v>21225</v>
      </c>
      <c r="K139" s="1308"/>
      <c r="L139" s="980"/>
      <c r="M139" s="1308"/>
      <c r="N139" s="1308"/>
      <c r="O139" s="1308"/>
      <c r="P139" s="981"/>
      <c r="Q139" s="1313"/>
      <c r="R139" s="1308"/>
      <c r="S139" s="1308"/>
      <c r="T139" s="1308"/>
      <c r="U139" s="1308"/>
      <c r="V139" s="1308"/>
      <c r="W139" s="1308"/>
      <c r="X139" s="1314"/>
    </row>
    <row r="140" spans="1:24" ht="17.25" customHeight="1" x14ac:dyDescent="0.25">
      <c r="A140" s="2024"/>
      <c r="B140" s="2023"/>
      <c r="C140" s="2026"/>
      <c r="D140" s="953" t="s">
        <v>194</v>
      </c>
      <c r="E140" s="1307" t="s">
        <v>609</v>
      </c>
      <c r="F140" s="1307" t="s">
        <v>455</v>
      </c>
      <c r="G140" s="1082" t="s">
        <v>1766</v>
      </c>
      <c r="H140" s="1308">
        <f>-15600+15600</f>
        <v>0</v>
      </c>
      <c r="I140" s="1308"/>
      <c r="J140" s="1308"/>
      <c r="K140" s="1308"/>
      <c r="L140" s="980"/>
      <c r="M140" s="1308"/>
      <c r="N140" s="1308"/>
      <c r="O140" s="1308"/>
      <c r="P140" s="981"/>
      <c r="Q140" s="1313"/>
      <c r="R140" s="1308"/>
      <c r="S140" s="1308"/>
      <c r="T140" s="1308"/>
      <c r="U140" s="1308"/>
      <c r="V140" s="1308"/>
      <c r="W140" s="1308"/>
      <c r="X140" s="1314"/>
    </row>
    <row r="141" spans="1:24" ht="17.25" customHeight="1" x14ac:dyDescent="0.25">
      <c r="A141" s="2024"/>
      <c r="B141" s="2023"/>
      <c r="C141" s="2026"/>
      <c r="D141" s="953" t="s">
        <v>194</v>
      </c>
      <c r="E141" s="1307" t="s">
        <v>130</v>
      </c>
      <c r="F141" s="1307" t="s">
        <v>457</v>
      </c>
      <c r="G141" s="1082" t="s">
        <v>1766</v>
      </c>
      <c r="H141" s="1308">
        <f>-74828+74828</f>
        <v>0</v>
      </c>
      <c r="I141" s="1308"/>
      <c r="J141" s="1308"/>
      <c r="K141" s="1308"/>
      <c r="L141" s="980"/>
      <c r="M141" s="1308"/>
      <c r="N141" s="1308"/>
      <c r="O141" s="1308"/>
      <c r="P141" s="981"/>
      <c r="Q141" s="1313"/>
      <c r="R141" s="1308"/>
      <c r="S141" s="1308"/>
      <c r="T141" s="1308"/>
      <c r="U141" s="1308"/>
      <c r="V141" s="1308"/>
      <c r="W141" s="1308"/>
      <c r="X141" s="1314"/>
    </row>
    <row r="142" spans="1:24" ht="17.25" customHeight="1" x14ac:dyDescent="0.25">
      <c r="A142" s="2024"/>
      <c r="B142" s="2023"/>
      <c r="C142" s="2026"/>
      <c r="D142" s="953" t="s">
        <v>194</v>
      </c>
      <c r="E142" s="1307" t="s">
        <v>557</v>
      </c>
      <c r="F142" s="1307" t="s">
        <v>462</v>
      </c>
      <c r="G142" s="1082" t="s">
        <v>1766</v>
      </c>
      <c r="H142" s="1308">
        <f>-95182+27000+68182</f>
        <v>0</v>
      </c>
      <c r="I142" s="1308"/>
      <c r="J142" s="1308"/>
      <c r="K142" s="1308"/>
      <c r="L142" s="980"/>
      <c r="M142" s="1308"/>
      <c r="N142" s="1308"/>
      <c r="O142" s="1308"/>
      <c r="P142" s="981"/>
      <c r="Q142" s="1313"/>
      <c r="R142" s="1308"/>
      <c r="S142" s="1308"/>
      <c r="T142" s="1308"/>
      <c r="U142" s="1308"/>
      <c r="V142" s="1308"/>
      <c r="W142" s="1308"/>
      <c r="X142" s="1314"/>
    </row>
    <row r="143" spans="1:24" ht="33" customHeight="1" x14ac:dyDescent="0.25">
      <c r="A143" s="2024" t="s">
        <v>312</v>
      </c>
      <c r="B143" s="2023" t="s">
        <v>1333</v>
      </c>
      <c r="C143" s="2026" t="s">
        <v>1935</v>
      </c>
      <c r="D143" s="953" t="s">
        <v>201</v>
      </c>
      <c r="E143" s="1307" t="s">
        <v>73</v>
      </c>
      <c r="F143" s="1307" t="s">
        <v>1785</v>
      </c>
      <c r="G143" s="1082" t="s">
        <v>1752</v>
      </c>
      <c r="H143" s="1308"/>
      <c r="I143" s="1308"/>
      <c r="J143" s="1308"/>
      <c r="K143" s="1308"/>
      <c r="L143" s="980">
        <v>-3175000</v>
      </c>
      <c r="M143" s="1308"/>
      <c r="N143" s="1308"/>
      <c r="O143" s="1308"/>
      <c r="P143" s="981"/>
      <c r="Q143" s="1313"/>
      <c r="R143" s="1308"/>
      <c r="S143" s="1308"/>
      <c r="T143" s="1308"/>
      <c r="U143" s="1308"/>
      <c r="V143" s="1308"/>
      <c r="W143" s="1308"/>
      <c r="X143" s="1314"/>
    </row>
    <row r="144" spans="1:24" ht="33" customHeight="1" x14ac:dyDescent="0.25">
      <c r="A144" s="2024"/>
      <c r="B144" s="2023"/>
      <c r="C144" s="2026"/>
      <c r="D144" s="953" t="s">
        <v>198</v>
      </c>
      <c r="E144" s="1307" t="s">
        <v>130</v>
      </c>
      <c r="F144" s="1307" t="s">
        <v>1936</v>
      </c>
      <c r="G144" s="1082" t="s">
        <v>1754</v>
      </c>
      <c r="H144" s="1308"/>
      <c r="I144" s="1308"/>
      <c r="J144" s="1308"/>
      <c r="K144" s="1308"/>
      <c r="L144" s="980">
        <v>3175000</v>
      </c>
      <c r="M144" s="1308"/>
      <c r="N144" s="1308"/>
      <c r="O144" s="1308"/>
      <c r="P144" s="981"/>
      <c r="Q144" s="1313"/>
      <c r="R144" s="1308"/>
      <c r="S144" s="1308"/>
      <c r="T144" s="1308"/>
      <c r="U144" s="1308"/>
      <c r="V144" s="1308"/>
      <c r="W144" s="1308"/>
      <c r="X144" s="1314"/>
    </row>
    <row r="145" spans="1:24" ht="17.25" customHeight="1" x14ac:dyDescent="0.25">
      <c r="A145" s="2024" t="s">
        <v>313</v>
      </c>
      <c r="B145" s="2023" t="s">
        <v>1340</v>
      </c>
      <c r="C145" s="2026" t="s">
        <v>1938</v>
      </c>
      <c r="D145" s="953" t="s">
        <v>201</v>
      </c>
      <c r="E145" s="1307" t="s">
        <v>73</v>
      </c>
      <c r="F145" s="1307" t="s">
        <v>1785</v>
      </c>
      <c r="G145" s="1082" t="s">
        <v>1752</v>
      </c>
      <c r="H145" s="1308"/>
      <c r="I145" s="1308"/>
      <c r="J145" s="1308"/>
      <c r="K145" s="1308"/>
      <c r="L145" s="980">
        <v>-1000000</v>
      </c>
      <c r="M145" s="1308"/>
      <c r="N145" s="1308"/>
      <c r="O145" s="1308"/>
      <c r="P145" s="981"/>
      <c r="Q145" s="1313"/>
      <c r="R145" s="1308"/>
      <c r="S145" s="1308"/>
      <c r="T145" s="1308"/>
      <c r="U145" s="1308"/>
      <c r="V145" s="1308"/>
      <c r="W145" s="1308"/>
      <c r="X145" s="1314"/>
    </row>
    <row r="146" spans="1:24" ht="17.25" customHeight="1" x14ac:dyDescent="0.25">
      <c r="A146" s="2024"/>
      <c r="B146" s="2023"/>
      <c r="C146" s="2026"/>
      <c r="D146" s="953" t="s">
        <v>194</v>
      </c>
      <c r="E146" s="1307" t="s">
        <v>1940</v>
      </c>
      <c r="F146" s="1307" t="s">
        <v>1939</v>
      </c>
      <c r="G146" s="1082" t="s">
        <v>1754</v>
      </c>
      <c r="H146" s="1308"/>
      <c r="I146" s="1308"/>
      <c r="J146" s="1308">
        <f>787402+212598</f>
        <v>1000000</v>
      </c>
      <c r="K146" s="1308"/>
      <c r="L146" s="980"/>
      <c r="M146" s="1308"/>
      <c r="N146" s="1308"/>
      <c r="O146" s="1308"/>
      <c r="P146" s="981"/>
      <c r="Q146" s="1313"/>
      <c r="R146" s="1308"/>
      <c r="S146" s="1308"/>
      <c r="T146" s="1308"/>
      <c r="U146" s="1308"/>
      <c r="V146" s="1308"/>
      <c r="W146" s="1308"/>
      <c r="X146" s="1314"/>
    </row>
    <row r="147" spans="1:24" ht="24" customHeight="1" x14ac:dyDescent="0.25">
      <c r="A147" s="2024" t="s">
        <v>314</v>
      </c>
      <c r="B147" s="2023" t="s">
        <v>1341</v>
      </c>
      <c r="C147" s="2016" t="s">
        <v>2205</v>
      </c>
      <c r="D147" s="953" t="s">
        <v>201</v>
      </c>
      <c r="E147" s="1307" t="s">
        <v>73</v>
      </c>
      <c r="F147" s="1307" t="s">
        <v>1785</v>
      </c>
      <c r="G147" s="1082" t="s">
        <v>1752</v>
      </c>
      <c r="H147" s="1308"/>
      <c r="I147" s="1308"/>
      <c r="J147" s="1308"/>
      <c r="K147" s="1308"/>
      <c r="L147" s="980">
        <v>-2607074</v>
      </c>
      <c r="M147" s="1308"/>
      <c r="N147" s="1308"/>
      <c r="O147" s="1308"/>
      <c r="P147" s="981"/>
      <c r="Q147" s="1313"/>
      <c r="R147" s="1308"/>
      <c r="S147" s="1308"/>
      <c r="T147" s="1308"/>
      <c r="U147" s="1308"/>
      <c r="V147" s="1308"/>
      <c r="W147" s="1308"/>
      <c r="X147" s="1314"/>
    </row>
    <row r="148" spans="1:24" ht="24" customHeight="1" x14ac:dyDescent="0.25">
      <c r="A148" s="2024"/>
      <c r="B148" s="2023"/>
      <c r="C148" s="2016"/>
      <c r="D148" s="953" t="s">
        <v>199</v>
      </c>
      <c r="E148" s="1307" t="s">
        <v>561</v>
      </c>
      <c r="F148" s="1307" t="s">
        <v>867</v>
      </c>
      <c r="G148" s="1082" t="s">
        <v>1754</v>
      </c>
      <c r="H148" s="1308"/>
      <c r="I148" s="1308"/>
      <c r="J148" s="1308"/>
      <c r="K148" s="1308"/>
      <c r="L148" s="980"/>
      <c r="M148" s="1308">
        <f>2052814+554260</f>
        <v>2607074</v>
      </c>
      <c r="N148" s="1308"/>
      <c r="O148" s="1308"/>
      <c r="P148" s="981"/>
      <c r="Q148" s="1313"/>
      <c r="R148" s="1308"/>
      <c r="S148" s="1308"/>
      <c r="T148" s="1308"/>
      <c r="U148" s="1308"/>
      <c r="V148" s="1308"/>
      <c r="W148" s="1308"/>
      <c r="X148" s="1314"/>
    </row>
    <row r="149" spans="1:24" ht="27.75" customHeight="1" x14ac:dyDescent="0.25">
      <c r="A149" s="2024" t="s">
        <v>315</v>
      </c>
      <c r="B149" s="2023" t="s">
        <v>1342</v>
      </c>
      <c r="C149" s="2026" t="s">
        <v>1941</v>
      </c>
      <c r="D149" s="953" t="s">
        <v>201</v>
      </c>
      <c r="E149" s="1307" t="s">
        <v>73</v>
      </c>
      <c r="F149" s="1307" t="s">
        <v>1785</v>
      </c>
      <c r="G149" s="1082" t="s">
        <v>1752</v>
      </c>
      <c r="H149" s="1308"/>
      <c r="I149" s="1308"/>
      <c r="J149" s="1308"/>
      <c r="K149" s="1308"/>
      <c r="L149" s="980">
        <v>-750000</v>
      </c>
      <c r="M149" s="1308"/>
      <c r="N149" s="1308"/>
      <c r="O149" s="1308"/>
      <c r="P149" s="981"/>
      <c r="Q149" s="1313"/>
      <c r="R149" s="1308"/>
      <c r="S149" s="1308"/>
      <c r="T149" s="1308"/>
      <c r="U149" s="1308"/>
      <c r="V149" s="1308"/>
      <c r="W149" s="1308"/>
      <c r="X149" s="1314"/>
    </row>
    <row r="150" spans="1:24" ht="27.75" customHeight="1" x14ac:dyDescent="0.25">
      <c r="A150" s="2024"/>
      <c r="B150" s="2023"/>
      <c r="C150" s="2026"/>
      <c r="D150" s="953" t="s">
        <v>203</v>
      </c>
      <c r="E150" s="1307" t="s">
        <v>1297</v>
      </c>
      <c r="F150" s="1307" t="s">
        <v>550</v>
      </c>
      <c r="G150" s="1082" t="s">
        <v>1754</v>
      </c>
      <c r="H150" s="1308"/>
      <c r="I150" s="1308"/>
      <c r="J150" s="1308"/>
      <c r="K150" s="1308"/>
      <c r="L150" s="980"/>
      <c r="M150" s="1308"/>
      <c r="N150" s="1308"/>
      <c r="O150" s="1308"/>
      <c r="P150" s="981">
        <v>750000</v>
      </c>
      <c r="Q150" s="1313"/>
      <c r="R150" s="1308"/>
      <c r="S150" s="1308"/>
      <c r="T150" s="1308"/>
      <c r="U150" s="1308"/>
      <c r="V150" s="1308"/>
      <c r="W150" s="1308"/>
      <c r="X150" s="1314"/>
    </row>
    <row r="151" spans="1:24" ht="20.25" customHeight="1" x14ac:dyDescent="0.25">
      <c r="A151" s="2024" t="s">
        <v>761</v>
      </c>
      <c r="B151" s="2023" t="s">
        <v>1343</v>
      </c>
      <c r="C151" s="2026" t="s">
        <v>1942</v>
      </c>
      <c r="D151" s="953" t="s">
        <v>194</v>
      </c>
      <c r="E151" s="1307" t="s">
        <v>844</v>
      </c>
      <c r="F151" s="1307" t="s">
        <v>843</v>
      </c>
      <c r="G151" s="1082" t="s">
        <v>1752</v>
      </c>
      <c r="H151" s="1308"/>
      <c r="I151" s="1308"/>
      <c r="J151" s="1308">
        <f>-803780-217020</f>
        <v>-1020800</v>
      </c>
      <c r="K151" s="1308"/>
      <c r="L151" s="980"/>
      <c r="M151" s="1308"/>
      <c r="N151" s="1308"/>
      <c r="O151" s="1308"/>
      <c r="P151" s="981"/>
      <c r="Q151" s="1313"/>
      <c r="R151" s="1308"/>
      <c r="S151" s="1308"/>
      <c r="T151" s="1308"/>
      <c r="U151" s="1308"/>
      <c r="V151" s="1308"/>
      <c r="W151" s="1308"/>
      <c r="X151" s="1314"/>
    </row>
    <row r="152" spans="1:24" ht="20.25" customHeight="1" x14ac:dyDescent="0.25">
      <c r="A152" s="2024"/>
      <c r="B152" s="2023"/>
      <c r="C152" s="2026"/>
      <c r="D152" s="953" t="s">
        <v>203</v>
      </c>
      <c r="E152" s="1307" t="s">
        <v>1297</v>
      </c>
      <c r="F152" s="1307" t="s">
        <v>550</v>
      </c>
      <c r="G152" s="1082" t="s">
        <v>1754</v>
      </c>
      <c r="H152" s="1308"/>
      <c r="I152" s="1308"/>
      <c r="J152" s="1308"/>
      <c r="K152" s="1308"/>
      <c r="L152" s="980"/>
      <c r="M152" s="1308"/>
      <c r="N152" s="1308"/>
      <c r="O152" s="1308"/>
      <c r="P152" s="981">
        <f>803780+217020</f>
        <v>1020800</v>
      </c>
      <c r="Q152" s="1313"/>
      <c r="R152" s="1308"/>
      <c r="S152" s="1308"/>
      <c r="T152" s="1308"/>
      <c r="U152" s="1308"/>
      <c r="V152" s="1308"/>
      <c r="W152" s="1308"/>
      <c r="X152" s="1314"/>
    </row>
    <row r="153" spans="1:24" ht="24" customHeight="1" x14ac:dyDescent="0.25">
      <c r="A153" s="2024" t="s">
        <v>316</v>
      </c>
      <c r="B153" s="2023" t="s">
        <v>1345</v>
      </c>
      <c r="C153" s="2026" t="s">
        <v>1943</v>
      </c>
      <c r="D153" s="953" t="s">
        <v>201</v>
      </c>
      <c r="E153" s="1307" t="s">
        <v>73</v>
      </c>
      <c r="F153" s="1307" t="s">
        <v>1785</v>
      </c>
      <c r="G153" s="1082" t="s">
        <v>1752</v>
      </c>
      <c r="H153" s="1308"/>
      <c r="I153" s="1308"/>
      <c r="J153" s="1308"/>
      <c r="K153" s="1308"/>
      <c r="L153" s="980">
        <v>-3294400</v>
      </c>
      <c r="M153" s="1308"/>
      <c r="N153" s="1308"/>
      <c r="O153" s="1308"/>
      <c r="P153" s="981"/>
      <c r="Q153" s="1313"/>
      <c r="R153" s="1308"/>
      <c r="S153" s="1308"/>
      <c r="T153" s="1308"/>
      <c r="U153" s="1308"/>
      <c r="V153" s="1308"/>
      <c r="W153" s="1308"/>
      <c r="X153" s="1314"/>
    </row>
    <row r="154" spans="1:24" ht="24" customHeight="1" x14ac:dyDescent="0.25">
      <c r="A154" s="2024"/>
      <c r="B154" s="2023"/>
      <c r="C154" s="2026"/>
      <c r="D154" s="953" t="s">
        <v>203</v>
      </c>
      <c r="E154" s="1307" t="s">
        <v>1297</v>
      </c>
      <c r="F154" s="1307" t="s">
        <v>550</v>
      </c>
      <c r="G154" s="1082" t="s">
        <v>1754</v>
      </c>
      <c r="H154" s="1308"/>
      <c r="I154" s="1308"/>
      <c r="J154" s="1308"/>
      <c r="K154" s="1308"/>
      <c r="L154" s="980"/>
      <c r="M154" s="1308"/>
      <c r="N154" s="1308"/>
      <c r="O154" s="1308"/>
      <c r="P154" s="981">
        <v>3294400</v>
      </c>
      <c r="Q154" s="1313"/>
      <c r="R154" s="1308"/>
      <c r="S154" s="1308"/>
      <c r="T154" s="1308"/>
      <c r="U154" s="1308"/>
      <c r="V154" s="1308"/>
      <c r="W154" s="1308"/>
      <c r="X154" s="1314"/>
    </row>
    <row r="155" spans="1:24" ht="22.5" customHeight="1" x14ac:dyDescent="0.25">
      <c r="A155" s="2024" t="s">
        <v>317</v>
      </c>
      <c r="B155" s="2023" t="s">
        <v>1372</v>
      </c>
      <c r="C155" s="2026" t="s">
        <v>1944</v>
      </c>
      <c r="D155" s="953" t="s">
        <v>201</v>
      </c>
      <c r="E155" s="1307" t="s">
        <v>73</v>
      </c>
      <c r="F155" s="1307" t="s">
        <v>1785</v>
      </c>
      <c r="G155" s="1082" t="s">
        <v>1752</v>
      </c>
      <c r="H155" s="1308"/>
      <c r="I155" s="1308"/>
      <c r="J155" s="1308"/>
      <c r="K155" s="1308"/>
      <c r="L155" s="980">
        <v>-3000000</v>
      </c>
      <c r="M155" s="1308"/>
      <c r="N155" s="1308"/>
      <c r="O155" s="1308"/>
      <c r="P155" s="981"/>
      <c r="Q155" s="1313"/>
      <c r="R155" s="1308"/>
      <c r="S155" s="1308"/>
      <c r="T155" s="1308"/>
      <c r="U155" s="1308"/>
      <c r="V155" s="1308"/>
      <c r="W155" s="1308"/>
      <c r="X155" s="1314"/>
    </row>
    <row r="156" spans="1:24" ht="22.5" customHeight="1" x14ac:dyDescent="0.25">
      <c r="A156" s="2024"/>
      <c r="B156" s="2023"/>
      <c r="C156" s="2026"/>
      <c r="D156" s="953" t="s">
        <v>203</v>
      </c>
      <c r="E156" s="1307" t="s">
        <v>1297</v>
      </c>
      <c r="F156" s="1307" t="s">
        <v>550</v>
      </c>
      <c r="G156" s="1082" t="s">
        <v>1754</v>
      </c>
      <c r="H156" s="1308"/>
      <c r="I156" s="1308"/>
      <c r="J156" s="1308"/>
      <c r="K156" s="1308"/>
      <c r="L156" s="980"/>
      <c r="M156" s="1308"/>
      <c r="N156" s="1308"/>
      <c r="O156" s="1308"/>
      <c r="P156" s="981">
        <v>3000000</v>
      </c>
      <c r="Q156" s="1313"/>
      <c r="R156" s="1308"/>
      <c r="S156" s="1308"/>
      <c r="T156" s="1308"/>
      <c r="U156" s="1308"/>
      <c r="V156" s="1308"/>
      <c r="W156" s="1308"/>
      <c r="X156" s="1314"/>
    </row>
    <row r="157" spans="1:24" ht="21.75" customHeight="1" x14ac:dyDescent="0.25">
      <c r="A157" s="2024" t="s">
        <v>762</v>
      </c>
      <c r="B157" s="2023" t="s">
        <v>1373</v>
      </c>
      <c r="C157" s="2026" t="s">
        <v>1945</v>
      </c>
      <c r="D157" s="953" t="s">
        <v>201</v>
      </c>
      <c r="E157" s="1307" t="s">
        <v>73</v>
      </c>
      <c r="F157" s="1307" t="s">
        <v>1785</v>
      </c>
      <c r="G157" s="1082" t="s">
        <v>1752</v>
      </c>
      <c r="H157" s="1308"/>
      <c r="I157" s="1308"/>
      <c r="J157" s="1308"/>
      <c r="K157" s="1308"/>
      <c r="L157" s="980">
        <v>-6705600</v>
      </c>
      <c r="M157" s="1308"/>
      <c r="N157" s="1308"/>
      <c r="O157" s="1308"/>
      <c r="P157" s="981"/>
      <c r="Q157" s="1313"/>
      <c r="R157" s="1308"/>
      <c r="S157" s="1308"/>
      <c r="T157" s="1308"/>
      <c r="U157" s="1308"/>
      <c r="V157" s="1308"/>
      <c r="W157" s="1308"/>
      <c r="X157" s="1314"/>
    </row>
    <row r="158" spans="1:24" ht="21.75" customHeight="1" x14ac:dyDescent="0.25">
      <c r="A158" s="2024"/>
      <c r="B158" s="2023"/>
      <c r="C158" s="2026"/>
      <c r="D158" s="953" t="s">
        <v>203</v>
      </c>
      <c r="E158" s="1307" t="s">
        <v>1297</v>
      </c>
      <c r="F158" s="1307" t="s">
        <v>550</v>
      </c>
      <c r="G158" s="1082" t="s">
        <v>1754</v>
      </c>
      <c r="H158" s="1308"/>
      <c r="I158" s="1308"/>
      <c r="J158" s="1308"/>
      <c r="K158" s="1308"/>
      <c r="L158" s="980"/>
      <c r="M158" s="1308"/>
      <c r="N158" s="1308"/>
      <c r="O158" s="1308"/>
      <c r="P158" s="981">
        <v>6705600</v>
      </c>
      <c r="Q158" s="1313"/>
      <c r="R158" s="1308"/>
      <c r="S158" s="1308"/>
      <c r="T158" s="1308"/>
      <c r="U158" s="1308"/>
      <c r="V158" s="1308"/>
      <c r="W158" s="1308"/>
      <c r="X158" s="1314"/>
    </row>
    <row r="159" spans="1:24" ht="22.5" customHeight="1" x14ac:dyDescent="0.25">
      <c r="A159" s="2024" t="s">
        <v>763</v>
      </c>
      <c r="B159" s="2023" t="s">
        <v>1388</v>
      </c>
      <c r="C159" s="2016" t="s">
        <v>1946</v>
      </c>
      <c r="D159" s="953" t="s">
        <v>201</v>
      </c>
      <c r="E159" s="1307" t="s">
        <v>73</v>
      </c>
      <c r="F159" s="1307" t="s">
        <v>1785</v>
      </c>
      <c r="G159" s="1082" t="s">
        <v>1752</v>
      </c>
      <c r="H159" s="1308"/>
      <c r="I159" s="1308"/>
      <c r="J159" s="1308"/>
      <c r="K159" s="1308"/>
      <c r="L159" s="980">
        <v>-469900</v>
      </c>
      <c r="M159" s="1308"/>
      <c r="N159" s="1308"/>
      <c r="O159" s="1308"/>
      <c r="P159" s="981"/>
      <c r="Q159" s="1313"/>
      <c r="R159" s="1308"/>
      <c r="S159" s="1308"/>
      <c r="T159" s="1308"/>
      <c r="U159" s="1308"/>
      <c r="V159" s="1308"/>
      <c r="W159" s="1308"/>
      <c r="X159" s="1314"/>
    </row>
    <row r="160" spans="1:24" ht="22.5" customHeight="1" x14ac:dyDescent="0.25">
      <c r="A160" s="2024"/>
      <c r="B160" s="2023"/>
      <c r="C160" s="2016"/>
      <c r="D160" s="953" t="s">
        <v>203</v>
      </c>
      <c r="E160" s="1307" t="s">
        <v>1297</v>
      </c>
      <c r="F160" s="1307" t="s">
        <v>550</v>
      </c>
      <c r="G160" s="1082" t="s">
        <v>1754</v>
      </c>
      <c r="H160" s="1308"/>
      <c r="I160" s="1308"/>
      <c r="J160" s="1308"/>
      <c r="K160" s="1308"/>
      <c r="L160" s="980"/>
      <c r="M160" s="1308"/>
      <c r="N160" s="1308"/>
      <c r="O160" s="1308"/>
      <c r="P160" s="981">
        <v>469900</v>
      </c>
      <c r="Q160" s="1313"/>
      <c r="R160" s="1308"/>
      <c r="S160" s="1308"/>
      <c r="T160" s="1308"/>
      <c r="U160" s="1308"/>
      <c r="V160" s="1308"/>
      <c r="W160" s="1308"/>
      <c r="X160" s="1314"/>
    </row>
    <row r="161" spans="1:24" ht="23.25" customHeight="1" x14ac:dyDescent="0.25">
      <c r="A161" s="2024" t="s">
        <v>155</v>
      </c>
      <c r="B161" s="2023" t="s">
        <v>1777</v>
      </c>
      <c r="C161" s="2016" t="s">
        <v>1947</v>
      </c>
      <c r="D161" s="953" t="s">
        <v>201</v>
      </c>
      <c r="E161" s="1307" t="s">
        <v>73</v>
      </c>
      <c r="F161" s="1307" t="s">
        <v>1785</v>
      </c>
      <c r="G161" s="1082" t="s">
        <v>1752</v>
      </c>
      <c r="H161" s="1308"/>
      <c r="I161" s="1308"/>
      <c r="J161" s="1308"/>
      <c r="K161" s="1308"/>
      <c r="L161" s="980">
        <v>-767080</v>
      </c>
      <c r="M161" s="1308"/>
      <c r="N161" s="1308"/>
      <c r="O161" s="1308"/>
      <c r="P161" s="981"/>
      <c r="Q161" s="1313"/>
      <c r="R161" s="1308"/>
      <c r="S161" s="1308"/>
      <c r="T161" s="1308"/>
      <c r="U161" s="1308"/>
      <c r="V161" s="1308"/>
      <c r="W161" s="1308"/>
      <c r="X161" s="1314"/>
    </row>
    <row r="162" spans="1:24" ht="23.25" customHeight="1" x14ac:dyDescent="0.25">
      <c r="A162" s="2024"/>
      <c r="B162" s="2023"/>
      <c r="C162" s="2016"/>
      <c r="D162" s="953" t="s">
        <v>203</v>
      </c>
      <c r="E162" s="1307" t="s">
        <v>1297</v>
      </c>
      <c r="F162" s="1307" t="s">
        <v>550</v>
      </c>
      <c r="G162" s="1082" t="s">
        <v>1754</v>
      </c>
      <c r="H162" s="1308"/>
      <c r="I162" s="1308"/>
      <c r="J162" s="1308"/>
      <c r="K162" s="1308"/>
      <c r="L162" s="980"/>
      <c r="M162" s="1308"/>
      <c r="N162" s="1308"/>
      <c r="O162" s="1308"/>
      <c r="P162" s="981">
        <v>767080</v>
      </c>
      <c r="Q162" s="1313"/>
      <c r="R162" s="1308"/>
      <c r="S162" s="1308"/>
      <c r="T162" s="1308"/>
      <c r="U162" s="1308"/>
      <c r="V162" s="1308"/>
      <c r="W162" s="1308"/>
      <c r="X162" s="1314"/>
    </row>
    <row r="163" spans="1:24" ht="22.5" customHeight="1" x14ac:dyDescent="0.25">
      <c r="A163" s="2024" t="s">
        <v>318</v>
      </c>
      <c r="B163" s="2023" t="s">
        <v>1948</v>
      </c>
      <c r="C163" s="2016" t="s">
        <v>1949</v>
      </c>
      <c r="D163" s="953" t="s">
        <v>201</v>
      </c>
      <c r="E163" s="1307" t="s">
        <v>73</v>
      </c>
      <c r="F163" s="1307" t="s">
        <v>1785</v>
      </c>
      <c r="G163" s="1082" t="s">
        <v>1752</v>
      </c>
      <c r="H163" s="1308"/>
      <c r="I163" s="1308"/>
      <c r="J163" s="1308"/>
      <c r="K163" s="1308"/>
      <c r="L163" s="980">
        <v>-480949</v>
      </c>
      <c r="M163" s="1308"/>
      <c r="N163" s="1308"/>
      <c r="O163" s="1308"/>
      <c r="P163" s="981"/>
      <c r="Q163" s="1313"/>
      <c r="R163" s="1308"/>
      <c r="S163" s="1308"/>
      <c r="T163" s="1308"/>
      <c r="U163" s="1308"/>
      <c r="V163" s="1308"/>
      <c r="W163" s="1308"/>
      <c r="X163" s="1314"/>
    </row>
    <row r="164" spans="1:24" ht="22.5" customHeight="1" x14ac:dyDescent="0.25">
      <c r="A164" s="2024"/>
      <c r="B164" s="2023"/>
      <c r="C164" s="2016"/>
      <c r="D164" s="953" t="s">
        <v>194</v>
      </c>
      <c r="E164" s="1307" t="s">
        <v>641</v>
      </c>
      <c r="F164" s="1307" t="s">
        <v>1755</v>
      </c>
      <c r="G164" s="1082" t="s">
        <v>1754</v>
      </c>
      <c r="H164" s="1308"/>
      <c r="I164" s="1308"/>
      <c r="J164" s="1308">
        <f>378700+102249</f>
        <v>480949</v>
      </c>
      <c r="K164" s="1308"/>
      <c r="L164" s="980"/>
      <c r="M164" s="1308"/>
      <c r="N164" s="1308"/>
      <c r="O164" s="1308"/>
      <c r="P164" s="981"/>
      <c r="Q164" s="1313"/>
      <c r="R164" s="1308"/>
      <c r="S164" s="1308"/>
      <c r="T164" s="1308"/>
      <c r="U164" s="1308"/>
      <c r="V164" s="1308"/>
      <c r="W164" s="1308"/>
      <c r="X164" s="1314"/>
    </row>
    <row r="165" spans="1:24" ht="67.5" customHeight="1" x14ac:dyDescent="0.25">
      <c r="A165" s="1423" t="s">
        <v>764</v>
      </c>
      <c r="B165" s="1422" t="s">
        <v>1950</v>
      </c>
      <c r="C165" s="754" t="s">
        <v>1954</v>
      </c>
      <c r="D165" s="953" t="s">
        <v>199</v>
      </c>
      <c r="E165" s="1307" t="s">
        <v>601</v>
      </c>
      <c r="F165" s="1307" t="s">
        <v>127</v>
      </c>
      <c r="G165" s="1082" t="s">
        <v>1766</v>
      </c>
      <c r="H165" s="1308"/>
      <c r="I165" s="1308"/>
      <c r="J165" s="1308"/>
      <c r="K165" s="1308"/>
      <c r="L165" s="980"/>
      <c r="M165" s="1308">
        <f>-7610000-2054700+4450000+1201500</f>
        <v>-4013200</v>
      </c>
      <c r="N165" s="1308">
        <f>3160000+853200</f>
        <v>4013200</v>
      </c>
      <c r="O165" s="1308"/>
      <c r="P165" s="981"/>
      <c r="Q165" s="1313"/>
      <c r="R165" s="1308"/>
      <c r="S165" s="1308"/>
      <c r="T165" s="1308"/>
      <c r="U165" s="1308"/>
      <c r="V165" s="1308"/>
      <c r="W165" s="1308"/>
      <c r="X165" s="1314"/>
    </row>
    <row r="166" spans="1:24" ht="22.5" customHeight="1" x14ac:dyDescent="0.25">
      <c r="A166" s="2024" t="s">
        <v>765</v>
      </c>
      <c r="B166" s="2023" t="s">
        <v>1952</v>
      </c>
      <c r="C166" s="2016" t="s">
        <v>1953</v>
      </c>
      <c r="D166" s="953" t="s">
        <v>201</v>
      </c>
      <c r="E166" s="1307" t="s">
        <v>73</v>
      </c>
      <c r="F166" s="1307" t="s">
        <v>1785</v>
      </c>
      <c r="G166" s="1082" t="s">
        <v>1752</v>
      </c>
      <c r="H166" s="1308"/>
      <c r="I166" s="1308"/>
      <c r="J166" s="1308"/>
      <c r="K166" s="1308"/>
      <c r="L166" s="980">
        <v>-5334000</v>
      </c>
      <c r="M166" s="1308"/>
      <c r="N166" s="1308"/>
      <c r="O166" s="1308"/>
      <c r="P166" s="981"/>
      <c r="Q166" s="1313"/>
      <c r="R166" s="1308"/>
      <c r="S166" s="1308"/>
      <c r="T166" s="1308"/>
      <c r="U166" s="1308"/>
      <c r="V166" s="1308"/>
      <c r="W166" s="1308"/>
      <c r="X166" s="1314"/>
    </row>
    <row r="167" spans="1:24" ht="22.5" customHeight="1" x14ac:dyDescent="0.25">
      <c r="A167" s="2024"/>
      <c r="B167" s="2023"/>
      <c r="C167" s="2016"/>
      <c r="D167" s="953" t="s">
        <v>200</v>
      </c>
      <c r="E167" s="1307" t="s">
        <v>601</v>
      </c>
      <c r="F167" s="1307" t="s">
        <v>127</v>
      </c>
      <c r="G167" s="1082" t="s">
        <v>1754</v>
      </c>
      <c r="H167" s="1308"/>
      <c r="I167" s="1308"/>
      <c r="J167" s="1308"/>
      <c r="K167" s="1308"/>
      <c r="L167" s="980"/>
      <c r="M167" s="1308"/>
      <c r="N167" s="1308">
        <f>4200000+1134000</f>
        <v>5334000</v>
      </c>
      <c r="O167" s="1308"/>
      <c r="P167" s="981"/>
      <c r="Q167" s="1313"/>
      <c r="R167" s="1308"/>
      <c r="S167" s="1308"/>
      <c r="T167" s="1308"/>
      <c r="U167" s="1308"/>
      <c r="V167" s="1308"/>
      <c r="W167" s="1308"/>
      <c r="X167" s="1314"/>
    </row>
    <row r="168" spans="1:24" ht="22.5" customHeight="1" x14ac:dyDescent="0.25">
      <c r="A168" s="2024" t="s">
        <v>319</v>
      </c>
      <c r="B168" s="2023" t="s">
        <v>1956</v>
      </c>
      <c r="C168" s="2016" t="s">
        <v>2117</v>
      </c>
      <c r="D168" s="953" t="s">
        <v>201</v>
      </c>
      <c r="E168" s="1307" t="s">
        <v>73</v>
      </c>
      <c r="F168" s="1307" t="s">
        <v>1785</v>
      </c>
      <c r="G168" s="1082" t="s">
        <v>1752</v>
      </c>
      <c r="H168" s="1308"/>
      <c r="I168" s="1308"/>
      <c r="J168" s="1308"/>
      <c r="K168" s="1308"/>
      <c r="L168" s="980">
        <v>-500000</v>
      </c>
      <c r="M168" s="1308"/>
      <c r="N168" s="1308"/>
      <c r="O168" s="1308"/>
      <c r="P168" s="981"/>
      <c r="Q168" s="1313"/>
      <c r="R168" s="1308"/>
      <c r="S168" s="1308"/>
      <c r="T168" s="1308"/>
      <c r="U168" s="1308"/>
      <c r="V168" s="1308"/>
      <c r="W168" s="1308"/>
      <c r="X168" s="1314"/>
    </row>
    <row r="169" spans="1:24" ht="22.5" customHeight="1" x14ac:dyDescent="0.25">
      <c r="A169" s="2024"/>
      <c r="B169" s="2023"/>
      <c r="C169" s="2016"/>
      <c r="D169" s="953" t="s">
        <v>199</v>
      </c>
      <c r="E169" s="1307" t="s">
        <v>601</v>
      </c>
      <c r="F169" s="1307" t="s">
        <v>1957</v>
      </c>
      <c r="G169" s="1082" t="s">
        <v>1754</v>
      </c>
      <c r="H169" s="1308"/>
      <c r="I169" s="1308"/>
      <c r="J169" s="1308"/>
      <c r="K169" s="1308"/>
      <c r="L169" s="980"/>
      <c r="M169" s="1308">
        <v>500000</v>
      </c>
      <c r="N169" s="1308"/>
      <c r="O169" s="1308"/>
      <c r="P169" s="981"/>
      <c r="Q169" s="1313"/>
      <c r="R169" s="1308"/>
      <c r="S169" s="1308"/>
      <c r="T169" s="1308"/>
      <c r="U169" s="1308"/>
      <c r="V169" s="1308"/>
      <c r="W169" s="1308"/>
      <c r="X169" s="1314"/>
    </row>
    <row r="170" spans="1:24" ht="18.75" customHeight="1" x14ac:dyDescent="0.25">
      <c r="A170" s="2024" t="s">
        <v>320</v>
      </c>
      <c r="B170" s="2023" t="s">
        <v>1959</v>
      </c>
      <c r="C170" s="2016" t="s">
        <v>1968</v>
      </c>
      <c r="D170" s="953" t="s">
        <v>201</v>
      </c>
      <c r="E170" s="1307" t="s">
        <v>73</v>
      </c>
      <c r="F170" s="1307" t="s">
        <v>1785</v>
      </c>
      <c r="G170" s="1082" t="s">
        <v>1752</v>
      </c>
      <c r="H170" s="1308"/>
      <c r="I170" s="1308"/>
      <c r="J170" s="1308"/>
      <c r="K170" s="1308"/>
      <c r="L170" s="980">
        <v>-10000000</v>
      </c>
      <c r="M170" s="1308"/>
      <c r="N170" s="1308"/>
      <c r="O170" s="1308"/>
      <c r="P170" s="981"/>
      <c r="Q170" s="1313"/>
      <c r="R170" s="1308"/>
      <c r="S170" s="1308"/>
      <c r="T170" s="1308"/>
      <c r="U170" s="1308"/>
      <c r="V170" s="1308"/>
      <c r="W170" s="1308"/>
      <c r="X170" s="1314"/>
    </row>
    <row r="171" spans="1:24" ht="18.75" customHeight="1" x14ac:dyDescent="0.25">
      <c r="A171" s="2024"/>
      <c r="B171" s="2023"/>
      <c r="C171" s="2016"/>
      <c r="D171" s="953" t="s">
        <v>199</v>
      </c>
      <c r="E171" s="1307" t="s">
        <v>601</v>
      </c>
      <c r="F171" s="1307" t="s">
        <v>127</v>
      </c>
      <c r="G171" s="1082" t="s">
        <v>1754</v>
      </c>
      <c r="H171" s="1308"/>
      <c r="I171" s="1308"/>
      <c r="J171" s="1308"/>
      <c r="K171" s="1308"/>
      <c r="L171" s="980"/>
      <c r="M171" s="1308">
        <f>7874016+2125984</f>
        <v>10000000</v>
      </c>
      <c r="N171" s="1308"/>
      <c r="O171" s="1308"/>
      <c r="P171" s="981"/>
      <c r="Q171" s="1313"/>
      <c r="R171" s="1308"/>
      <c r="S171" s="1308"/>
      <c r="T171" s="1308"/>
      <c r="U171" s="1308"/>
      <c r="V171" s="1308"/>
      <c r="W171" s="1308"/>
      <c r="X171" s="1314"/>
    </row>
    <row r="172" spans="1:24" ht="17.25" customHeight="1" x14ac:dyDescent="0.25">
      <c r="A172" s="2024" t="s">
        <v>321</v>
      </c>
      <c r="B172" s="2023" t="s">
        <v>1960</v>
      </c>
      <c r="C172" s="2016" t="s">
        <v>1969</v>
      </c>
      <c r="D172" s="953" t="s">
        <v>201</v>
      </c>
      <c r="E172" s="1307" t="s">
        <v>73</v>
      </c>
      <c r="F172" s="1307" t="s">
        <v>1785</v>
      </c>
      <c r="G172" s="1082" t="s">
        <v>1752</v>
      </c>
      <c r="H172" s="1308"/>
      <c r="I172" s="1308"/>
      <c r="J172" s="1308"/>
      <c r="K172" s="1308"/>
      <c r="L172" s="980">
        <v>-4465300</v>
      </c>
      <c r="M172" s="1308"/>
      <c r="N172" s="1308"/>
      <c r="O172" s="1308"/>
      <c r="P172" s="981"/>
      <c r="Q172" s="1313"/>
      <c r="R172" s="1308"/>
      <c r="S172" s="1308"/>
      <c r="T172" s="1308"/>
      <c r="U172" s="1308"/>
      <c r="V172" s="1308"/>
      <c r="W172" s="1308"/>
      <c r="X172" s="1314"/>
    </row>
    <row r="173" spans="1:24" ht="17.25" customHeight="1" x14ac:dyDescent="0.25">
      <c r="A173" s="2024"/>
      <c r="B173" s="2023"/>
      <c r="C173" s="2016"/>
      <c r="D173" s="953" t="s">
        <v>199</v>
      </c>
      <c r="E173" s="1307" t="s">
        <v>601</v>
      </c>
      <c r="F173" s="1307" t="s">
        <v>127</v>
      </c>
      <c r="G173" s="1082" t="s">
        <v>1754</v>
      </c>
      <c r="H173" s="1308"/>
      <c r="I173" s="1308"/>
      <c r="J173" s="1308"/>
      <c r="K173" s="1308"/>
      <c r="L173" s="980"/>
      <c r="M173" s="1308">
        <f>3515984+949316</f>
        <v>4465300</v>
      </c>
      <c r="N173" s="1308"/>
      <c r="O173" s="1308"/>
      <c r="P173" s="981"/>
      <c r="Q173" s="1313"/>
      <c r="R173" s="1308"/>
      <c r="S173" s="1308"/>
      <c r="T173" s="1308"/>
      <c r="U173" s="1308"/>
      <c r="V173" s="1308"/>
      <c r="W173" s="1308"/>
      <c r="X173" s="1314"/>
    </row>
    <row r="174" spans="1:24" ht="27.75" customHeight="1" x14ac:dyDescent="0.25">
      <c r="A174" s="2024" t="s">
        <v>322</v>
      </c>
      <c r="B174" s="2023" t="s">
        <v>1961</v>
      </c>
      <c r="C174" s="2016" t="s">
        <v>2115</v>
      </c>
      <c r="D174" s="953" t="s">
        <v>201</v>
      </c>
      <c r="E174" s="1307" t="s">
        <v>73</v>
      </c>
      <c r="F174" s="1307" t="s">
        <v>1785</v>
      </c>
      <c r="G174" s="1082" t="s">
        <v>1752</v>
      </c>
      <c r="H174" s="1308"/>
      <c r="I174" s="1308"/>
      <c r="J174" s="1308"/>
      <c r="K174" s="1308"/>
      <c r="L174" s="980">
        <v>-800000</v>
      </c>
      <c r="M174" s="1308"/>
      <c r="N174" s="1308"/>
      <c r="O174" s="1308"/>
      <c r="P174" s="981"/>
      <c r="Q174" s="1313"/>
      <c r="R174" s="1308"/>
      <c r="S174" s="1308"/>
      <c r="T174" s="1308"/>
      <c r="U174" s="1308"/>
      <c r="V174" s="1308"/>
      <c r="W174" s="1308"/>
      <c r="X174" s="1314"/>
    </row>
    <row r="175" spans="1:24" ht="27.75" customHeight="1" x14ac:dyDescent="0.25">
      <c r="A175" s="2024"/>
      <c r="B175" s="2023"/>
      <c r="C175" s="2016"/>
      <c r="D175" s="953" t="s">
        <v>199</v>
      </c>
      <c r="E175" s="1307" t="s">
        <v>164</v>
      </c>
      <c r="F175" s="1307" t="s">
        <v>1913</v>
      </c>
      <c r="G175" s="1082" t="s">
        <v>1754</v>
      </c>
      <c r="H175" s="1308"/>
      <c r="I175" s="1308"/>
      <c r="J175" s="1308"/>
      <c r="K175" s="1308"/>
      <c r="L175" s="980"/>
      <c r="M175" s="1308">
        <v>800000</v>
      </c>
      <c r="N175" s="1308"/>
      <c r="O175" s="1308"/>
      <c r="P175" s="981"/>
      <c r="Q175" s="1313"/>
      <c r="R175" s="1308"/>
      <c r="S175" s="1308"/>
      <c r="T175" s="1308"/>
      <c r="U175" s="1308"/>
      <c r="V175" s="1308"/>
      <c r="W175" s="1308"/>
      <c r="X175" s="1314"/>
    </row>
    <row r="176" spans="1:24" ht="47.25" customHeight="1" x14ac:dyDescent="0.25">
      <c r="A176" s="2024" t="s">
        <v>323</v>
      </c>
      <c r="B176" s="2023" t="s">
        <v>1962</v>
      </c>
      <c r="C176" s="2016" t="s">
        <v>1970</v>
      </c>
      <c r="D176" s="953" t="s">
        <v>201</v>
      </c>
      <c r="E176" s="1307" t="s">
        <v>73</v>
      </c>
      <c r="F176" s="1307" t="s">
        <v>1785</v>
      </c>
      <c r="G176" s="1082" t="s">
        <v>1752</v>
      </c>
      <c r="H176" s="1308"/>
      <c r="I176" s="1308"/>
      <c r="J176" s="1308"/>
      <c r="K176" s="1308"/>
      <c r="L176" s="980">
        <v>-1250000</v>
      </c>
      <c r="M176" s="1308"/>
      <c r="N176" s="1308"/>
      <c r="O176" s="1308"/>
      <c r="P176" s="981"/>
      <c r="Q176" s="1313"/>
      <c r="R176" s="1308"/>
      <c r="S176" s="1308"/>
      <c r="T176" s="1308"/>
      <c r="U176" s="1308"/>
      <c r="V176" s="1308"/>
      <c r="W176" s="1308"/>
      <c r="X176" s="1314"/>
    </row>
    <row r="177" spans="1:24" ht="47.25" customHeight="1" x14ac:dyDescent="0.25">
      <c r="A177" s="2024"/>
      <c r="B177" s="2023"/>
      <c r="C177" s="2016"/>
      <c r="D177" s="953" t="s">
        <v>198</v>
      </c>
      <c r="E177" s="1307" t="s">
        <v>1297</v>
      </c>
      <c r="F177" s="1307" t="s">
        <v>1769</v>
      </c>
      <c r="G177" s="1082" t="s">
        <v>1754</v>
      </c>
      <c r="H177" s="1308"/>
      <c r="I177" s="1308"/>
      <c r="J177" s="1308"/>
      <c r="K177" s="1308"/>
      <c r="L177" s="980">
        <v>1250000</v>
      </c>
      <c r="M177" s="1308"/>
      <c r="N177" s="1308"/>
      <c r="O177" s="1308"/>
      <c r="P177" s="981"/>
      <c r="Q177" s="1313"/>
      <c r="R177" s="1308"/>
      <c r="S177" s="1308"/>
      <c r="T177" s="1308"/>
      <c r="U177" s="1308"/>
      <c r="V177" s="1308"/>
      <c r="W177" s="1308"/>
      <c r="X177" s="1314"/>
    </row>
    <row r="178" spans="1:24" ht="18.75" customHeight="1" x14ac:dyDescent="0.25">
      <c r="A178" s="2024" t="s">
        <v>324</v>
      </c>
      <c r="B178" s="2023" t="s">
        <v>1963</v>
      </c>
      <c r="C178" s="2016" t="s">
        <v>1975</v>
      </c>
      <c r="D178" s="953" t="s">
        <v>201</v>
      </c>
      <c r="E178" s="1307" t="s">
        <v>73</v>
      </c>
      <c r="F178" s="1307" t="s">
        <v>1785</v>
      </c>
      <c r="G178" s="1082" t="s">
        <v>1752</v>
      </c>
      <c r="H178" s="1308"/>
      <c r="I178" s="1308"/>
      <c r="J178" s="1308"/>
      <c r="K178" s="1308"/>
      <c r="L178" s="980">
        <v>-15000000</v>
      </c>
      <c r="M178" s="1308"/>
      <c r="N178" s="1308"/>
      <c r="O178" s="1308"/>
      <c r="P178" s="981"/>
      <c r="Q178" s="1313"/>
      <c r="R178" s="1308"/>
      <c r="S178" s="1308"/>
      <c r="T178" s="1308"/>
      <c r="U178" s="1308"/>
      <c r="V178" s="1308"/>
      <c r="W178" s="1308"/>
      <c r="X178" s="1314"/>
    </row>
    <row r="179" spans="1:24" ht="18.75" customHeight="1" x14ac:dyDescent="0.25">
      <c r="A179" s="2024"/>
      <c r="B179" s="2023"/>
      <c r="C179" s="2016"/>
      <c r="D179" s="953" t="s">
        <v>198</v>
      </c>
      <c r="E179" s="1307" t="s">
        <v>69</v>
      </c>
      <c r="F179" s="1307" t="s">
        <v>1830</v>
      </c>
      <c r="G179" s="1082" t="s">
        <v>1754</v>
      </c>
      <c r="H179" s="1308"/>
      <c r="I179" s="1308"/>
      <c r="J179" s="1308"/>
      <c r="K179" s="1308"/>
      <c r="L179" s="980">
        <v>650000</v>
      </c>
      <c r="M179" s="1308"/>
      <c r="N179" s="1308"/>
      <c r="O179" s="1308"/>
      <c r="P179" s="981"/>
      <c r="Q179" s="1313"/>
      <c r="R179" s="1308"/>
      <c r="S179" s="1308"/>
      <c r="T179" s="1308"/>
      <c r="U179" s="1308"/>
      <c r="V179" s="1308"/>
      <c r="W179" s="1308"/>
      <c r="X179" s="1314"/>
    </row>
    <row r="180" spans="1:24" ht="18.75" customHeight="1" x14ac:dyDescent="0.25">
      <c r="A180" s="2024"/>
      <c r="B180" s="2023"/>
      <c r="C180" s="2016"/>
      <c r="D180" s="953" t="s">
        <v>198</v>
      </c>
      <c r="E180" s="1307" t="s">
        <v>620</v>
      </c>
      <c r="F180" s="1307" t="s">
        <v>1830</v>
      </c>
      <c r="G180" s="1082" t="s">
        <v>1754</v>
      </c>
      <c r="H180" s="1308"/>
      <c r="I180" s="1308"/>
      <c r="J180" s="1308"/>
      <c r="K180" s="1308"/>
      <c r="L180" s="980">
        <v>9725000</v>
      </c>
      <c r="M180" s="1308"/>
      <c r="N180" s="1308"/>
      <c r="O180" s="1308"/>
      <c r="P180" s="981"/>
      <c r="Q180" s="1313"/>
      <c r="R180" s="1308"/>
      <c r="S180" s="1308"/>
      <c r="T180" s="1308"/>
      <c r="U180" s="1308"/>
      <c r="V180" s="1308"/>
      <c r="W180" s="1308"/>
      <c r="X180" s="1314"/>
    </row>
    <row r="181" spans="1:24" ht="18.75" customHeight="1" x14ac:dyDescent="0.25">
      <c r="A181" s="2024"/>
      <c r="B181" s="2023"/>
      <c r="C181" s="2016"/>
      <c r="D181" s="953" t="s">
        <v>198</v>
      </c>
      <c r="E181" s="1307" t="s">
        <v>1974</v>
      </c>
      <c r="F181" s="1307" t="s">
        <v>1830</v>
      </c>
      <c r="G181" s="1082" t="s">
        <v>1754</v>
      </c>
      <c r="H181" s="1308"/>
      <c r="I181" s="1308"/>
      <c r="J181" s="1308"/>
      <c r="K181" s="1308"/>
      <c r="L181" s="980">
        <v>1770000</v>
      </c>
      <c r="M181" s="1308"/>
      <c r="N181" s="1308"/>
      <c r="O181" s="1308"/>
      <c r="P181" s="981"/>
      <c r="Q181" s="1313"/>
      <c r="R181" s="1308"/>
      <c r="S181" s="1308"/>
      <c r="T181" s="1308"/>
      <c r="U181" s="1308"/>
      <c r="V181" s="1308"/>
      <c r="W181" s="1308"/>
      <c r="X181" s="1314"/>
    </row>
    <row r="182" spans="1:24" ht="18.75" customHeight="1" x14ac:dyDescent="0.25">
      <c r="A182" s="2024"/>
      <c r="B182" s="2023"/>
      <c r="C182" s="2016"/>
      <c r="D182" s="953" t="s">
        <v>198</v>
      </c>
      <c r="E182" s="1307" t="s">
        <v>76</v>
      </c>
      <c r="F182" s="1307" t="s">
        <v>1830</v>
      </c>
      <c r="G182" s="1082" t="s">
        <v>1754</v>
      </c>
      <c r="H182" s="1308"/>
      <c r="I182" s="1308"/>
      <c r="J182" s="1308"/>
      <c r="K182" s="1308"/>
      <c r="L182" s="980">
        <v>2505000</v>
      </c>
      <c r="M182" s="1308"/>
      <c r="N182" s="1308"/>
      <c r="O182" s="1308"/>
      <c r="P182" s="981"/>
      <c r="Q182" s="1313"/>
      <c r="R182" s="1308"/>
      <c r="S182" s="1308"/>
      <c r="T182" s="1308"/>
      <c r="U182" s="1308"/>
      <c r="V182" s="1308"/>
      <c r="W182" s="1308"/>
      <c r="X182" s="1314"/>
    </row>
    <row r="183" spans="1:24" ht="18.75" customHeight="1" x14ac:dyDescent="0.25">
      <c r="A183" s="2024"/>
      <c r="B183" s="2023"/>
      <c r="C183" s="2016"/>
      <c r="D183" s="953" t="s">
        <v>198</v>
      </c>
      <c r="E183" s="1307" t="s">
        <v>1877</v>
      </c>
      <c r="F183" s="1307" t="s">
        <v>1830</v>
      </c>
      <c r="G183" s="1082" t="s">
        <v>1754</v>
      </c>
      <c r="H183" s="1308"/>
      <c r="I183" s="1308"/>
      <c r="J183" s="1308"/>
      <c r="K183" s="1308"/>
      <c r="L183" s="980">
        <v>250000</v>
      </c>
      <c r="M183" s="1308"/>
      <c r="N183" s="1308"/>
      <c r="O183" s="1308"/>
      <c r="P183" s="981"/>
      <c r="Q183" s="1313"/>
      <c r="R183" s="1308"/>
      <c r="S183" s="1308"/>
      <c r="T183" s="1308"/>
      <c r="U183" s="1308"/>
      <c r="V183" s="1308"/>
      <c r="W183" s="1308"/>
      <c r="X183" s="1314"/>
    </row>
    <row r="184" spans="1:24" ht="18.75" customHeight="1" x14ac:dyDescent="0.25">
      <c r="A184" s="2024"/>
      <c r="B184" s="2023"/>
      <c r="C184" s="2016"/>
      <c r="D184" s="953" t="s">
        <v>197</v>
      </c>
      <c r="E184" s="1307" t="s">
        <v>69</v>
      </c>
      <c r="F184" s="1307" t="s">
        <v>1830</v>
      </c>
      <c r="G184" s="1082" t="s">
        <v>1754</v>
      </c>
      <c r="H184" s="1308"/>
      <c r="I184" s="1308"/>
      <c r="J184" s="1308"/>
      <c r="K184" s="1308"/>
      <c r="L184" s="980"/>
      <c r="M184" s="1308"/>
      <c r="N184" s="1308"/>
      <c r="O184" s="1308">
        <v>100000</v>
      </c>
      <c r="P184" s="981"/>
      <c r="Q184" s="1313"/>
      <c r="R184" s="1308"/>
      <c r="S184" s="1308"/>
      <c r="T184" s="1308"/>
      <c r="U184" s="1308"/>
      <c r="V184" s="1308"/>
      <c r="W184" s="1308"/>
      <c r="X184" s="1314"/>
    </row>
    <row r="185" spans="1:24" ht="17.25" customHeight="1" x14ac:dyDescent="0.25">
      <c r="A185" s="2024" t="s">
        <v>325</v>
      </c>
      <c r="B185" s="2023" t="s">
        <v>1964</v>
      </c>
      <c r="C185" s="2016" t="s">
        <v>2027</v>
      </c>
      <c r="D185" s="953" t="s">
        <v>201</v>
      </c>
      <c r="E185" s="1307" t="s">
        <v>73</v>
      </c>
      <c r="F185" s="1307" t="s">
        <v>1785</v>
      </c>
      <c r="G185" s="1082" t="s">
        <v>1752</v>
      </c>
      <c r="H185" s="1308"/>
      <c r="I185" s="1308"/>
      <c r="J185" s="1308"/>
      <c r="K185" s="1308"/>
      <c r="L185" s="980">
        <v>-200000</v>
      </c>
      <c r="M185" s="1308"/>
      <c r="N185" s="1308"/>
      <c r="O185" s="1308"/>
      <c r="P185" s="981"/>
      <c r="Q185" s="1313"/>
      <c r="R185" s="1308"/>
      <c r="S185" s="1308"/>
      <c r="T185" s="1308"/>
      <c r="U185" s="1308"/>
      <c r="V185" s="1308"/>
      <c r="W185" s="1308"/>
      <c r="X185" s="1314"/>
    </row>
    <row r="186" spans="1:24" ht="17.25" customHeight="1" x14ac:dyDescent="0.25">
      <c r="A186" s="2024"/>
      <c r="B186" s="2023"/>
      <c r="C186" s="2016"/>
      <c r="D186" s="953" t="s">
        <v>194</v>
      </c>
      <c r="E186" s="1307" t="s">
        <v>130</v>
      </c>
      <c r="F186" s="1307" t="s">
        <v>2028</v>
      </c>
      <c r="G186" s="1082" t="s">
        <v>1754</v>
      </c>
      <c r="H186" s="1308"/>
      <c r="I186" s="1308"/>
      <c r="J186" s="1308">
        <f>157480+42520</f>
        <v>200000</v>
      </c>
      <c r="K186" s="1308"/>
      <c r="L186" s="980"/>
      <c r="M186" s="1308"/>
      <c r="N186" s="1308"/>
      <c r="O186" s="1308"/>
      <c r="P186" s="981"/>
      <c r="Q186" s="1313"/>
      <c r="R186" s="1308"/>
      <c r="S186" s="1308"/>
      <c r="T186" s="1308"/>
      <c r="U186" s="1308"/>
      <c r="V186" s="1308"/>
      <c r="W186" s="1308"/>
      <c r="X186" s="1314"/>
    </row>
    <row r="187" spans="1:24" ht="20.25" customHeight="1" x14ac:dyDescent="0.25">
      <c r="A187" s="2024" t="s">
        <v>326</v>
      </c>
      <c r="B187" s="2023" t="s">
        <v>1965</v>
      </c>
      <c r="C187" s="2016" t="s">
        <v>2029</v>
      </c>
      <c r="D187" s="953" t="s">
        <v>194</v>
      </c>
      <c r="E187" s="1307" t="s">
        <v>1781</v>
      </c>
      <c r="F187" s="1307" t="s">
        <v>1780</v>
      </c>
      <c r="G187" s="1082" t="s">
        <v>1752</v>
      </c>
      <c r="H187" s="1308"/>
      <c r="I187" s="1308"/>
      <c r="J187" s="1308"/>
      <c r="K187" s="1308"/>
      <c r="L187" s="980"/>
      <c r="M187" s="1308"/>
      <c r="N187" s="1308"/>
      <c r="O187" s="1308"/>
      <c r="P187" s="981">
        <v>-67610699</v>
      </c>
      <c r="Q187" s="1313"/>
      <c r="R187" s="1308"/>
      <c r="S187" s="1308"/>
      <c r="T187" s="1308"/>
      <c r="U187" s="1308"/>
      <c r="V187" s="1308"/>
      <c r="W187" s="1308"/>
      <c r="X187" s="1314">
        <v>-67610699</v>
      </c>
    </row>
    <row r="188" spans="1:24" ht="20.25" customHeight="1" x14ac:dyDescent="0.25">
      <c r="A188" s="2024"/>
      <c r="B188" s="2023"/>
      <c r="C188" s="2016"/>
      <c r="D188" s="953" t="s">
        <v>203</v>
      </c>
      <c r="E188" s="1307" t="s">
        <v>1753</v>
      </c>
      <c r="F188" s="1307" t="s">
        <v>1784</v>
      </c>
      <c r="G188" s="1082" t="s">
        <v>1754</v>
      </c>
      <c r="H188" s="1308"/>
      <c r="I188" s="1308"/>
      <c r="J188" s="1308"/>
      <c r="K188" s="1308"/>
      <c r="L188" s="980"/>
      <c r="M188" s="1308"/>
      <c r="N188" s="1308"/>
      <c r="O188" s="1308"/>
      <c r="P188" s="981">
        <v>67610699</v>
      </c>
      <c r="Q188" s="1313"/>
      <c r="R188" s="1308"/>
      <c r="S188" s="1308"/>
      <c r="T188" s="1308"/>
      <c r="U188" s="1308"/>
      <c r="V188" s="1308"/>
      <c r="W188" s="1308"/>
      <c r="X188" s="1314">
        <v>67610699</v>
      </c>
    </row>
    <row r="189" spans="1:24" ht="22.5" customHeight="1" x14ac:dyDescent="0.25">
      <c r="A189" s="2024" t="s">
        <v>766</v>
      </c>
      <c r="B189" s="2023" t="s">
        <v>1966</v>
      </c>
      <c r="C189" s="2016" t="s">
        <v>2030</v>
      </c>
      <c r="D189" s="953" t="s">
        <v>202</v>
      </c>
      <c r="E189" s="1307" t="s">
        <v>1294</v>
      </c>
      <c r="F189" s="1307" t="s">
        <v>1774</v>
      </c>
      <c r="G189" s="1082" t="s">
        <v>1752</v>
      </c>
      <c r="H189" s="1308"/>
      <c r="I189" s="1308"/>
      <c r="J189" s="1308"/>
      <c r="K189" s="1308">
        <v>-5000000</v>
      </c>
      <c r="L189" s="980"/>
      <c r="M189" s="1308"/>
      <c r="N189" s="1308"/>
      <c r="O189" s="1308"/>
      <c r="P189" s="981"/>
      <c r="Q189" s="1313"/>
      <c r="R189" s="1308"/>
      <c r="S189" s="1308"/>
      <c r="T189" s="1308"/>
      <c r="U189" s="1308"/>
      <c r="V189" s="1308"/>
      <c r="W189" s="1308"/>
      <c r="X189" s="1314"/>
    </row>
    <row r="190" spans="1:24" ht="22.5" customHeight="1" x14ac:dyDescent="0.25">
      <c r="A190" s="2024"/>
      <c r="B190" s="2023"/>
      <c r="C190" s="2016"/>
      <c r="D190" s="953" t="s">
        <v>202</v>
      </c>
      <c r="E190" s="1307" t="s">
        <v>1294</v>
      </c>
      <c r="F190" s="1307" t="s">
        <v>2031</v>
      </c>
      <c r="G190" s="1082" t="s">
        <v>2032</v>
      </c>
      <c r="H190" s="1308"/>
      <c r="I190" s="1308"/>
      <c r="J190" s="1308"/>
      <c r="K190" s="1308">
        <v>5000000</v>
      </c>
      <c r="L190" s="980"/>
      <c r="M190" s="1308"/>
      <c r="N190" s="1308"/>
      <c r="O190" s="1308"/>
      <c r="P190" s="981"/>
      <c r="Q190" s="1313"/>
      <c r="R190" s="1308"/>
      <c r="S190" s="1308"/>
      <c r="T190" s="1308"/>
      <c r="U190" s="1308"/>
      <c r="V190" s="1308"/>
      <c r="W190" s="1308"/>
      <c r="X190" s="1314"/>
    </row>
    <row r="191" spans="1:24" ht="21.75" customHeight="1" x14ac:dyDescent="0.25">
      <c r="A191" s="2024" t="s">
        <v>767</v>
      </c>
      <c r="B191" s="2023" t="s">
        <v>2041</v>
      </c>
      <c r="C191" s="2016" t="s">
        <v>2114</v>
      </c>
      <c r="D191" s="953" t="s">
        <v>201</v>
      </c>
      <c r="E191" s="1307" t="s">
        <v>73</v>
      </c>
      <c r="F191" s="1307" t="s">
        <v>1785</v>
      </c>
      <c r="G191" s="1082" t="s">
        <v>1752</v>
      </c>
      <c r="H191" s="1308"/>
      <c r="I191" s="1308"/>
      <c r="J191" s="1308"/>
      <c r="K191" s="1308"/>
      <c r="L191" s="980">
        <v>-1554735</v>
      </c>
      <c r="M191" s="1308"/>
      <c r="N191" s="1308"/>
      <c r="O191" s="1308"/>
      <c r="P191" s="981"/>
      <c r="Q191" s="1313"/>
      <c r="R191" s="1308"/>
      <c r="S191" s="1308"/>
      <c r="T191" s="1308"/>
      <c r="U191" s="1308"/>
      <c r="V191" s="1308"/>
      <c r="W191" s="1308"/>
      <c r="X191" s="1314"/>
    </row>
    <row r="192" spans="1:24" ht="21.75" customHeight="1" x14ac:dyDescent="0.25">
      <c r="A192" s="2024"/>
      <c r="B192" s="2023"/>
      <c r="C192" s="2016"/>
      <c r="D192" s="953" t="s">
        <v>200</v>
      </c>
      <c r="E192" s="1307" t="s">
        <v>641</v>
      </c>
      <c r="F192" s="1307" t="s">
        <v>133</v>
      </c>
      <c r="G192" s="1082" t="s">
        <v>1754</v>
      </c>
      <c r="H192" s="1308"/>
      <c r="I192" s="1308"/>
      <c r="J192" s="1308"/>
      <c r="K192" s="1308"/>
      <c r="L192" s="980"/>
      <c r="M192" s="1308"/>
      <c r="N192" s="1308">
        <f>1224201+330534</f>
        <v>1554735</v>
      </c>
      <c r="O192" s="1308"/>
      <c r="P192" s="981"/>
      <c r="Q192" s="1313"/>
      <c r="R192" s="1308"/>
      <c r="S192" s="1308"/>
      <c r="T192" s="1308"/>
      <c r="U192" s="1308"/>
      <c r="V192" s="1308"/>
      <c r="W192" s="1308"/>
      <c r="X192" s="1314"/>
    </row>
    <row r="193" spans="1:24" ht="18.75" customHeight="1" x14ac:dyDescent="0.25">
      <c r="A193" s="2024" t="s">
        <v>768</v>
      </c>
      <c r="B193" s="2023" t="s">
        <v>2043</v>
      </c>
      <c r="C193" s="2016" t="s">
        <v>2044</v>
      </c>
      <c r="D193" s="953" t="s">
        <v>201</v>
      </c>
      <c r="E193" s="1307" t="s">
        <v>73</v>
      </c>
      <c r="F193" s="1307" t="s">
        <v>1785</v>
      </c>
      <c r="G193" s="1082" t="s">
        <v>1752</v>
      </c>
      <c r="H193" s="1308"/>
      <c r="I193" s="1308"/>
      <c r="J193" s="1308"/>
      <c r="K193" s="1308"/>
      <c r="L193" s="980">
        <v>-993597</v>
      </c>
      <c r="M193" s="1308"/>
      <c r="N193" s="1308"/>
      <c r="O193" s="1308"/>
      <c r="P193" s="981"/>
      <c r="Q193" s="1313"/>
      <c r="R193" s="1308"/>
      <c r="S193" s="1308"/>
      <c r="T193" s="1308"/>
      <c r="U193" s="1308"/>
      <c r="V193" s="1308"/>
      <c r="W193" s="1308"/>
      <c r="X193" s="1314"/>
    </row>
    <row r="194" spans="1:24" ht="18.75" customHeight="1" x14ac:dyDescent="0.25">
      <c r="A194" s="2024"/>
      <c r="B194" s="2023"/>
      <c r="C194" s="2016"/>
      <c r="D194" s="953" t="s">
        <v>199</v>
      </c>
      <c r="E194" s="1307" t="s">
        <v>844</v>
      </c>
      <c r="F194" s="1307" t="s">
        <v>1802</v>
      </c>
      <c r="G194" s="1082" t="s">
        <v>1754</v>
      </c>
      <c r="H194" s="1308"/>
      <c r="I194" s="1308"/>
      <c r="J194" s="1308"/>
      <c r="K194" s="1308"/>
      <c r="L194" s="980"/>
      <c r="M194" s="1308">
        <f>782360+211237</f>
        <v>993597</v>
      </c>
      <c r="N194" s="1308"/>
      <c r="O194" s="1308"/>
      <c r="P194" s="981"/>
      <c r="Q194" s="1313"/>
      <c r="R194" s="1308"/>
      <c r="S194" s="1308"/>
      <c r="T194" s="1308"/>
      <c r="U194" s="1308"/>
      <c r="V194" s="1308"/>
      <c r="W194" s="1308"/>
      <c r="X194" s="1314"/>
    </row>
    <row r="195" spans="1:24" ht="19.5" customHeight="1" x14ac:dyDescent="0.25">
      <c r="A195" s="2024" t="s">
        <v>769</v>
      </c>
      <c r="B195" s="2023" t="s">
        <v>2101</v>
      </c>
      <c r="C195" s="2016" t="s">
        <v>2045</v>
      </c>
      <c r="D195" s="953" t="s">
        <v>199</v>
      </c>
      <c r="E195" s="1307" t="s">
        <v>601</v>
      </c>
      <c r="F195" s="1307" t="s">
        <v>127</v>
      </c>
      <c r="G195" s="1082" t="s">
        <v>1752</v>
      </c>
      <c r="H195" s="1308"/>
      <c r="I195" s="1308"/>
      <c r="J195" s="1308"/>
      <c r="K195" s="1308"/>
      <c r="L195" s="980"/>
      <c r="M195" s="1308">
        <v>-76531</v>
      </c>
      <c r="N195" s="1308"/>
      <c r="O195" s="1308"/>
      <c r="P195" s="981"/>
      <c r="Q195" s="1313"/>
      <c r="R195" s="1308"/>
      <c r="S195" s="1308"/>
      <c r="T195" s="1308"/>
      <c r="U195" s="1308"/>
      <c r="V195" s="1308"/>
      <c r="W195" s="1308"/>
      <c r="X195" s="1314"/>
    </row>
    <row r="196" spans="1:24" ht="19.5" customHeight="1" x14ac:dyDescent="0.25">
      <c r="A196" s="2024"/>
      <c r="B196" s="2023"/>
      <c r="C196" s="2016"/>
      <c r="D196" s="953" t="s">
        <v>194</v>
      </c>
      <c r="E196" s="1307" t="s">
        <v>844</v>
      </c>
      <c r="F196" s="1307" t="s">
        <v>1802</v>
      </c>
      <c r="G196" s="1082" t="s">
        <v>1754</v>
      </c>
      <c r="H196" s="1308"/>
      <c r="I196" s="1308"/>
      <c r="J196" s="1308">
        <f>60261+16270</f>
        <v>76531</v>
      </c>
      <c r="K196" s="1308"/>
      <c r="L196" s="980"/>
      <c r="M196" s="1308"/>
      <c r="N196" s="1308"/>
      <c r="O196" s="1308"/>
      <c r="P196" s="981"/>
      <c r="Q196" s="1313"/>
      <c r="R196" s="1308"/>
      <c r="S196" s="1308"/>
      <c r="T196" s="1308"/>
      <c r="U196" s="1308"/>
      <c r="V196" s="1308"/>
      <c r="W196" s="1308"/>
      <c r="X196" s="1314"/>
    </row>
    <row r="197" spans="1:24" ht="23.25" customHeight="1" x14ac:dyDescent="0.25">
      <c r="A197" s="2024" t="s">
        <v>770</v>
      </c>
      <c r="B197" s="2023" t="s">
        <v>2046</v>
      </c>
      <c r="C197" s="2016" t="s">
        <v>2116</v>
      </c>
      <c r="D197" s="953" t="s">
        <v>201</v>
      </c>
      <c r="E197" s="1307" t="s">
        <v>73</v>
      </c>
      <c r="F197" s="1307" t="s">
        <v>1785</v>
      </c>
      <c r="G197" s="1082" t="s">
        <v>2047</v>
      </c>
      <c r="H197" s="1308"/>
      <c r="I197" s="1308"/>
      <c r="J197" s="1308"/>
      <c r="K197" s="1308"/>
      <c r="L197" s="980">
        <v>-571500</v>
      </c>
      <c r="M197" s="1308"/>
      <c r="N197" s="1308"/>
      <c r="O197" s="1308"/>
      <c r="P197" s="981"/>
      <c r="Q197" s="1313"/>
      <c r="R197" s="1308"/>
      <c r="S197" s="1308"/>
      <c r="T197" s="1308"/>
      <c r="U197" s="1308"/>
      <c r="V197" s="1308"/>
      <c r="W197" s="1308"/>
      <c r="X197" s="1314"/>
    </row>
    <row r="198" spans="1:24" ht="23.25" customHeight="1" x14ac:dyDescent="0.25">
      <c r="A198" s="2024"/>
      <c r="B198" s="2023"/>
      <c r="C198" s="2016"/>
      <c r="D198" s="953" t="s">
        <v>199</v>
      </c>
      <c r="E198" s="1307" t="s">
        <v>844</v>
      </c>
      <c r="F198" s="1307" t="s">
        <v>1891</v>
      </c>
      <c r="G198" s="1082" t="s">
        <v>1754</v>
      </c>
      <c r="H198" s="1308"/>
      <c r="I198" s="1308"/>
      <c r="J198" s="1308"/>
      <c r="K198" s="1308"/>
      <c r="L198" s="980"/>
      <c r="M198" s="1308">
        <f>450000+121500</f>
        <v>571500</v>
      </c>
      <c r="N198" s="1308"/>
      <c r="O198" s="1308"/>
      <c r="P198" s="981"/>
      <c r="Q198" s="1313"/>
      <c r="R198" s="1308"/>
      <c r="S198" s="1308"/>
      <c r="T198" s="1308"/>
      <c r="U198" s="1308"/>
      <c r="V198" s="1308"/>
      <c r="W198" s="1308"/>
      <c r="X198" s="1314"/>
    </row>
    <row r="199" spans="1:24" ht="24" customHeight="1" x14ac:dyDescent="0.25">
      <c r="A199" s="2024" t="s">
        <v>771</v>
      </c>
      <c r="B199" s="2023" t="s">
        <v>2048</v>
      </c>
      <c r="C199" s="2016" t="s">
        <v>2206</v>
      </c>
      <c r="D199" s="953" t="s">
        <v>201</v>
      </c>
      <c r="E199" s="1307" t="s">
        <v>73</v>
      </c>
      <c r="F199" s="1307" t="s">
        <v>1785</v>
      </c>
      <c r="G199" s="1082" t="s">
        <v>1752</v>
      </c>
      <c r="H199" s="1308"/>
      <c r="I199" s="1308"/>
      <c r="J199" s="1308"/>
      <c r="K199" s="1308"/>
      <c r="L199" s="980">
        <v>-40000</v>
      </c>
      <c r="M199" s="1308"/>
      <c r="N199" s="1308"/>
      <c r="O199" s="1308"/>
      <c r="P199" s="981"/>
      <c r="Q199" s="1313"/>
      <c r="R199" s="1308"/>
      <c r="S199" s="1308"/>
      <c r="T199" s="1308"/>
      <c r="U199" s="1308"/>
      <c r="V199" s="1308"/>
      <c r="W199" s="1308"/>
      <c r="X199" s="1314"/>
    </row>
    <row r="200" spans="1:24" ht="24" customHeight="1" x14ac:dyDescent="0.25">
      <c r="A200" s="2024"/>
      <c r="B200" s="2023"/>
      <c r="C200" s="2016"/>
      <c r="D200" s="953" t="s">
        <v>199</v>
      </c>
      <c r="E200" s="1307" t="s">
        <v>561</v>
      </c>
      <c r="F200" s="1307" t="s">
        <v>867</v>
      </c>
      <c r="G200" s="1082" t="s">
        <v>1754</v>
      </c>
      <c r="H200" s="1308"/>
      <c r="I200" s="1308"/>
      <c r="J200" s="1308"/>
      <c r="K200" s="1308"/>
      <c r="L200" s="980"/>
      <c r="M200" s="1308">
        <v>40000</v>
      </c>
      <c r="N200" s="1308"/>
      <c r="O200" s="1308"/>
      <c r="P200" s="981"/>
      <c r="Q200" s="1313"/>
      <c r="R200" s="1308"/>
      <c r="S200" s="1308"/>
      <c r="T200" s="1308"/>
      <c r="U200" s="1308"/>
      <c r="V200" s="1308"/>
      <c r="W200" s="1308"/>
      <c r="X200" s="1314"/>
    </row>
    <row r="201" spans="1:24" ht="28.5" customHeight="1" x14ac:dyDescent="0.25">
      <c r="A201" s="2024" t="s">
        <v>1384</v>
      </c>
      <c r="B201" s="2023" t="s">
        <v>2049</v>
      </c>
      <c r="C201" s="2016" t="s">
        <v>2050</v>
      </c>
      <c r="D201" s="953" t="s">
        <v>201</v>
      </c>
      <c r="E201" s="1307" t="s">
        <v>73</v>
      </c>
      <c r="F201" s="1307" t="s">
        <v>1785</v>
      </c>
      <c r="G201" s="1082" t="s">
        <v>1752</v>
      </c>
      <c r="H201" s="1308"/>
      <c r="I201" s="1308"/>
      <c r="J201" s="1308"/>
      <c r="K201" s="1308"/>
      <c r="L201" s="980">
        <v>-3000000</v>
      </c>
      <c r="M201" s="1308"/>
      <c r="N201" s="1308"/>
      <c r="O201" s="1308"/>
      <c r="P201" s="981"/>
      <c r="Q201" s="1313"/>
      <c r="R201" s="1308"/>
      <c r="S201" s="1308"/>
      <c r="T201" s="1308"/>
      <c r="U201" s="1308"/>
      <c r="V201" s="1308"/>
      <c r="W201" s="1308"/>
      <c r="X201" s="1314"/>
    </row>
    <row r="202" spans="1:24" ht="28.5" customHeight="1" x14ac:dyDescent="0.25">
      <c r="A202" s="2024"/>
      <c r="B202" s="2023"/>
      <c r="C202" s="2016"/>
      <c r="D202" s="953" t="s">
        <v>203</v>
      </c>
      <c r="E202" s="1307" t="s">
        <v>1297</v>
      </c>
      <c r="F202" s="1307" t="s">
        <v>550</v>
      </c>
      <c r="G202" s="1082" t="s">
        <v>1754</v>
      </c>
      <c r="H202" s="1308"/>
      <c r="I202" s="1308"/>
      <c r="J202" s="1308"/>
      <c r="K202" s="1308"/>
      <c r="L202" s="980"/>
      <c r="M202" s="1308"/>
      <c r="N202" s="1308"/>
      <c r="O202" s="1308"/>
      <c r="P202" s="981">
        <v>3000000</v>
      </c>
      <c r="Q202" s="1313"/>
      <c r="R202" s="1308"/>
      <c r="S202" s="1308"/>
      <c r="T202" s="1308"/>
      <c r="U202" s="1308"/>
      <c r="V202" s="1308"/>
      <c r="W202" s="1308"/>
      <c r="X202" s="1314"/>
    </row>
    <row r="203" spans="1:24" ht="21.75" customHeight="1" x14ac:dyDescent="0.25">
      <c r="A203" s="2024" t="s">
        <v>772</v>
      </c>
      <c r="B203" s="2023" t="s">
        <v>2051</v>
      </c>
      <c r="C203" s="2016" t="s">
        <v>2052</v>
      </c>
      <c r="D203" s="953" t="s">
        <v>194</v>
      </c>
      <c r="E203" s="1307" t="s">
        <v>2054</v>
      </c>
      <c r="F203" s="1307" t="s">
        <v>2053</v>
      </c>
      <c r="G203" s="1082" t="s">
        <v>1752</v>
      </c>
      <c r="H203" s="1308"/>
      <c r="I203" s="1308"/>
      <c r="J203" s="1308">
        <f>-5764000-1556280</f>
        <v>-7320280</v>
      </c>
      <c r="K203" s="1308"/>
      <c r="L203" s="980"/>
      <c r="M203" s="1308"/>
      <c r="N203" s="1308"/>
      <c r="O203" s="1308"/>
      <c r="P203" s="981"/>
      <c r="Q203" s="1313"/>
      <c r="R203" s="1308"/>
      <c r="S203" s="1308"/>
      <c r="T203" s="1308"/>
      <c r="U203" s="1308"/>
      <c r="V203" s="1308"/>
      <c r="W203" s="1308"/>
      <c r="X203" s="1314"/>
    </row>
    <row r="204" spans="1:24" ht="21.75" customHeight="1" x14ac:dyDescent="0.25">
      <c r="A204" s="2024"/>
      <c r="B204" s="2023"/>
      <c r="C204" s="2016"/>
      <c r="D204" s="953" t="s">
        <v>203</v>
      </c>
      <c r="E204" s="1307" t="s">
        <v>1297</v>
      </c>
      <c r="F204" s="1307" t="s">
        <v>550</v>
      </c>
      <c r="G204" s="1082" t="s">
        <v>1754</v>
      </c>
      <c r="H204" s="1308"/>
      <c r="I204" s="1308"/>
      <c r="J204" s="1308"/>
      <c r="K204" s="1308"/>
      <c r="L204" s="980"/>
      <c r="M204" s="1308"/>
      <c r="N204" s="1308"/>
      <c r="O204" s="1308"/>
      <c r="P204" s="981">
        <v>7320280</v>
      </c>
      <c r="Q204" s="1313"/>
      <c r="R204" s="1308"/>
      <c r="S204" s="1308"/>
      <c r="T204" s="1308"/>
      <c r="U204" s="1308"/>
      <c r="V204" s="1308"/>
      <c r="W204" s="1308"/>
      <c r="X204" s="1314"/>
    </row>
    <row r="205" spans="1:24" ht="30" customHeight="1" x14ac:dyDescent="0.25">
      <c r="A205" s="1423" t="s">
        <v>909</v>
      </c>
      <c r="B205" s="1422" t="s">
        <v>2055</v>
      </c>
      <c r="C205" s="1490" t="s">
        <v>2056</v>
      </c>
      <c r="D205" s="953" t="s">
        <v>194</v>
      </c>
      <c r="E205" s="1307" t="s">
        <v>2058</v>
      </c>
      <c r="F205" s="1307" t="s">
        <v>2057</v>
      </c>
      <c r="G205" s="1082" t="s">
        <v>1766</v>
      </c>
      <c r="H205" s="1308"/>
      <c r="I205" s="1308"/>
      <c r="J205" s="1308">
        <f>-5314961+5314961</f>
        <v>0</v>
      </c>
      <c r="K205" s="1308"/>
      <c r="L205" s="980"/>
      <c r="M205" s="1308"/>
      <c r="N205" s="1308"/>
      <c r="O205" s="1308"/>
      <c r="P205" s="981"/>
      <c r="Q205" s="1313"/>
      <c r="R205" s="1308"/>
      <c r="S205" s="1308"/>
      <c r="T205" s="1308"/>
      <c r="U205" s="1308"/>
      <c r="V205" s="1308"/>
      <c r="W205" s="1308"/>
      <c r="X205" s="1314"/>
    </row>
    <row r="206" spans="1:24" ht="30" customHeight="1" x14ac:dyDescent="0.25">
      <c r="A206" s="1423" t="s">
        <v>327</v>
      </c>
      <c r="B206" s="1422" t="s">
        <v>2059</v>
      </c>
      <c r="C206" s="1490" t="s">
        <v>2747</v>
      </c>
      <c r="D206" s="953" t="s">
        <v>194</v>
      </c>
      <c r="E206" s="1307" t="s">
        <v>1838</v>
      </c>
      <c r="F206" s="1307" t="s">
        <v>1837</v>
      </c>
      <c r="G206" s="1082" t="s">
        <v>1766</v>
      </c>
      <c r="H206" s="1308"/>
      <c r="I206" s="1308"/>
      <c r="J206" s="1308">
        <f>-300000+300000</f>
        <v>0</v>
      </c>
      <c r="K206" s="1308"/>
      <c r="L206" s="980"/>
      <c r="M206" s="1308"/>
      <c r="N206" s="1308"/>
      <c r="O206" s="1308"/>
      <c r="P206" s="981"/>
      <c r="Q206" s="1313"/>
      <c r="R206" s="1308"/>
      <c r="S206" s="1308"/>
      <c r="T206" s="1308"/>
      <c r="U206" s="1308"/>
      <c r="V206" s="1308"/>
      <c r="W206" s="1308"/>
      <c r="X206" s="1314"/>
    </row>
    <row r="207" spans="1:24" ht="18" customHeight="1" x14ac:dyDescent="0.25">
      <c r="A207" s="2024" t="s">
        <v>328</v>
      </c>
      <c r="B207" s="2023" t="s">
        <v>2062</v>
      </c>
      <c r="C207" s="2016" t="s">
        <v>2063</v>
      </c>
      <c r="D207" s="953" t="s">
        <v>194</v>
      </c>
      <c r="E207" s="1307" t="s">
        <v>557</v>
      </c>
      <c r="F207" s="1307" t="s">
        <v>462</v>
      </c>
      <c r="G207" s="1082" t="s">
        <v>1752</v>
      </c>
      <c r="H207" s="1308"/>
      <c r="I207" s="1308"/>
      <c r="J207" s="1308">
        <v>-46142</v>
      </c>
      <c r="K207" s="1308"/>
      <c r="L207" s="980"/>
      <c r="M207" s="1308"/>
      <c r="N207" s="1308"/>
      <c r="O207" s="1308"/>
      <c r="P207" s="981"/>
      <c r="Q207" s="1313"/>
      <c r="R207" s="1308"/>
      <c r="S207" s="1308"/>
      <c r="T207" s="1308"/>
      <c r="U207" s="1308"/>
      <c r="V207" s="1308"/>
      <c r="W207" s="1308"/>
      <c r="X207" s="1314"/>
    </row>
    <row r="208" spans="1:24" ht="18" customHeight="1" x14ac:dyDescent="0.25">
      <c r="A208" s="2024"/>
      <c r="B208" s="2023"/>
      <c r="C208" s="2016"/>
      <c r="D208" s="953" t="s">
        <v>199</v>
      </c>
      <c r="E208" s="1307" t="s">
        <v>557</v>
      </c>
      <c r="F208" s="1307" t="s">
        <v>462</v>
      </c>
      <c r="G208" s="1082" t="s">
        <v>1754</v>
      </c>
      <c r="H208" s="1308"/>
      <c r="I208" s="1308"/>
      <c r="J208" s="1308"/>
      <c r="K208" s="1308"/>
      <c r="L208" s="980"/>
      <c r="M208" s="1308">
        <v>46142</v>
      </c>
      <c r="N208" s="1308"/>
      <c r="O208" s="1308"/>
      <c r="P208" s="981"/>
      <c r="Q208" s="1313"/>
      <c r="R208" s="1308"/>
      <c r="S208" s="1308"/>
      <c r="T208" s="1308"/>
      <c r="U208" s="1308"/>
      <c r="V208" s="1308"/>
      <c r="W208" s="1308"/>
      <c r="X208" s="1314"/>
    </row>
    <row r="209" spans="1:24" ht="27.75" customHeight="1" x14ac:dyDescent="0.25">
      <c r="A209" s="1423" t="s">
        <v>329</v>
      </c>
      <c r="B209" s="1422" t="s">
        <v>2064</v>
      </c>
      <c r="C209" s="1490" t="s">
        <v>2065</v>
      </c>
      <c r="D209" s="953" t="s">
        <v>194</v>
      </c>
      <c r="E209" s="1307" t="s">
        <v>617</v>
      </c>
      <c r="F209" s="1307" t="s">
        <v>2066</v>
      </c>
      <c r="G209" s="1082" t="s">
        <v>1766</v>
      </c>
      <c r="H209" s="1308"/>
      <c r="I209" s="1308"/>
      <c r="J209" s="1308">
        <f>-500000+500000</f>
        <v>0</v>
      </c>
      <c r="K209" s="1308"/>
      <c r="L209" s="980"/>
      <c r="M209" s="1308"/>
      <c r="N209" s="1308"/>
      <c r="O209" s="1308"/>
      <c r="P209" s="981"/>
      <c r="Q209" s="1313"/>
      <c r="R209" s="1308"/>
      <c r="S209" s="1308"/>
      <c r="T209" s="1308"/>
      <c r="U209" s="1308"/>
      <c r="V209" s="1308"/>
      <c r="W209" s="1308"/>
      <c r="X209" s="1314"/>
    </row>
    <row r="210" spans="1:24" ht="20.25" customHeight="1" x14ac:dyDescent="0.25">
      <c r="A210" s="2024" t="s">
        <v>330</v>
      </c>
      <c r="B210" s="2023" t="s">
        <v>2067</v>
      </c>
      <c r="C210" s="2016" t="s">
        <v>2068</v>
      </c>
      <c r="D210" s="953" t="s">
        <v>201</v>
      </c>
      <c r="E210" s="1307" t="s">
        <v>73</v>
      </c>
      <c r="F210" s="1307" t="s">
        <v>1785</v>
      </c>
      <c r="G210" s="1082" t="s">
        <v>1752</v>
      </c>
      <c r="H210" s="1308"/>
      <c r="I210" s="1308"/>
      <c r="J210" s="1308"/>
      <c r="K210" s="1308"/>
      <c r="L210" s="980">
        <v>-2000000</v>
      </c>
      <c r="M210" s="1308"/>
      <c r="N210" s="1308"/>
      <c r="O210" s="1308"/>
      <c r="P210" s="981"/>
      <c r="Q210" s="1313"/>
      <c r="R210" s="1308"/>
      <c r="S210" s="1308"/>
      <c r="T210" s="1308"/>
      <c r="U210" s="1308"/>
      <c r="V210" s="1308"/>
      <c r="W210" s="1308"/>
      <c r="X210" s="1314"/>
    </row>
    <row r="211" spans="1:24" ht="20.25" customHeight="1" x14ac:dyDescent="0.25">
      <c r="A211" s="2024"/>
      <c r="B211" s="2023"/>
      <c r="C211" s="2016"/>
      <c r="D211" s="953" t="s">
        <v>194</v>
      </c>
      <c r="E211" s="1307" t="s">
        <v>130</v>
      </c>
      <c r="F211" s="1307" t="s">
        <v>2069</v>
      </c>
      <c r="G211" s="1082" t="s">
        <v>1754</v>
      </c>
      <c r="H211" s="1308"/>
      <c r="I211" s="1308"/>
      <c r="J211" s="1308">
        <f>1574803+425197</f>
        <v>2000000</v>
      </c>
      <c r="K211" s="1308"/>
      <c r="L211" s="980"/>
      <c r="M211" s="1308"/>
      <c r="N211" s="1308"/>
      <c r="O211" s="1308"/>
      <c r="P211" s="981"/>
      <c r="Q211" s="1313"/>
      <c r="R211" s="1308"/>
      <c r="S211" s="1308"/>
      <c r="T211" s="1308"/>
      <c r="U211" s="1308"/>
      <c r="V211" s="1308"/>
      <c r="W211" s="1308"/>
      <c r="X211" s="1314"/>
    </row>
    <row r="212" spans="1:24" ht="18" customHeight="1" x14ac:dyDescent="0.25">
      <c r="A212" s="2024" t="s">
        <v>331</v>
      </c>
      <c r="B212" s="2023" t="s">
        <v>2070</v>
      </c>
      <c r="C212" s="2016" t="s">
        <v>2071</v>
      </c>
      <c r="D212" s="953" t="s">
        <v>194</v>
      </c>
      <c r="E212" s="1307" t="s">
        <v>166</v>
      </c>
      <c r="F212" s="1307" t="s">
        <v>153</v>
      </c>
      <c r="G212" s="1082" t="s">
        <v>1754</v>
      </c>
      <c r="H212" s="1308"/>
      <c r="I212" s="1308"/>
      <c r="J212" s="1308"/>
      <c r="K212" s="1308"/>
      <c r="L212" s="980"/>
      <c r="M212" s="1308"/>
      <c r="N212" s="1308"/>
      <c r="O212" s="1308"/>
      <c r="P212" s="981"/>
      <c r="Q212" s="1313">
        <v>1484000</v>
      </c>
      <c r="R212" s="1308"/>
      <c r="S212" s="1308"/>
      <c r="T212" s="1308"/>
      <c r="U212" s="1308"/>
      <c r="V212" s="1308"/>
      <c r="W212" s="1308"/>
      <c r="X212" s="1314"/>
    </row>
    <row r="213" spans="1:24" ht="18" customHeight="1" x14ac:dyDescent="0.25">
      <c r="A213" s="2024"/>
      <c r="B213" s="2023"/>
      <c r="C213" s="2016"/>
      <c r="D213" s="953" t="s">
        <v>201</v>
      </c>
      <c r="E213" s="1307" t="s">
        <v>73</v>
      </c>
      <c r="F213" s="1307" t="s">
        <v>1785</v>
      </c>
      <c r="G213" s="1082" t="s">
        <v>1754</v>
      </c>
      <c r="H213" s="1308"/>
      <c r="I213" s="1308"/>
      <c r="J213" s="1308"/>
      <c r="K213" s="1308"/>
      <c r="L213" s="980">
        <v>1484000</v>
      </c>
      <c r="M213" s="1308"/>
      <c r="N213" s="1308"/>
      <c r="O213" s="1308"/>
      <c r="P213" s="981"/>
      <c r="Q213" s="1313"/>
      <c r="R213" s="1308"/>
      <c r="S213" s="1308"/>
      <c r="T213" s="1308"/>
      <c r="U213" s="1308"/>
      <c r="V213" s="1308"/>
      <c r="W213" s="1308"/>
      <c r="X213" s="1314"/>
    </row>
    <row r="214" spans="1:24" ht="21" customHeight="1" x14ac:dyDescent="0.25">
      <c r="A214" s="2024" t="s">
        <v>773</v>
      </c>
      <c r="B214" s="2023" t="s">
        <v>2073</v>
      </c>
      <c r="C214" s="2016" t="s">
        <v>2074</v>
      </c>
      <c r="D214" s="953" t="s">
        <v>201</v>
      </c>
      <c r="E214" s="1307" t="s">
        <v>73</v>
      </c>
      <c r="F214" s="1307" t="s">
        <v>1785</v>
      </c>
      <c r="G214" s="1082" t="s">
        <v>1752</v>
      </c>
      <c r="H214" s="1308"/>
      <c r="I214" s="1308"/>
      <c r="J214" s="1308"/>
      <c r="K214" s="1308"/>
      <c r="L214" s="980">
        <v>-477520</v>
      </c>
      <c r="M214" s="1308"/>
      <c r="N214" s="1308"/>
      <c r="O214" s="1308"/>
      <c r="P214" s="981"/>
      <c r="Q214" s="1313"/>
      <c r="R214" s="1308"/>
      <c r="S214" s="1308"/>
      <c r="T214" s="1308"/>
      <c r="U214" s="1308"/>
      <c r="V214" s="1308"/>
      <c r="W214" s="1308"/>
      <c r="X214" s="1314"/>
    </row>
    <row r="215" spans="1:24" ht="21" customHeight="1" x14ac:dyDescent="0.25">
      <c r="A215" s="2024"/>
      <c r="B215" s="2023"/>
      <c r="C215" s="2016"/>
      <c r="D215" s="953" t="s">
        <v>203</v>
      </c>
      <c r="E215" s="1307" t="s">
        <v>1297</v>
      </c>
      <c r="F215" s="1307" t="s">
        <v>550</v>
      </c>
      <c r="G215" s="1082" t="s">
        <v>1754</v>
      </c>
      <c r="H215" s="1308"/>
      <c r="I215" s="1308"/>
      <c r="J215" s="1308"/>
      <c r="K215" s="1308"/>
      <c r="L215" s="980"/>
      <c r="M215" s="1308"/>
      <c r="N215" s="1308"/>
      <c r="O215" s="1308"/>
      <c r="P215" s="981">
        <v>477520</v>
      </c>
      <c r="Q215" s="1313"/>
      <c r="R215" s="1308"/>
      <c r="S215" s="1308"/>
      <c r="T215" s="1308"/>
      <c r="U215" s="1308"/>
      <c r="V215" s="1308"/>
      <c r="W215" s="1308"/>
      <c r="X215" s="1314"/>
    </row>
    <row r="216" spans="1:24" ht="22.5" customHeight="1" x14ac:dyDescent="0.25">
      <c r="A216" s="2024" t="s">
        <v>798</v>
      </c>
      <c r="B216" s="2023" t="s">
        <v>2075</v>
      </c>
      <c r="C216" s="2016" t="s">
        <v>2076</v>
      </c>
      <c r="D216" s="953" t="s">
        <v>201</v>
      </c>
      <c r="E216" s="1307" t="s">
        <v>73</v>
      </c>
      <c r="F216" s="1307" t="s">
        <v>1785</v>
      </c>
      <c r="G216" s="1082" t="s">
        <v>1752</v>
      </c>
      <c r="H216" s="1308"/>
      <c r="I216" s="1308"/>
      <c r="J216" s="1308"/>
      <c r="K216" s="1308"/>
      <c r="L216" s="980">
        <v>-539750</v>
      </c>
      <c r="M216" s="1308"/>
      <c r="N216" s="1308"/>
      <c r="O216" s="1308"/>
      <c r="P216" s="981"/>
      <c r="Q216" s="1313"/>
      <c r="R216" s="1308"/>
      <c r="S216" s="1308"/>
      <c r="T216" s="1308"/>
      <c r="U216" s="1308"/>
      <c r="V216" s="1308"/>
      <c r="W216" s="1308"/>
      <c r="X216" s="1314"/>
    </row>
    <row r="217" spans="1:24" ht="22.5" customHeight="1" x14ac:dyDescent="0.25">
      <c r="A217" s="2024"/>
      <c r="B217" s="2023"/>
      <c r="C217" s="2016"/>
      <c r="D217" s="953" t="s">
        <v>200</v>
      </c>
      <c r="E217" s="1307" t="s">
        <v>641</v>
      </c>
      <c r="F217" s="1307" t="s">
        <v>133</v>
      </c>
      <c r="G217" s="1082" t="s">
        <v>1754</v>
      </c>
      <c r="H217" s="1308"/>
      <c r="I217" s="1308"/>
      <c r="J217" s="1308"/>
      <c r="K217" s="1308"/>
      <c r="L217" s="980"/>
      <c r="M217" s="1308"/>
      <c r="N217" s="1308">
        <f>425000+114750</f>
        <v>539750</v>
      </c>
      <c r="O217" s="1308"/>
      <c r="P217" s="981"/>
      <c r="Q217" s="1313"/>
      <c r="R217" s="1308"/>
      <c r="S217" s="1308"/>
      <c r="T217" s="1308"/>
      <c r="U217" s="1308"/>
      <c r="V217" s="1308"/>
      <c r="W217" s="1308"/>
      <c r="X217" s="1314"/>
    </row>
    <row r="218" spans="1:24" ht="22.5" customHeight="1" x14ac:dyDescent="0.25">
      <c r="A218" s="2024" t="s">
        <v>2531</v>
      </c>
      <c r="B218" s="2023" t="s">
        <v>2530</v>
      </c>
      <c r="C218" s="2016" t="s">
        <v>2207</v>
      </c>
      <c r="D218" s="953" t="s">
        <v>194</v>
      </c>
      <c r="E218" s="1307" t="s">
        <v>561</v>
      </c>
      <c r="F218" s="1307" t="s">
        <v>1448</v>
      </c>
      <c r="G218" s="1082" t="s">
        <v>1754</v>
      </c>
      <c r="H218" s="1308"/>
      <c r="I218" s="1308"/>
      <c r="J218" s="1308">
        <f>92126+24874</f>
        <v>117000</v>
      </c>
      <c r="K218" s="1308"/>
      <c r="L218" s="980"/>
      <c r="M218" s="1308"/>
      <c r="N218" s="1308"/>
      <c r="O218" s="1308"/>
      <c r="P218" s="981"/>
      <c r="Q218" s="1313"/>
      <c r="R218" s="1308">
        <v>4690003</v>
      </c>
      <c r="S218" s="1308"/>
      <c r="T218" s="1308"/>
      <c r="U218" s="1308"/>
      <c r="V218" s="1308"/>
      <c r="W218" s="1308"/>
      <c r="X218" s="1314"/>
    </row>
    <row r="219" spans="1:24" ht="22.5" customHeight="1" x14ac:dyDescent="0.25">
      <c r="A219" s="2024"/>
      <c r="B219" s="2023"/>
      <c r="C219" s="2016"/>
      <c r="D219" s="953" t="s">
        <v>200</v>
      </c>
      <c r="E219" s="1307" t="s">
        <v>561</v>
      </c>
      <c r="F219" s="1307" t="s">
        <v>1448</v>
      </c>
      <c r="G219" s="1082" t="s">
        <v>1754</v>
      </c>
      <c r="H219" s="1308"/>
      <c r="I219" s="1308"/>
      <c r="J219" s="1308"/>
      <c r="K219" s="1308"/>
      <c r="L219" s="980"/>
      <c r="M219" s="1308"/>
      <c r="N219" s="1308">
        <f>3600790+972213</f>
        <v>4573003</v>
      </c>
      <c r="O219" s="1308"/>
      <c r="P219" s="981"/>
      <c r="Q219" s="1313"/>
      <c r="R219" s="1308"/>
      <c r="S219" s="1308"/>
      <c r="T219" s="1308"/>
      <c r="U219" s="1308"/>
      <c r="V219" s="1308"/>
      <c r="W219" s="1308"/>
      <c r="X219" s="1314"/>
    </row>
    <row r="220" spans="1:24" ht="19.5" customHeight="1" x14ac:dyDescent="0.25">
      <c r="A220" s="2024" t="s">
        <v>800</v>
      </c>
      <c r="B220" s="2023" t="s">
        <v>2094</v>
      </c>
      <c r="C220" s="2016" t="s">
        <v>2095</v>
      </c>
      <c r="D220" s="953" t="s">
        <v>194</v>
      </c>
      <c r="E220" s="1307" t="s">
        <v>641</v>
      </c>
      <c r="F220" s="1307" t="s">
        <v>66</v>
      </c>
      <c r="G220" s="1082" t="s">
        <v>1754</v>
      </c>
      <c r="H220" s="1308"/>
      <c r="I220" s="1308"/>
      <c r="J220" s="1308"/>
      <c r="K220" s="1308"/>
      <c r="L220" s="980"/>
      <c r="M220" s="1308"/>
      <c r="N220" s="1308"/>
      <c r="O220" s="1308"/>
      <c r="P220" s="981"/>
      <c r="Q220" s="1313"/>
      <c r="R220" s="1308"/>
      <c r="S220" s="1308"/>
      <c r="T220" s="1308">
        <f>157480+42520</f>
        <v>200000</v>
      </c>
      <c r="U220" s="1308"/>
      <c r="V220" s="1308"/>
      <c r="W220" s="1308"/>
      <c r="X220" s="1314"/>
    </row>
    <row r="221" spans="1:24" ht="19.5" customHeight="1" x14ac:dyDescent="0.25">
      <c r="A221" s="2024"/>
      <c r="B221" s="2023"/>
      <c r="C221" s="2016"/>
      <c r="D221" s="953" t="s">
        <v>201</v>
      </c>
      <c r="E221" s="1307" t="s">
        <v>73</v>
      </c>
      <c r="F221" s="1307" t="s">
        <v>1785</v>
      </c>
      <c r="G221" s="1082" t="s">
        <v>1754</v>
      </c>
      <c r="H221" s="1308"/>
      <c r="I221" s="1308"/>
      <c r="J221" s="1308"/>
      <c r="K221" s="1308"/>
      <c r="L221" s="980">
        <v>200000</v>
      </c>
      <c r="M221" s="1308"/>
      <c r="N221" s="1308"/>
      <c r="O221" s="1308"/>
      <c r="P221" s="981"/>
      <c r="Q221" s="1313"/>
      <c r="R221" s="1308"/>
      <c r="S221" s="1308"/>
      <c r="T221" s="1308"/>
      <c r="U221" s="1308"/>
      <c r="V221" s="1308"/>
      <c r="W221" s="1308"/>
      <c r="X221" s="1314"/>
    </row>
    <row r="222" spans="1:24" ht="18" customHeight="1" x14ac:dyDescent="0.25">
      <c r="A222" s="2024" t="s">
        <v>801</v>
      </c>
      <c r="B222" s="2023" t="s">
        <v>2096</v>
      </c>
      <c r="C222" s="2016" t="s">
        <v>2097</v>
      </c>
      <c r="D222" s="953" t="s">
        <v>194</v>
      </c>
      <c r="E222" s="1307" t="s">
        <v>130</v>
      </c>
      <c r="F222" s="1307" t="s">
        <v>2098</v>
      </c>
      <c r="G222" s="1082" t="s">
        <v>1754</v>
      </c>
      <c r="H222" s="1308"/>
      <c r="I222" s="1308"/>
      <c r="J222" s="1308"/>
      <c r="K222" s="1308"/>
      <c r="L222" s="980"/>
      <c r="M222" s="1308"/>
      <c r="N222" s="1308"/>
      <c r="O222" s="1308"/>
      <c r="P222" s="981"/>
      <c r="Q222" s="1313"/>
      <c r="R222" s="1308"/>
      <c r="S222" s="1308"/>
      <c r="T222" s="1308">
        <v>69124</v>
      </c>
      <c r="U222" s="1308"/>
      <c r="V222" s="1308"/>
      <c r="W222" s="1308"/>
      <c r="X222" s="1314"/>
    </row>
    <row r="223" spans="1:24" ht="18" customHeight="1" x14ac:dyDescent="0.25">
      <c r="A223" s="2024"/>
      <c r="B223" s="2023"/>
      <c r="C223" s="2016"/>
      <c r="D223" s="953" t="s">
        <v>201</v>
      </c>
      <c r="E223" s="1307" t="s">
        <v>73</v>
      </c>
      <c r="F223" s="1307" t="s">
        <v>1785</v>
      </c>
      <c r="G223" s="1082" t="s">
        <v>1754</v>
      </c>
      <c r="H223" s="1308"/>
      <c r="I223" s="1308"/>
      <c r="J223" s="1308"/>
      <c r="K223" s="1308"/>
      <c r="L223" s="980">
        <v>69124</v>
      </c>
      <c r="M223" s="1308"/>
      <c r="N223" s="1308"/>
      <c r="O223" s="1308"/>
      <c r="P223" s="981"/>
      <c r="Q223" s="1313"/>
      <c r="R223" s="1308"/>
      <c r="S223" s="1308"/>
      <c r="T223" s="1308"/>
      <c r="U223" s="1308"/>
      <c r="V223" s="1308"/>
      <c r="W223" s="1308"/>
      <c r="X223" s="1314"/>
    </row>
    <row r="224" spans="1:24" ht="18" customHeight="1" x14ac:dyDescent="0.25">
      <c r="A224" s="2024" t="s">
        <v>802</v>
      </c>
      <c r="B224" s="2023" t="s">
        <v>2099</v>
      </c>
      <c r="C224" s="2016" t="s">
        <v>2118</v>
      </c>
      <c r="D224" s="953" t="s">
        <v>199</v>
      </c>
      <c r="E224" s="1307" t="s">
        <v>601</v>
      </c>
      <c r="F224" s="1307" t="s">
        <v>127</v>
      </c>
      <c r="G224" s="1082" t="s">
        <v>1752</v>
      </c>
      <c r="H224" s="1308"/>
      <c r="I224" s="1308"/>
      <c r="J224" s="1308"/>
      <c r="K224" s="1308"/>
      <c r="L224" s="980"/>
      <c r="M224" s="1308">
        <v>-20250000</v>
      </c>
      <c r="N224" s="1308"/>
      <c r="O224" s="1308"/>
      <c r="P224" s="981"/>
      <c r="Q224" s="1313"/>
      <c r="R224" s="1308"/>
      <c r="S224" s="1308"/>
      <c r="T224" s="1308"/>
      <c r="U224" s="1308"/>
      <c r="V224" s="1308"/>
      <c r="W224" s="1308"/>
      <c r="X224" s="1314"/>
    </row>
    <row r="225" spans="1:24" ht="18" customHeight="1" x14ac:dyDescent="0.25">
      <c r="A225" s="2024"/>
      <c r="B225" s="2023"/>
      <c r="C225" s="2016"/>
      <c r="D225" s="953" t="s">
        <v>199</v>
      </c>
      <c r="E225" s="1307" t="s">
        <v>129</v>
      </c>
      <c r="F225" s="1307" t="s">
        <v>90</v>
      </c>
      <c r="G225" s="1082" t="s">
        <v>1752</v>
      </c>
      <c r="H225" s="1308"/>
      <c r="I225" s="1308"/>
      <c r="J225" s="1308"/>
      <c r="K225" s="1308"/>
      <c r="L225" s="980"/>
      <c r="M225" s="1308">
        <v>-6377953</v>
      </c>
      <c r="N225" s="1308"/>
      <c r="O225" s="1308"/>
      <c r="P225" s="981"/>
      <c r="Q225" s="1313"/>
      <c r="R225" s="1308"/>
      <c r="S225" s="1308"/>
      <c r="T225" s="1308"/>
      <c r="U225" s="1308"/>
      <c r="V225" s="1308"/>
      <c r="W225" s="1308"/>
      <c r="X225" s="1314"/>
    </row>
    <row r="226" spans="1:24" ht="18" customHeight="1" x14ac:dyDescent="0.25">
      <c r="A226" s="2024"/>
      <c r="B226" s="2023"/>
      <c r="C226" s="2016"/>
      <c r="D226" s="953" t="s">
        <v>194</v>
      </c>
      <c r="E226" s="1307" t="s">
        <v>73</v>
      </c>
      <c r="F226" s="1307" t="s">
        <v>2100</v>
      </c>
      <c r="G226" s="1082" t="s">
        <v>1754</v>
      </c>
      <c r="H226" s="1308"/>
      <c r="I226" s="1308"/>
      <c r="J226" s="1308">
        <v>26627953</v>
      </c>
      <c r="K226" s="1308"/>
      <c r="L226" s="980"/>
      <c r="M226" s="1308"/>
      <c r="N226" s="1308"/>
      <c r="O226" s="1308"/>
      <c r="P226" s="981"/>
      <c r="Q226" s="1313"/>
      <c r="R226" s="1308"/>
      <c r="S226" s="1308"/>
      <c r="T226" s="1308"/>
      <c r="U226" s="1308"/>
      <c r="V226" s="1308"/>
      <c r="W226" s="1308"/>
      <c r="X226" s="1314"/>
    </row>
    <row r="227" spans="1:24" ht="23.25" customHeight="1" x14ac:dyDescent="0.25">
      <c r="A227" s="2024" t="s">
        <v>803</v>
      </c>
      <c r="B227" s="2023" t="s">
        <v>2107</v>
      </c>
      <c r="C227" s="2016" t="s">
        <v>2108</v>
      </c>
      <c r="D227" s="953" t="s">
        <v>204</v>
      </c>
      <c r="E227" s="1307" t="s">
        <v>1753</v>
      </c>
      <c r="F227" s="1307" t="s">
        <v>1784</v>
      </c>
      <c r="G227" s="1082" t="s">
        <v>1754</v>
      </c>
      <c r="H227" s="1308"/>
      <c r="I227" s="1308"/>
      <c r="J227" s="1308"/>
      <c r="K227" s="1308"/>
      <c r="L227" s="980"/>
      <c r="M227" s="1308"/>
      <c r="N227" s="1308"/>
      <c r="O227" s="1308"/>
      <c r="P227" s="981"/>
      <c r="Q227" s="1313">
        <v>2663304</v>
      </c>
      <c r="R227" s="1308"/>
      <c r="S227" s="1308"/>
      <c r="T227" s="1308"/>
      <c r="U227" s="1308"/>
      <c r="V227" s="1308"/>
      <c r="W227" s="1308"/>
      <c r="X227" s="1314"/>
    </row>
    <row r="228" spans="1:24" ht="23.25" customHeight="1" x14ac:dyDescent="0.25">
      <c r="A228" s="2024"/>
      <c r="B228" s="2023"/>
      <c r="C228" s="2016"/>
      <c r="D228" s="953" t="s">
        <v>201</v>
      </c>
      <c r="E228" s="1307" t="s">
        <v>73</v>
      </c>
      <c r="F228" s="1307" t="s">
        <v>1785</v>
      </c>
      <c r="G228" s="1082" t="s">
        <v>1754</v>
      </c>
      <c r="H228" s="1308"/>
      <c r="I228" s="1308"/>
      <c r="J228" s="1308"/>
      <c r="K228" s="1308"/>
      <c r="L228" s="980">
        <v>2663304</v>
      </c>
      <c r="M228" s="1308"/>
      <c r="N228" s="1308"/>
      <c r="O228" s="1308"/>
      <c r="P228" s="981"/>
      <c r="Q228" s="1313"/>
      <c r="R228" s="1308"/>
      <c r="S228" s="1308"/>
      <c r="T228" s="1308"/>
      <c r="U228" s="1308"/>
      <c r="V228" s="1308"/>
      <c r="W228" s="1308"/>
      <c r="X228" s="1314"/>
    </row>
    <row r="229" spans="1:24" ht="21.75" customHeight="1" x14ac:dyDescent="0.25">
      <c r="A229" s="1423" t="s">
        <v>804</v>
      </c>
      <c r="B229" s="1422" t="s">
        <v>2109</v>
      </c>
      <c r="C229" s="1490" t="s">
        <v>2110</v>
      </c>
      <c r="D229" s="953" t="s">
        <v>204</v>
      </c>
      <c r="E229" s="1307" t="s">
        <v>1753</v>
      </c>
      <c r="F229" s="1307" t="s">
        <v>1784</v>
      </c>
      <c r="G229" s="1082" t="s">
        <v>1754</v>
      </c>
      <c r="H229" s="1308"/>
      <c r="I229" s="1308"/>
      <c r="J229" s="1308"/>
      <c r="K229" s="1308"/>
      <c r="L229" s="980"/>
      <c r="M229" s="1308"/>
      <c r="N229" s="1308"/>
      <c r="O229" s="1308"/>
      <c r="P229" s="981">
        <v>33373175</v>
      </c>
      <c r="Q229" s="1313"/>
      <c r="R229" s="1308"/>
      <c r="S229" s="1308"/>
      <c r="T229" s="1308"/>
      <c r="U229" s="1308"/>
      <c r="V229" s="1308"/>
      <c r="W229" s="1308"/>
      <c r="X229" s="1314">
        <v>33373175</v>
      </c>
    </row>
    <row r="230" spans="1:24" ht="16.5" customHeight="1" x14ac:dyDescent="0.25">
      <c r="A230" s="2024" t="s">
        <v>1492</v>
      </c>
      <c r="B230" s="2023" t="s">
        <v>2111</v>
      </c>
      <c r="C230" s="2016" t="s">
        <v>2113</v>
      </c>
      <c r="D230" s="953" t="s">
        <v>194</v>
      </c>
      <c r="E230" s="1307" t="s">
        <v>1838</v>
      </c>
      <c r="F230" s="1307" t="s">
        <v>1837</v>
      </c>
      <c r="G230" s="1082" t="s">
        <v>1752</v>
      </c>
      <c r="H230" s="1308"/>
      <c r="I230" s="1308"/>
      <c r="J230" s="1308">
        <f>-681000-183870</f>
        <v>-864870</v>
      </c>
      <c r="K230" s="1308"/>
      <c r="L230" s="980"/>
      <c r="M230" s="1308"/>
      <c r="N230" s="1308"/>
      <c r="O230" s="1308"/>
      <c r="P230" s="981"/>
      <c r="Q230" s="1313"/>
      <c r="R230" s="1308"/>
      <c r="S230" s="1308"/>
      <c r="T230" s="1308"/>
      <c r="U230" s="1308"/>
      <c r="V230" s="1308"/>
      <c r="W230" s="1308"/>
      <c r="X230" s="1314"/>
    </row>
    <row r="231" spans="1:24" ht="16.5" customHeight="1" x14ac:dyDescent="0.25">
      <c r="A231" s="2024"/>
      <c r="B231" s="2023"/>
      <c r="C231" s="2016"/>
      <c r="D231" s="953" t="s">
        <v>199</v>
      </c>
      <c r="E231" s="1307" t="s">
        <v>1838</v>
      </c>
      <c r="F231" s="1307" t="s">
        <v>1837</v>
      </c>
      <c r="G231" s="1082" t="s">
        <v>1754</v>
      </c>
      <c r="H231" s="1308"/>
      <c r="I231" s="1308"/>
      <c r="J231" s="1308"/>
      <c r="K231" s="1308"/>
      <c r="L231" s="980"/>
      <c r="M231" s="1308">
        <f>681000+183870</f>
        <v>864870</v>
      </c>
      <c r="N231" s="1308"/>
      <c r="O231" s="1308"/>
      <c r="P231" s="981"/>
      <c r="Q231" s="1313"/>
      <c r="R231" s="1308"/>
      <c r="S231" s="1308"/>
      <c r="T231" s="1308"/>
      <c r="U231" s="1308"/>
      <c r="V231" s="1308"/>
      <c r="W231" s="1308"/>
      <c r="X231" s="1314"/>
    </row>
    <row r="232" spans="1:24" ht="16.5" customHeight="1" x14ac:dyDescent="0.25">
      <c r="A232" s="2024" t="s">
        <v>1493</v>
      </c>
      <c r="B232" s="2023" t="s">
        <v>2119</v>
      </c>
      <c r="C232" s="2016" t="s">
        <v>2120</v>
      </c>
      <c r="D232" s="953" t="s">
        <v>199</v>
      </c>
      <c r="E232" s="1307" t="s">
        <v>601</v>
      </c>
      <c r="F232" s="1307" t="s">
        <v>127</v>
      </c>
      <c r="G232" s="1082" t="s">
        <v>1752</v>
      </c>
      <c r="H232" s="1308"/>
      <c r="I232" s="1308"/>
      <c r="J232" s="1308"/>
      <c r="K232" s="1308"/>
      <c r="L232" s="980"/>
      <c r="M232" s="1308">
        <v>-49343</v>
      </c>
      <c r="N232" s="1308"/>
      <c r="O232" s="1308"/>
      <c r="P232" s="981"/>
      <c r="Q232" s="1313"/>
      <c r="R232" s="1308"/>
      <c r="S232" s="1308"/>
      <c r="T232" s="1308"/>
      <c r="U232" s="1308"/>
      <c r="V232" s="1308"/>
      <c r="W232" s="1308"/>
      <c r="X232" s="1314"/>
    </row>
    <row r="233" spans="1:24" ht="16.5" customHeight="1" x14ac:dyDescent="0.25">
      <c r="A233" s="2024"/>
      <c r="B233" s="2023"/>
      <c r="C233" s="2016"/>
      <c r="D233" s="953" t="s">
        <v>194</v>
      </c>
      <c r="E233" s="1307" t="s">
        <v>844</v>
      </c>
      <c r="F233" s="1307" t="s">
        <v>1802</v>
      </c>
      <c r="G233" s="1082" t="s">
        <v>1754</v>
      </c>
      <c r="H233" s="1308"/>
      <c r="I233" s="1308"/>
      <c r="J233" s="1308">
        <f>38853+10490</f>
        <v>49343</v>
      </c>
      <c r="K233" s="1308"/>
      <c r="L233" s="980"/>
      <c r="M233" s="1308"/>
      <c r="N233" s="1308"/>
      <c r="O233" s="1308"/>
      <c r="P233" s="981"/>
      <c r="Q233" s="1313"/>
      <c r="R233" s="1308"/>
      <c r="S233" s="1308"/>
      <c r="T233" s="1308"/>
      <c r="U233" s="1308"/>
      <c r="V233" s="1308"/>
      <c r="W233" s="1308"/>
      <c r="X233" s="1314"/>
    </row>
    <row r="234" spans="1:24" ht="23.25" customHeight="1" x14ac:dyDescent="0.25">
      <c r="A234" s="2024" t="s">
        <v>805</v>
      </c>
      <c r="B234" s="2023" t="s">
        <v>2128</v>
      </c>
      <c r="C234" s="2016" t="s">
        <v>2129</v>
      </c>
      <c r="D234" s="953" t="s">
        <v>200</v>
      </c>
      <c r="E234" s="1307" t="s">
        <v>129</v>
      </c>
      <c r="F234" s="1307" t="s">
        <v>128</v>
      </c>
      <c r="G234" s="1082" t="s">
        <v>1766</v>
      </c>
      <c r="H234" s="1308"/>
      <c r="I234" s="1308"/>
      <c r="J234" s="1308"/>
      <c r="K234" s="1308"/>
      <c r="L234" s="980"/>
      <c r="M234" s="1308"/>
      <c r="N234" s="1308">
        <f>-2372367+5695296-640539+1537730</f>
        <v>4220120</v>
      </c>
      <c r="O234" s="1308"/>
      <c r="P234" s="981"/>
      <c r="Q234" s="1313"/>
      <c r="R234" s="1308"/>
      <c r="S234" s="1308"/>
      <c r="T234" s="1308"/>
      <c r="U234" s="1308"/>
      <c r="V234" s="1308"/>
      <c r="W234" s="1308"/>
      <c r="X234" s="1314"/>
    </row>
    <row r="235" spans="1:24" ht="24.75" customHeight="1" x14ac:dyDescent="0.25">
      <c r="A235" s="2024"/>
      <c r="B235" s="2023"/>
      <c r="C235" s="2016"/>
      <c r="D235" s="953" t="s">
        <v>200</v>
      </c>
      <c r="E235" s="1307" t="s">
        <v>563</v>
      </c>
      <c r="F235" s="1307" t="s">
        <v>777</v>
      </c>
      <c r="G235" s="1082" t="s">
        <v>1766</v>
      </c>
      <c r="H235" s="1308"/>
      <c r="I235" s="1308"/>
      <c r="J235" s="1308"/>
      <c r="K235" s="1308"/>
      <c r="L235" s="980"/>
      <c r="M235" s="1308"/>
      <c r="N235" s="1308">
        <f>-5695296+2372367-1537730+640539</f>
        <v>-4220120</v>
      </c>
      <c r="O235" s="1308"/>
      <c r="P235" s="981"/>
      <c r="Q235" s="1313"/>
      <c r="R235" s="1308"/>
      <c r="S235" s="1308"/>
      <c r="T235" s="1308"/>
      <c r="U235" s="1308"/>
      <c r="V235" s="1308"/>
      <c r="W235" s="1308"/>
      <c r="X235" s="1314"/>
    </row>
    <row r="236" spans="1:24" ht="18" customHeight="1" x14ac:dyDescent="0.25">
      <c r="A236" s="2024" t="s">
        <v>806</v>
      </c>
      <c r="B236" s="2023" t="s">
        <v>2130</v>
      </c>
      <c r="C236" s="2016" t="s">
        <v>1869</v>
      </c>
      <c r="D236" s="953" t="s">
        <v>194</v>
      </c>
      <c r="E236" s="1307" t="s">
        <v>130</v>
      </c>
      <c r="F236" s="1307" t="s">
        <v>153</v>
      </c>
      <c r="G236" s="1082" t="s">
        <v>1754</v>
      </c>
      <c r="H236" s="1308"/>
      <c r="I236" s="1308"/>
      <c r="J236" s="1308"/>
      <c r="K236" s="1308"/>
      <c r="L236" s="980"/>
      <c r="M236" s="1308"/>
      <c r="N236" s="1308"/>
      <c r="O236" s="1308"/>
      <c r="P236" s="981"/>
      <c r="Q236" s="1313"/>
      <c r="R236" s="1308"/>
      <c r="S236" s="1308"/>
      <c r="T236" s="1308">
        <v>10000</v>
      </c>
      <c r="U236" s="1308"/>
      <c r="V236" s="1308"/>
      <c r="W236" s="1308"/>
      <c r="X236" s="1314"/>
    </row>
    <row r="237" spans="1:24" ht="18" customHeight="1" x14ac:dyDescent="0.25">
      <c r="A237" s="2024"/>
      <c r="B237" s="2023"/>
      <c r="C237" s="2016"/>
      <c r="D237" s="953" t="s">
        <v>201</v>
      </c>
      <c r="E237" s="1307" t="s">
        <v>73</v>
      </c>
      <c r="F237" s="1307" t="s">
        <v>1785</v>
      </c>
      <c r="G237" s="1082" t="s">
        <v>1754</v>
      </c>
      <c r="H237" s="1308"/>
      <c r="I237" s="1308"/>
      <c r="J237" s="1308"/>
      <c r="K237" s="1308"/>
      <c r="L237" s="980">
        <v>10000</v>
      </c>
      <c r="M237" s="1308"/>
      <c r="N237" s="1308"/>
      <c r="O237" s="1308"/>
      <c r="P237" s="981"/>
      <c r="Q237" s="1313"/>
      <c r="R237" s="1308"/>
      <c r="S237" s="1308"/>
      <c r="T237" s="1308"/>
      <c r="U237" s="1308"/>
      <c r="V237" s="1308"/>
      <c r="W237" s="1308"/>
      <c r="X237" s="1314"/>
    </row>
    <row r="238" spans="1:24" ht="18.75" customHeight="1" x14ac:dyDescent="0.25">
      <c r="A238" s="2024" t="s">
        <v>807</v>
      </c>
      <c r="B238" s="2023" t="s">
        <v>2131</v>
      </c>
      <c r="C238" s="2016" t="s">
        <v>2097</v>
      </c>
      <c r="D238" s="953" t="s">
        <v>194</v>
      </c>
      <c r="E238" s="1307" t="s">
        <v>130</v>
      </c>
      <c r="F238" s="1307" t="s">
        <v>2098</v>
      </c>
      <c r="G238" s="1082" t="s">
        <v>1754</v>
      </c>
      <c r="H238" s="1308"/>
      <c r="I238" s="1308"/>
      <c r="J238" s="1308"/>
      <c r="K238" s="1308"/>
      <c r="L238" s="980"/>
      <c r="M238" s="1308"/>
      <c r="N238" s="1308"/>
      <c r="O238" s="1308"/>
      <c r="P238" s="981"/>
      <c r="Q238" s="1313"/>
      <c r="R238" s="1308"/>
      <c r="S238" s="1308"/>
      <c r="T238" s="1308">
        <v>104600</v>
      </c>
      <c r="U238" s="1308"/>
      <c r="V238" s="1308"/>
      <c r="W238" s="1308"/>
      <c r="X238" s="1314"/>
    </row>
    <row r="239" spans="1:24" ht="18.75" customHeight="1" x14ac:dyDescent="0.25">
      <c r="A239" s="2024"/>
      <c r="B239" s="2023"/>
      <c r="C239" s="2016"/>
      <c r="D239" s="953" t="s">
        <v>201</v>
      </c>
      <c r="E239" s="1307" t="s">
        <v>73</v>
      </c>
      <c r="F239" s="1307" t="s">
        <v>1785</v>
      </c>
      <c r="G239" s="1082" t="s">
        <v>1754</v>
      </c>
      <c r="H239" s="1308"/>
      <c r="I239" s="1308"/>
      <c r="J239" s="1308"/>
      <c r="K239" s="1308"/>
      <c r="L239" s="980">
        <v>104600</v>
      </c>
      <c r="M239" s="1308"/>
      <c r="N239" s="1308"/>
      <c r="O239" s="1308"/>
      <c r="P239" s="981"/>
      <c r="Q239" s="1313"/>
      <c r="R239" s="1308"/>
      <c r="S239" s="1308"/>
      <c r="T239" s="1308"/>
      <c r="U239" s="1308"/>
      <c r="V239" s="1308"/>
      <c r="W239" s="1308"/>
      <c r="X239" s="1314"/>
    </row>
    <row r="240" spans="1:24" ht="27" customHeight="1" x14ac:dyDescent="0.25">
      <c r="A240" s="2024" t="s">
        <v>808</v>
      </c>
      <c r="B240" s="2023" t="s">
        <v>2132</v>
      </c>
      <c r="C240" s="2016" t="s">
        <v>2133</v>
      </c>
      <c r="D240" s="953" t="s">
        <v>201</v>
      </c>
      <c r="E240" s="1307" t="s">
        <v>73</v>
      </c>
      <c r="F240" s="1307" t="s">
        <v>1785</v>
      </c>
      <c r="G240" s="1082" t="s">
        <v>1752</v>
      </c>
      <c r="H240" s="1308"/>
      <c r="I240" s="1308"/>
      <c r="J240" s="1308"/>
      <c r="K240" s="1308"/>
      <c r="L240" s="980">
        <v>-81769454</v>
      </c>
      <c r="M240" s="1308"/>
      <c r="N240" s="1308"/>
      <c r="O240" s="1308"/>
      <c r="P240" s="981"/>
      <c r="Q240" s="1313"/>
      <c r="R240" s="1308"/>
      <c r="S240" s="1308"/>
      <c r="T240" s="1308"/>
      <c r="U240" s="1308"/>
      <c r="V240" s="1308"/>
      <c r="W240" s="1308"/>
      <c r="X240" s="1314"/>
    </row>
    <row r="241" spans="1:24" ht="27" customHeight="1" x14ac:dyDescent="0.25">
      <c r="A241" s="2024"/>
      <c r="B241" s="2023"/>
      <c r="C241" s="2016"/>
      <c r="D241" s="953" t="s">
        <v>201</v>
      </c>
      <c r="E241" s="1307" t="s">
        <v>73</v>
      </c>
      <c r="F241" s="1307" t="s">
        <v>1785</v>
      </c>
      <c r="G241" s="1082" t="s">
        <v>1754</v>
      </c>
      <c r="H241" s="1308"/>
      <c r="I241" s="1308"/>
      <c r="J241" s="1308"/>
      <c r="K241" s="1308"/>
      <c r="L241" s="980">
        <v>81769454</v>
      </c>
      <c r="M241" s="1308"/>
      <c r="N241" s="1308"/>
      <c r="O241" s="1308"/>
      <c r="P241" s="981"/>
      <c r="Q241" s="1313"/>
      <c r="R241" s="1308"/>
      <c r="S241" s="1308"/>
      <c r="T241" s="1308"/>
      <c r="U241" s="1308"/>
      <c r="V241" s="1308"/>
      <c r="W241" s="1308"/>
      <c r="X241" s="1314"/>
    </row>
    <row r="242" spans="1:24" ht="20.25" customHeight="1" x14ac:dyDescent="0.25">
      <c r="A242" s="2024" t="s">
        <v>811</v>
      </c>
      <c r="B242" s="2023" t="s">
        <v>2134</v>
      </c>
      <c r="C242" s="2016" t="s">
        <v>2135</v>
      </c>
      <c r="D242" s="953" t="s">
        <v>201</v>
      </c>
      <c r="E242" s="1307" t="s">
        <v>73</v>
      </c>
      <c r="F242" s="1307" t="s">
        <v>1785</v>
      </c>
      <c r="G242" s="1082" t="s">
        <v>1752</v>
      </c>
      <c r="H242" s="1308"/>
      <c r="I242" s="1308"/>
      <c r="J242" s="1308"/>
      <c r="K242" s="1308"/>
      <c r="L242" s="980">
        <v>-17384058</v>
      </c>
      <c r="M242" s="1308"/>
      <c r="N242" s="1308"/>
      <c r="O242" s="1308"/>
      <c r="P242" s="981"/>
      <c r="Q242" s="1313"/>
      <c r="R242" s="1308"/>
      <c r="S242" s="1308"/>
      <c r="T242" s="1308"/>
      <c r="U242" s="1308"/>
      <c r="V242" s="1308"/>
      <c r="W242" s="1308"/>
      <c r="X242" s="1314"/>
    </row>
    <row r="243" spans="1:24" ht="20.25" customHeight="1" x14ac:dyDescent="0.25">
      <c r="A243" s="2024"/>
      <c r="B243" s="2023"/>
      <c r="C243" s="2016"/>
      <c r="D243" s="953" t="s">
        <v>194</v>
      </c>
      <c r="E243" s="1307" t="s">
        <v>73</v>
      </c>
      <c r="F243" s="1307" t="s">
        <v>2100</v>
      </c>
      <c r="G243" s="1082" t="s">
        <v>1754</v>
      </c>
      <c r="H243" s="1308"/>
      <c r="I243" s="1308"/>
      <c r="J243" s="1308">
        <v>17384058</v>
      </c>
      <c r="K243" s="1308"/>
      <c r="L243" s="980"/>
      <c r="M243" s="1308"/>
      <c r="N243" s="1308"/>
      <c r="O243" s="1308"/>
      <c r="P243" s="981"/>
      <c r="Q243" s="1313"/>
      <c r="R243" s="1308"/>
      <c r="S243" s="1308"/>
      <c r="T243" s="1308"/>
      <c r="U243" s="1308"/>
      <c r="V243" s="1308"/>
      <c r="W243" s="1308"/>
      <c r="X243" s="1314"/>
    </row>
    <row r="244" spans="1:24" ht="17.25" customHeight="1" x14ac:dyDescent="0.25">
      <c r="A244" s="2024" t="s">
        <v>812</v>
      </c>
      <c r="B244" s="2023" t="s">
        <v>2136</v>
      </c>
      <c r="C244" s="2016" t="s">
        <v>2137</v>
      </c>
      <c r="D244" s="953" t="s">
        <v>201</v>
      </c>
      <c r="E244" s="1307" t="s">
        <v>73</v>
      </c>
      <c r="F244" s="1307" t="s">
        <v>1785</v>
      </c>
      <c r="G244" s="1082" t="s">
        <v>1752</v>
      </c>
      <c r="H244" s="1308"/>
      <c r="I244" s="1308"/>
      <c r="J244" s="1308"/>
      <c r="K244" s="1308"/>
      <c r="L244" s="980">
        <v>-8087000</v>
      </c>
      <c r="M244" s="1308"/>
      <c r="N244" s="1308"/>
      <c r="O244" s="1308"/>
      <c r="P244" s="981"/>
      <c r="Q244" s="1313"/>
      <c r="R244" s="1308"/>
      <c r="S244" s="1308"/>
      <c r="T244" s="1308"/>
      <c r="U244" s="1308"/>
      <c r="V244" s="1308"/>
      <c r="W244" s="1308"/>
      <c r="X244" s="1314"/>
    </row>
    <row r="245" spans="1:24" ht="18" customHeight="1" x14ac:dyDescent="0.25">
      <c r="A245" s="2024"/>
      <c r="B245" s="2023"/>
      <c r="C245" s="2016"/>
      <c r="D245" s="953" t="s">
        <v>194</v>
      </c>
      <c r="E245" s="1307" t="s">
        <v>73</v>
      </c>
      <c r="F245" s="1307" t="s">
        <v>2100</v>
      </c>
      <c r="G245" s="1082" t="s">
        <v>1754</v>
      </c>
      <c r="H245" s="1308"/>
      <c r="I245" s="1308"/>
      <c r="J245" s="1308">
        <v>8087000</v>
      </c>
      <c r="K245" s="1308"/>
      <c r="L245" s="980"/>
      <c r="M245" s="1308"/>
      <c r="N245" s="1308"/>
      <c r="O245" s="1308"/>
      <c r="P245" s="981"/>
      <c r="Q245" s="1313"/>
      <c r="R245" s="1308"/>
      <c r="S245" s="1308"/>
      <c r="T245" s="1308"/>
      <c r="U245" s="1308"/>
      <c r="V245" s="1308"/>
      <c r="W245" s="1308"/>
      <c r="X245" s="1314"/>
    </row>
    <row r="246" spans="1:24" ht="15.75" customHeight="1" x14ac:dyDescent="0.25">
      <c r="A246" s="2024" t="s">
        <v>813</v>
      </c>
      <c r="B246" s="2023" t="s">
        <v>2138</v>
      </c>
      <c r="C246" s="2016" t="s">
        <v>2139</v>
      </c>
      <c r="D246" s="953" t="s">
        <v>199</v>
      </c>
      <c r="E246" s="1307" t="s">
        <v>129</v>
      </c>
      <c r="F246" s="1307" t="s">
        <v>128</v>
      </c>
      <c r="G246" s="1307" t="s">
        <v>1766</v>
      </c>
      <c r="H246" s="1308"/>
      <c r="I246" s="1308"/>
      <c r="J246" s="1308"/>
      <c r="K246" s="1308"/>
      <c r="L246" s="980"/>
      <c r="M246" s="1308">
        <f>-19282802+19282802</f>
        <v>0</v>
      </c>
      <c r="N246" s="1308"/>
      <c r="O246" s="1308"/>
      <c r="P246" s="981"/>
      <c r="Q246" s="1313"/>
      <c r="R246" s="1308"/>
      <c r="S246" s="1308"/>
      <c r="T246" s="1308"/>
      <c r="U246" s="1308"/>
      <c r="V246" s="1308"/>
      <c r="W246" s="1308"/>
      <c r="X246" s="1314"/>
    </row>
    <row r="247" spans="1:24" ht="15.75" customHeight="1" x14ac:dyDescent="0.25">
      <c r="A247" s="2024"/>
      <c r="B247" s="2023"/>
      <c r="C247" s="2016"/>
      <c r="D247" s="953" t="s">
        <v>200</v>
      </c>
      <c r="E247" s="1307" t="s">
        <v>129</v>
      </c>
      <c r="F247" s="1307" t="s">
        <v>128</v>
      </c>
      <c r="G247" s="1307" t="s">
        <v>1754</v>
      </c>
      <c r="H247" s="1308"/>
      <c r="I247" s="1308"/>
      <c r="J247" s="1308"/>
      <c r="K247" s="1308"/>
      <c r="L247" s="980"/>
      <c r="M247" s="1308"/>
      <c r="N247" s="1308">
        <f>19523002+5271210</f>
        <v>24794212</v>
      </c>
      <c r="O247" s="1308"/>
      <c r="P247" s="981"/>
      <c r="Q247" s="1313"/>
      <c r="R247" s="1308"/>
      <c r="S247" s="1308"/>
      <c r="T247" s="1308"/>
      <c r="U247" s="1308"/>
      <c r="V247" s="1308"/>
      <c r="W247" s="1308"/>
      <c r="X247" s="1314"/>
    </row>
    <row r="248" spans="1:24" ht="15.75" customHeight="1" x14ac:dyDescent="0.25">
      <c r="A248" s="2024"/>
      <c r="B248" s="2023"/>
      <c r="C248" s="2016"/>
      <c r="D248" s="953">
        <v>1</v>
      </c>
      <c r="E248" s="1307" t="s">
        <v>129</v>
      </c>
      <c r="F248" s="1307" t="s">
        <v>128</v>
      </c>
      <c r="G248" s="1307" t="s">
        <v>1766</v>
      </c>
      <c r="H248" s="1308"/>
      <c r="I248" s="1308"/>
      <c r="J248" s="1308">
        <f>-5206356+5206356-240200+240200-64854+64854</f>
        <v>0</v>
      </c>
      <c r="K248" s="1308"/>
      <c r="L248" s="980"/>
      <c r="M248" s="1308"/>
      <c r="N248" s="1308"/>
      <c r="O248" s="1308"/>
      <c r="P248" s="981"/>
      <c r="Q248" s="1313"/>
      <c r="R248" s="1308"/>
      <c r="S248" s="1308"/>
      <c r="T248" s="1308"/>
      <c r="U248" s="1308"/>
      <c r="V248" s="1308"/>
      <c r="W248" s="1308"/>
      <c r="X248" s="1314"/>
    </row>
    <row r="249" spans="1:24" ht="15.75" customHeight="1" x14ac:dyDescent="0.25">
      <c r="A249" s="2024"/>
      <c r="B249" s="2023"/>
      <c r="C249" s="2016"/>
      <c r="D249" s="953" t="s">
        <v>201</v>
      </c>
      <c r="E249" s="1307" t="s">
        <v>73</v>
      </c>
      <c r="F249" s="1307" t="s">
        <v>1785</v>
      </c>
      <c r="G249" s="1307" t="s">
        <v>1752</v>
      </c>
      <c r="H249" s="1308"/>
      <c r="I249" s="1308"/>
      <c r="J249" s="1308"/>
      <c r="K249" s="1308"/>
      <c r="L249" s="980">
        <v>-24794212</v>
      </c>
      <c r="M249" s="1308"/>
      <c r="N249" s="1308"/>
      <c r="O249" s="1308"/>
      <c r="P249" s="981"/>
      <c r="Q249" s="1313"/>
      <c r="R249" s="1308"/>
      <c r="S249" s="1308"/>
      <c r="T249" s="1308"/>
      <c r="U249" s="1308"/>
      <c r="V249" s="1308"/>
      <c r="W249" s="1308"/>
      <c r="X249" s="1314"/>
    </row>
    <row r="250" spans="1:24" ht="15.75" customHeight="1" x14ac:dyDescent="0.25">
      <c r="A250" s="2024" t="s">
        <v>814</v>
      </c>
      <c r="B250" s="2023" t="s">
        <v>2140</v>
      </c>
      <c r="C250" s="2016" t="s">
        <v>2141</v>
      </c>
      <c r="D250" s="953" t="s">
        <v>194</v>
      </c>
      <c r="E250" s="1307" t="s">
        <v>130</v>
      </c>
      <c r="F250" s="1307" t="s">
        <v>153</v>
      </c>
      <c r="G250" s="1307" t="s">
        <v>1754</v>
      </c>
      <c r="H250" s="1308"/>
      <c r="I250" s="1308"/>
      <c r="J250" s="1308"/>
      <c r="K250" s="1308"/>
      <c r="L250" s="980"/>
      <c r="M250" s="1308"/>
      <c r="N250" s="1308"/>
      <c r="O250" s="1308"/>
      <c r="P250" s="981"/>
      <c r="Q250" s="1313"/>
      <c r="R250" s="1308"/>
      <c r="S250" s="1308"/>
      <c r="T250" s="1308">
        <v>400</v>
      </c>
      <c r="U250" s="1308"/>
      <c r="V250" s="1308"/>
      <c r="W250" s="1308"/>
      <c r="X250" s="1314"/>
    </row>
    <row r="251" spans="1:24" ht="15.75" customHeight="1" x14ac:dyDescent="0.25">
      <c r="A251" s="2024"/>
      <c r="B251" s="2023"/>
      <c r="C251" s="2016"/>
      <c r="D251" s="953" t="s">
        <v>201</v>
      </c>
      <c r="E251" s="1307" t="s">
        <v>73</v>
      </c>
      <c r="F251" s="1307" t="s">
        <v>1785</v>
      </c>
      <c r="G251" s="1307" t="s">
        <v>1754</v>
      </c>
      <c r="H251" s="1308"/>
      <c r="I251" s="1308"/>
      <c r="J251" s="1308"/>
      <c r="K251" s="1308"/>
      <c r="L251" s="980">
        <v>60400</v>
      </c>
      <c r="M251" s="1308"/>
      <c r="N251" s="1308"/>
      <c r="O251" s="1308"/>
      <c r="P251" s="981"/>
      <c r="Q251" s="1313"/>
      <c r="R251" s="1308"/>
      <c r="S251" s="1308">
        <v>60000</v>
      </c>
      <c r="T251" s="1308"/>
      <c r="U251" s="1308"/>
      <c r="V251" s="1308"/>
      <c r="W251" s="1308"/>
      <c r="X251" s="1314"/>
    </row>
    <row r="252" spans="1:24" ht="19.5" customHeight="1" x14ac:dyDescent="0.25">
      <c r="A252" s="1419"/>
      <c r="B252" s="1421"/>
      <c r="C252" s="153"/>
      <c r="D252" s="954"/>
      <c r="E252" s="1309"/>
      <c r="F252" s="1309"/>
      <c r="G252" s="955"/>
      <c r="H252" s="1310"/>
      <c r="I252" s="1310"/>
      <c r="J252" s="1310"/>
      <c r="K252" s="1310"/>
      <c r="L252" s="985"/>
      <c r="M252" s="1310"/>
      <c r="N252" s="1310"/>
      <c r="O252" s="1310"/>
      <c r="P252" s="986"/>
      <c r="Q252" s="1315"/>
      <c r="R252" s="1310"/>
      <c r="S252" s="1310"/>
      <c r="T252" s="1310"/>
      <c r="U252" s="1310"/>
      <c r="V252" s="1310"/>
      <c r="W252" s="1310"/>
      <c r="X252" s="1316"/>
    </row>
    <row r="253" spans="1:24" ht="18.75" x14ac:dyDescent="0.3">
      <c r="A253" s="2021" t="s">
        <v>1663</v>
      </c>
      <c r="B253" s="2022"/>
      <c r="C253" s="2022"/>
      <c r="D253" s="956"/>
      <c r="E253" s="956"/>
      <c r="F253" s="956"/>
      <c r="G253" s="956"/>
      <c r="H253" s="1595">
        <f t="shared" ref="H253:X253" si="0">SUM(H6:H252)</f>
        <v>-96289</v>
      </c>
      <c r="I253" s="1595">
        <f t="shared" si="0"/>
        <v>-18720</v>
      </c>
      <c r="J253" s="1595">
        <f t="shared" si="0"/>
        <v>180725027</v>
      </c>
      <c r="K253" s="1595">
        <f t="shared" si="0"/>
        <v>-68810</v>
      </c>
      <c r="L253" s="1595">
        <f t="shared" si="0"/>
        <v>-161436043</v>
      </c>
      <c r="M253" s="1595">
        <f t="shared" si="0"/>
        <v>-71751194</v>
      </c>
      <c r="N253" s="1595">
        <f t="shared" si="0"/>
        <v>45310293</v>
      </c>
      <c r="O253" s="1595">
        <f t="shared" si="0"/>
        <v>699400</v>
      </c>
      <c r="P253" s="1596">
        <f t="shared" si="0"/>
        <v>147540408</v>
      </c>
      <c r="Q253" s="1597">
        <f t="shared" si="0"/>
        <v>28626291</v>
      </c>
      <c r="R253" s="1595">
        <f t="shared" si="0"/>
        <v>4690003</v>
      </c>
      <c r="S253" s="1595">
        <f t="shared" si="0"/>
        <v>2976629</v>
      </c>
      <c r="T253" s="1595">
        <f t="shared" si="0"/>
        <v>3027875</v>
      </c>
      <c r="U253" s="1595">
        <f t="shared" si="0"/>
        <v>0</v>
      </c>
      <c r="V253" s="1595">
        <f t="shared" si="0"/>
        <v>0</v>
      </c>
      <c r="W253" s="1595">
        <f t="shared" si="0"/>
        <v>599400</v>
      </c>
      <c r="X253" s="1596">
        <f t="shared" si="0"/>
        <v>100983874</v>
      </c>
    </row>
    <row r="254" spans="1:24" ht="21" customHeight="1" x14ac:dyDescent="0.25">
      <c r="A254" s="930"/>
      <c r="B254" s="930"/>
      <c r="C254" s="957"/>
      <c r="D254" s="958"/>
      <c r="E254" s="958"/>
      <c r="F254" s="958"/>
      <c r="G254" s="958"/>
      <c r="H254" s="959"/>
      <c r="I254" s="959"/>
      <c r="J254" s="959"/>
      <c r="K254" s="959"/>
      <c r="L254" s="959"/>
      <c r="M254" s="959"/>
      <c r="N254" s="959"/>
      <c r="O254" s="959"/>
      <c r="P254" s="959"/>
      <c r="Q254" s="959"/>
      <c r="R254" s="959"/>
      <c r="S254" s="959"/>
      <c r="T254" s="959"/>
      <c r="U254" s="959"/>
      <c r="V254" s="959"/>
      <c r="W254" s="959"/>
      <c r="X254" s="959"/>
    </row>
    <row r="255" spans="1:24" ht="20.25" customHeight="1" x14ac:dyDescent="0.25">
      <c r="A255" s="930"/>
      <c r="B255" s="930"/>
      <c r="C255" s="957"/>
      <c r="D255" s="958"/>
      <c r="E255" s="958"/>
      <c r="F255" s="958"/>
      <c r="G255" s="958"/>
      <c r="H255" s="959"/>
      <c r="I255" s="959"/>
      <c r="J255" s="959"/>
      <c r="K255" s="959"/>
      <c r="L255" s="959"/>
      <c r="M255" s="959"/>
      <c r="N255" s="959"/>
      <c r="O255" s="959"/>
      <c r="P255" s="959"/>
      <c r="Q255" s="959"/>
      <c r="R255" s="959"/>
      <c r="S255" s="959"/>
      <c r="T255" s="959"/>
      <c r="U255" s="959"/>
      <c r="V255" s="959"/>
      <c r="W255" s="959"/>
      <c r="X255" s="959"/>
    </row>
    <row r="256" spans="1:24" s="962" customFormat="1" ht="15.75" customHeight="1" x14ac:dyDescent="0.2">
      <c r="A256" s="960"/>
      <c r="B256" s="960"/>
      <c r="C256" s="961"/>
      <c r="H256" s="963"/>
      <c r="I256" s="963"/>
      <c r="J256" s="963"/>
      <c r="K256" s="963"/>
      <c r="L256" s="963"/>
      <c r="M256" s="963"/>
      <c r="N256" s="963"/>
      <c r="O256" s="963"/>
      <c r="P256" s="963"/>
      <c r="Q256" s="963"/>
      <c r="R256" s="963"/>
      <c r="S256" s="963"/>
      <c r="T256" s="963"/>
      <c r="U256" s="963"/>
      <c r="V256" s="963"/>
      <c r="W256" s="963"/>
      <c r="X256" s="963"/>
    </row>
    <row r="257" spans="1:24" ht="21" customHeight="1" x14ac:dyDescent="0.25">
      <c r="H257" s="966"/>
      <c r="I257" s="2001" t="s">
        <v>1664</v>
      </c>
      <c r="J257" s="2001"/>
      <c r="K257" s="2001"/>
      <c r="L257" s="2001">
        <v>10339703921</v>
      </c>
      <c r="M257" s="2001"/>
      <c r="N257" s="966"/>
      <c r="O257" s="966"/>
      <c r="P257" s="966"/>
      <c r="Q257" s="966"/>
      <c r="R257" s="2001" t="s">
        <v>1665</v>
      </c>
      <c r="S257" s="2001"/>
      <c r="T257" s="2001"/>
      <c r="U257" s="2001">
        <v>10339703921</v>
      </c>
      <c r="V257" s="2001"/>
      <c r="W257" s="966"/>
      <c r="X257" s="966"/>
    </row>
    <row r="258" spans="1:24" ht="21" customHeight="1" x14ac:dyDescent="0.25">
      <c r="H258" s="966"/>
      <c r="I258" s="2001" t="s">
        <v>1666</v>
      </c>
      <c r="J258" s="2001"/>
      <c r="K258" s="2001"/>
      <c r="L258" s="2001">
        <f>SUM(H253:P253)</f>
        <v>140904072</v>
      </c>
      <c r="M258" s="2001"/>
      <c r="N258" s="966"/>
      <c r="O258" s="966"/>
      <c r="P258" s="966"/>
      <c r="Q258" s="966"/>
      <c r="R258" s="2001" t="s">
        <v>1666</v>
      </c>
      <c r="S258" s="2001"/>
      <c r="T258" s="2001"/>
      <c r="U258" s="2001">
        <f>SUM(Q253:X253)</f>
        <v>140904072</v>
      </c>
      <c r="V258" s="2001"/>
      <c r="W258" s="966"/>
      <c r="X258" s="966"/>
    </row>
    <row r="259" spans="1:24" ht="21" customHeight="1" x14ac:dyDescent="0.25">
      <c r="H259" s="966"/>
      <c r="I259" s="2001" t="s">
        <v>1512</v>
      </c>
      <c r="J259" s="2001"/>
      <c r="K259" s="2001"/>
      <c r="L259" s="2001">
        <f>+L257+L258</f>
        <v>10480607993</v>
      </c>
      <c r="M259" s="2001"/>
      <c r="N259" s="966"/>
      <c r="O259" s="966"/>
      <c r="P259" s="966"/>
      <c r="Q259" s="966"/>
      <c r="R259" s="2001" t="s">
        <v>1512</v>
      </c>
      <c r="S259" s="2001"/>
      <c r="T259" s="2001"/>
      <c r="U259" s="2001">
        <f>+U257+U258</f>
        <v>10480607993</v>
      </c>
      <c r="V259" s="2001"/>
      <c r="W259" s="966"/>
      <c r="X259" s="966"/>
    </row>
    <row r="260" spans="1:24" ht="21" customHeight="1" x14ac:dyDescent="0.25">
      <c r="H260" s="966"/>
      <c r="I260" s="1247"/>
      <c r="J260" s="1247"/>
      <c r="K260" s="1247"/>
      <c r="L260" s="1247"/>
      <c r="M260" s="1247"/>
      <c r="N260" s="966"/>
      <c r="O260" s="966"/>
      <c r="P260" s="966"/>
      <c r="Q260" s="966"/>
      <c r="R260" s="1247"/>
      <c r="S260" s="1247"/>
      <c r="T260" s="1247"/>
      <c r="U260" s="1247"/>
      <c r="V260" s="1247"/>
      <c r="W260" s="966"/>
      <c r="X260" s="966"/>
    </row>
    <row r="261" spans="1:24" ht="21" customHeight="1" x14ac:dyDescent="0.25">
      <c r="H261" s="966"/>
      <c r="I261" s="1247"/>
      <c r="J261" s="1247"/>
      <c r="K261" s="1247"/>
      <c r="L261" s="1247"/>
      <c r="M261" s="1247"/>
      <c r="N261" s="966"/>
      <c r="O261" s="966"/>
      <c r="P261" s="966"/>
      <c r="Q261" s="966"/>
      <c r="R261" s="1247"/>
      <c r="S261" s="1247"/>
      <c r="T261" s="1247"/>
      <c r="U261" s="1247"/>
      <c r="V261" s="1247"/>
      <c r="W261" s="966"/>
      <c r="X261" s="966"/>
    </row>
    <row r="262" spans="1:24" x14ac:dyDescent="0.25">
      <c r="A262" s="930"/>
      <c r="B262" s="930"/>
      <c r="C262" s="931"/>
      <c r="D262" s="932"/>
      <c r="E262" s="933"/>
      <c r="F262" s="934"/>
      <c r="G262" s="933"/>
      <c r="H262" s="935"/>
      <c r="I262" s="935"/>
      <c r="J262" s="935"/>
      <c r="K262" s="935"/>
      <c r="L262" s="936"/>
      <c r="M262" s="935"/>
      <c r="N262" s="935"/>
      <c r="O262" s="935"/>
      <c r="P262" s="936"/>
      <c r="Q262" s="935"/>
      <c r="R262" s="935"/>
      <c r="S262" s="935"/>
      <c r="T262" s="935"/>
      <c r="U262" s="935"/>
      <c r="V262" s="935"/>
      <c r="W262" s="935"/>
      <c r="X262" s="935"/>
    </row>
    <row r="263" spans="1:24" ht="15.75" x14ac:dyDescent="0.25">
      <c r="A263" s="2010" t="s">
        <v>2555</v>
      </c>
      <c r="B263" s="2010"/>
      <c r="C263" s="2010"/>
      <c r="D263" s="2010"/>
      <c r="E263" s="2010"/>
      <c r="F263" s="2010"/>
      <c r="G263" s="2010"/>
      <c r="H263" s="2010"/>
      <c r="I263" s="2010"/>
      <c r="J263" s="2010"/>
      <c r="K263" s="2010"/>
      <c r="L263" s="2010"/>
      <c r="M263" s="2010"/>
      <c r="N263" s="2010"/>
      <c r="O263" s="2010"/>
      <c r="P263" s="2010"/>
      <c r="Q263" s="2010"/>
      <c r="R263" s="2010"/>
      <c r="S263" s="2010"/>
      <c r="T263" s="2010"/>
      <c r="U263" s="2010"/>
      <c r="V263" s="2010"/>
      <c r="W263" s="2010"/>
      <c r="X263" s="2010"/>
    </row>
    <row r="264" spans="1:24" ht="15.75" x14ac:dyDescent="0.25">
      <c r="A264" s="1246"/>
      <c r="B264" s="1246"/>
      <c r="C264" s="1246"/>
      <c r="D264" s="1246"/>
      <c r="E264" s="1246"/>
      <c r="F264" s="1246"/>
      <c r="G264" s="1246"/>
      <c r="H264" s="1246"/>
      <c r="I264" s="1246"/>
      <c r="J264" s="1246"/>
      <c r="K264" s="1246"/>
      <c r="L264" s="1246"/>
      <c r="M264" s="1246"/>
      <c r="N264" s="1246"/>
      <c r="O264" s="1246"/>
      <c r="P264" s="1246"/>
      <c r="Q264" s="1246"/>
      <c r="R264" s="1246"/>
      <c r="S264" s="1246"/>
      <c r="T264" s="1246"/>
      <c r="U264" s="1246"/>
      <c r="V264" s="1246"/>
      <c r="W264" s="1246"/>
      <c r="X264" s="1246"/>
    </row>
    <row r="265" spans="1:24" ht="19.5" customHeight="1" x14ac:dyDescent="0.25">
      <c r="A265" s="938"/>
      <c r="B265" s="930"/>
      <c r="C265" s="931"/>
      <c r="D265" s="932"/>
      <c r="E265" s="933"/>
      <c r="F265" s="934"/>
      <c r="G265" s="933"/>
      <c r="H265" s="935"/>
      <c r="I265" s="935"/>
      <c r="J265" s="935"/>
      <c r="K265" s="935"/>
      <c r="L265" s="936"/>
      <c r="M265" s="935"/>
      <c r="N265" s="935"/>
      <c r="O265" s="935"/>
      <c r="P265" s="936"/>
      <c r="Q265" s="935"/>
      <c r="R265" s="935"/>
      <c r="S265" s="935"/>
      <c r="T265" s="935"/>
      <c r="U265" s="935"/>
      <c r="V265" s="935"/>
      <c r="W265" s="935"/>
      <c r="X265" s="939"/>
    </row>
    <row r="266" spans="1:24" ht="18" customHeight="1" x14ac:dyDescent="0.25">
      <c r="A266" s="2005" t="s">
        <v>37</v>
      </c>
      <c r="B266" s="1773" t="s">
        <v>1640</v>
      </c>
      <c r="C266" s="2008" t="s">
        <v>2</v>
      </c>
      <c r="D266" s="1997" t="s">
        <v>1641</v>
      </c>
      <c r="E266" s="1997" t="s">
        <v>116</v>
      </c>
      <c r="F266" s="1997" t="s">
        <v>1642</v>
      </c>
      <c r="G266" s="1997" t="s">
        <v>1643</v>
      </c>
      <c r="H266" s="1999" t="s">
        <v>1644</v>
      </c>
      <c r="I266" s="1999"/>
      <c r="J266" s="1999"/>
      <c r="K266" s="1999"/>
      <c r="L266" s="1999"/>
      <c r="M266" s="1999"/>
      <c r="N266" s="1999"/>
      <c r="O266" s="2000"/>
      <c r="P266" s="1248"/>
      <c r="Q266" s="2011" t="s">
        <v>1645</v>
      </c>
      <c r="R266" s="1999"/>
      <c r="S266" s="1999"/>
      <c r="T266" s="1999"/>
      <c r="U266" s="1999"/>
      <c r="V266" s="1999"/>
      <c r="W266" s="1999"/>
      <c r="X266" s="2012"/>
    </row>
    <row r="267" spans="1:24" ht="82.5" customHeight="1" x14ac:dyDescent="0.25">
      <c r="A267" s="2006"/>
      <c r="B267" s="1774"/>
      <c r="C267" s="2009"/>
      <c r="D267" s="1998"/>
      <c r="E267" s="1998"/>
      <c r="F267" s="1998"/>
      <c r="G267" s="1998"/>
      <c r="H267" s="941" t="s">
        <v>1646</v>
      </c>
      <c r="I267" s="942" t="s">
        <v>1647</v>
      </c>
      <c r="J267" s="941" t="s">
        <v>1648</v>
      </c>
      <c r="K267" s="941" t="s">
        <v>1649</v>
      </c>
      <c r="L267" s="941" t="s">
        <v>1650</v>
      </c>
      <c r="M267" s="941" t="s">
        <v>1651</v>
      </c>
      <c r="N267" s="941" t="s">
        <v>1652</v>
      </c>
      <c r="O267" s="942" t="s">
        <v>1653</v>
      </c>
      <c r="P267" s="944" t="s">
        <v>1654</v>
      </c>
      <c r="Q267" s="999" t="s">
        <v>1655</v>
      </c>
      <c r="R267" s="942" t="s">
        <v>1656</v>
      </c>
      <c r="S267" s="941" t="s">
        <v>1657</v>
      </c>
      <c r="T267" s="941" t="s">
        <v>1658</v>
      </c>
      <c r="U267" s="942" t="s">
        <v>1659</v>
      </c>
      <c r="V267" s="942" t="s">
        <v>1660</v>
      </c>
      <c r="W267" s="942" t="s">
        <v>1661</v>
      </c>
      <c r="X267" s="944" t="s">
        <v>1662</v>
      </c>
    </row>
    <row r="268" spans="1:24" ht="31.5" customHeight="1" x14ac:dyDescent="0.25">
      <c r="A268" s="1487" t="s">
        <v>815</v>
      </c>
      <c r="B268" s="1485" t="s">
        <v>2160</v>
      </c>
      <c r="C268" s="1484" t="s">
        <v>2161</v>
      </c>
      <c r="D268" s="946" t="s">
        <v>194</v>
      </c>
      <c r="E268" s="1141" t="s">
        <v>130</v>
      </c>
      <c r="F268" s="1141" t="s">
        <v>152</v>
      </c>
      <c r="G268" s="1141" t="s">
        <v>1766</v>
      </c>
      <c r="H268" s="949"/>
      <c r="I268" s="949"/>
      <c r="J268" s="949">
        <f>-1144722+1144722</f>
        <v>0</v>
      </c>
      <c r="K268" s="949"/>
      <c r="L268" s="949"/>
      <c r="M268" s="949"/>
      <c r="N268" s="949"/>
      <c r="O268" s="949"/>
      <c r="P268" s="976"/>
      <c r="Q268" s="1317"/>
      <c r="R268" s="949"/>
      <c r="S268" s="949"/>
      <c r="T268" s="949"/>
      <c r="U268" s="949"/>
      <c r="V268" s="949"/>
      <c r="W268" s="949"/>
      <c r="X268" s="976"/>
    </row>
    <row r="269" spans="1:24" ht="21" customHeight="1" x14ac:dyDescent="0.25">
      <c r="A269" s="2018" t="s">
        <v>816</v>
      </c>
      <c r="B269" s="2017" t="s">
        <v>2162</v>
      </c>
      <c r="C269" s="1996" t="s">
        <v>2163</v>
      </c>
      <c r="D269" s="953" t="s">
        <v>201</v>
      </c>
      <c r="E269" s="1307" t="s">
        <v>73</v>
      </c>
      <c r="F269" s="1307" t="s">
        <v>1785</v>
      </c>
      <c r="G269" s="1307" t="s">
        <v>1752</v>
      </c>
      <c r="H269" s="980"/>
      <c r="I269" s="980"/>
      <c r="J269" s="980"/>
      <c r="K269" s="980"/>
      <c r="L269" s="980">
        <v>-35000000</v>
      </c>
      <c r="M269" s="980"/>
      <c r="N269" s="980"/>
      <c r="O269" s="980"/>
      <c r="P269" s="981"/>
      <c r="Q269" s="1318"/>
      <c r="R269" s="980"/>
      <c r="S269" s="980"/>
      <c r="T269" s="980"/>
      <c r="U269" s="980"/>
      <c r="V269" s="980"/>
      <c r="W269" s="980"/>
      <c r="X269" s="981"/>
    </row>
    <row r="270" spans="1:24" ht="21" customHeight="1" x14ac:dyDescent="0.25">
      <c r="A270" s="2018"/>
      <c r="B270" s="2017"/>
      <c r="C270" s="1996"/>
      <c r="D270" s="953" t="s">
        <v>194</v>
      </c>
      <c r="E270" s="1307" t="s">
        <v>73</v>
      </c>
      <c r="F270" s="1307" t="s">
        <v>553</v>
      </c>
      <c r="G270" s="1307" t="s">
        <v>1754</v>
      </c>
      <c r="H270" s="980">
        <v>28650500</v>
      </c>
      <c r="I270" s="980">
        <v>3724565</v>
      </c>
      <c r="J270" s="980"/>
      <c r="K270" s="980"/>
      <c r="L270" s="980"/>
      <c r="M270" s="980"/>
      <c r="N270" s="980"/>
      <c r="O270" s="980"/>
      <c r="P270" s="981"/>
      <c r="Q270" s="1318"/>
      <c r="R270" s="980"/>
      <c r="S270" s="980"/>
      <c r="T270" s="980"/>
      <c r="U270" s="980"/>
      <c r="V270" s="980"/>
      <c r="W270" s="980"/>
      <c r="X270" s="981"/>
    </row>
    <row r="271" spans="1:24" ht="21" customHeight="1" x14ac:dyDescent="0.25">
      <c r="A271" s="2018"/>
      <c r="B271" s="2017"/>
      <c r="C271" s="1996"/>
      <c r="D271" s="953" t="s">
        <v>194</v>
      </c>
      <c r="E271" s="1307" t="s">
        <v>62</v>
      </c>
      <c r="F271" s="1307" t="s">
        <v>541</v>
      </c>
      <c r="G271" s="1307" t="s">
        <v>1754</v>
      </c>
      <c r="H271" s="980">
        <v>2322951</v>
      </c>
      <c r="I271" s="980">
        <v>301984</v>
      </c>
      <c r="J271" s="980"/>
      <c r="K271" s="980"/>
      <c r="L271" s="980"/>
      <c r="M271" s="980"/>
      <c r="N271" s="980"/>
      <c r="O271" s="980"/>
      <c r="P271" s="981"/>
      <c r="Q271" s="1318"/>
      <c r="R271" s="980"/>
      <c r="S271" s="980"/>
      <c r="T271" s="980"/>
      <c r="U271" s="980"/>
      <c r="V271" s="980"/>
      <c r="W271" s="980"/>
      <c r="X271" s="981"/>
    </row>
    <row r="272" spans="1:24" ht="24.75" customHeight="1" x14ac:dyDescent="0.25">
      <c r="A272" s="2018" t="s">
        <v>817</v>
      </c>
      <c r="B272" s="2017" t="s">
        <v>2164</v>
      </c>
      <c r="C272" s="1996" t="s">
        <v>2165</v>
      </c>
      <c r="D272" s="953" t="s">
        <v>201</v>
      </c>
      <c r="E272" s="1307" t="s">
        <v>73</v>
      </c>
      <c r="F272" s="1307" t="s">
        <v>1785</v>
      </c>
      <c r="G272" s="1307" t="s">
        <v>1752</v>
      </c>
      <c r="H272" s="980"/>
      <c r="I272" s="980"/>
      <c r="J272" s="980"/>
      <c r="K272" s="980"/>
      <c r="L272" s="980">
        <v>-400000</v>
      </c>
      <c r="M272" s="980"/>
      <c r="N272" s="980"/>
      <c r="O272" s="980"/>
      <c r="P272" s="981"/>
      <c r="Q272" s="1318"/>
      <c r="R272" s="980"/>
      <c r="S272" s="980"/>
      <c r="T272" s="980"/>
      <c r="U272" s="980"/>
      <c r="V272" s="980"/>
      <c r="W272" s="980"/>
      <c r="X272" s="981"/>
    </row>
    <row r="273" spans="1:24" ht="24.75" customHeight="1" x14ac:dyDescent="0.25">
      <c r="A273" s="2018"/>
      <c r="B273" s="2017"/>
      <c r="C273" s="1996"/>
      <c r="D273" s="953" t="s">
        <v>203</v>
      </c>
      <c r="E273" s="1307" t="s">
        <v>1297</v>
      </c>
      <c r="F273" s="1307" t="s">
        <v>550</v>
      </c>
      <c r="G273" s="1307" t="s">
        <v>1754</v>
      </c>
      <c r="H273" s="980"/>
      <c r="I273" s="980"/>
      <c r="J273" s="980"/>
      <c r="K273" s="980"/>
      <c r="L273" s="980"/>
      <c r="M273" s="980"/>
      <c r="N273" s="980"/>
      <c r="O273" s="980"/>
      <c r="P273" s="981">
        <v>400000</v>
      </c>
      <c r="Q273" s="1318"/>
      <c r="R273" s="980"/>
      <c r="S273" s="980"/>
      <c r="T273" s="980"/>
      <c r="U273" s="980"/>
      <c r="V273" s="980"/>
      <c r="W273" s="980"/>
      <c r="X273" s="981"/>
    </row>
    <row r="274" spans="1:24" ht="48" customHeight="1" x14ac:dyDescent="0.25">
      <c r="A274" s="2018" t="s">
        <v>818</v>
      </c>
      <c r="B274" s="2017" t="s">
        <v>2166</v>
      </c>
      <c r="C274" s="1996" t="s">
        <v>2167</v>
      </c>
      <c r="D274" s="953" t="s">
        <v>201</v>
      </c>
      <c r="E274" s="1307" t="s">
        <v>73</v>
      </c>
      <c r="F274" s="1307" t="s">
        <v>1785</v>
      </c>
      <c r="G274" s="1307" t="s">
        <v>1752</v>
      </c>
      <c r="H274" s="980"/>
      <c r="I274" s="980"/>
      <c r="J274" s="980"/>
      <c r="K274" s="980"/>
      <c r="L274" s="980">
        <v>-3390000</v>
      </c>
      <c r="M274" s="980"/>
      <c r="N274" s="980"/>
      <c r="O274" s="980"/>
      <c r="P274" s="981"/>
      <c r="Q274" s="1318"/>
      <c r="R274" s="980"/>
      <c r="S274" s="980"/>
      <c r="T274" s="980"/>
      <c r="U274" s="980"/>
      <c r="V274" s="980"/>
      <c r="W274" s="980"/>
      <c r="X274" s="981"/>
    </row>
    <row r="275" spans="1:24" ht="48" customHeight="1" x14ac:dyDescent="0.25">
      <c r="A275" s="2018"/>
      <c r="B275" s="2017"/>
      <c r="C275" s="1996"/>
      <c r="D275" s="953" t="s">
        <v>203</v>
      </c>
      <c r="E275" s="1307" t="s">
        <v>1297</v>
      </c>
      <c r="F275" s="1307" t="s">
        <v>550</v>
      </c>
      <c r="G275" s="1307" t="s">
        <v>1754</v>
      </c>
      <c r="H275" s="980"/>
      <c r="I275" s="980"/>
      <c r="J275" s="980"/>
      <c r="K275" s="980"/>
      <c r="L275" s="980"/>
      <c r="M275" s="980"/>
      <c r="N275" s="980"/>
      <c r="O275" s="980"/>
      <c r="P275" s="981">
        <v>3390000</v>
      </c>
      <c r="Q275" s="1318"/>
      <c r="R275" s="980"/>
      <c r="S275" s="980"/>
      <c r="T275" s="980"/>
      <c r="U275" s="980"/>
      <c r="V275" s="980"/>
      <c r="W275" s="980"/>
      <c r="X275" s="981"/>
    </row>
    <row r="276" spans="1:24" ht="24" customHeight="1" x14ac:dyDescent="0.25">
      <c r="A276" s="2018" t="s">
        <v>819</v>
      </c>
      <c r="B276" s="2017" t="s">
        <v>2168</v>
      </c>
      <c r="C276" s="1996" t="s">
        <v>2169</v>
      </c>
      <c r="D276" s="953" t="s">
        <v>201</v>
      </c>
      <c r="E276" s="1307" t="s">
        <v>73</v>
      </c>
      <c r="F276" s="1307" t="s">
        <v>1785</v>
      </c>
      <c r="G276" s="1307" t="s">
        <v>1752</v>
      </c>
      <c r="H276" s="980"/>
      <c r="I276" s="980"/>
      <c r="J276" s="980"/>
      <c r="K276" s="980"/>
      <c r="L276" s="980">
        <v>-3955000</v>
      </c>
      <c r="M276" s="980"/>
      <c r="N276" s="980"/>
      <c r="O276" s="980"/>
      <c r="P276" s="981"/>
      <c r="Q276" s="1318"/>
      <c r="R276" s="980"/>
      <c r="S276" s="980"/>
      <c r="T276" s="980"/>
      <c r="U276" s="980"/>
      <c r="V276" s="980"/>
      <c r="W276" s="980"/>
      <c r="X276" s="981"/>
    </row>
    <row r="277" spans="1:24" ht="24" customHeight="1" x14ac:dyDescent="0.25">
      <c r="A277" s="2018"/>
      <c r="B277" s="2017"/>
      <c r="C277" s="1996"/>
      <c r="D277" s="953" t="s">
        <v>203</v>
      </c>
      <c r="E277" s="1307" t="s">
        <v>1297</v>
      </c>
      <c r="F277" s="1307" t="s">
        <v>550</v>
      </c>
      <c r="G277" s="1307" t="s">
        <v>1754</v>
      </c>
      <c r="H277" s="980"/>
      <c r="I277" s="980"/>
      <c r="J277" s="980"/>
      <c r="K277" s="980"/>
      <c r="L277" s="980"/>
      <c r="M277" s="980"/>
      <c r="N277" s="980"/>
      <c r="O277" s="980"/>
      <c r="P277" s="981">
        <v>3955000</v>
      </c>
      <c r="Q277" s="1318"/>
      <c r="R277" s="980"/>
      <c r="S277" s="980"/>
      <c r="T277" s="980"/>
      <c r="U277" s="980"/>
      <c r="V277" s="980"/>
      <c r="W277" s="980"/>
      <c r="X277" s="981"/>
    </row>
    <row r="278" spans="1:24" ht="40.5" customHeight="1" x14ac:dyDescent="0.25">
      <c r="A278" s="2018" t="s">
        <v>820</v>
      </c>
      <c r="B278" s="2017" t="s">
        <v>2170</v>
      </c>
      <c r="C278" s="1996" t="s">
        <v>2171</v>
      </c>
      <c r="D278" s="953" t="s">
        <v>201</v>
      </c>
      <c r="E278" s="1307" t="s">
        <v>73</v>
      </c>
      <c r="F278" s="1307" t="s">
        <v>1785</v>
      </c>
      <c r="G278" s="1307" t="s">
        <v>1752</v>
      </c>
      <c r="H278" s="980"/>
      <c r="I278" s="980"/>
      <c r="J278" s="980"/>
      <c r="K278" s="980"/>
      <c r="L278" s="980">
        <v>-27402500</v>
      </c>
      <c r="M278" s="980"/>
      <c r="N278" s="980"/>
      <c r="O278" s="980"/>
      <c r="P278" s="981"/>
      <c r="Q278" s="1318"/>
      <c r="R278" s="980"/>
      <c r="S278" s="980"/>
      <c r="T278" s="980"/>
      <c r="U278" s="980"/>
      <c r="V278" s="980"/>
      <c r="W278" s="980"/>
      <c r="X278" s="981"/>
    </row>
    <row r="279" spans="1:24" ht="40.5" customHeight="1" x14ac:dyDescent="0.25">
      <c r="A279" s="2018"/>
      <c r="B279" s="2017"/>
      <c r="C279" s="1996"/>
      <c r="D279" s="953" t="s">
        <v>203</v>
      </c>
      <c r="E279" s="1307" t="s">
        <v>1297</v>
      </c>
      <c r="F279" s="1307" t="s">
        <v>550</v>
      </c>
      <c r="G279" s="1307" t="s">
        <v>1754</v>
      </c>
      <c r="H279" s="980"/>
      <c r="I279" s="980"/>
      <c r="J279" s="980"/>
      <c r="K279" s="980"/>
      <c r="L279" s="980"/>
      <c r="M279" s="980"/>
      <c r="N279" s="980"/>
      <c r="O279" s="980"/>
      <c r="P279" s="981">
        <v>27402500</v>
      </c>
      <c r="Q279" s="1318"/>
      <c r="R279" s="980"/>
      <c r="S279" s="980"/>
      <c r="T279" s="980"/>
      <c r="U279" s="980"/>
      <c r="V279" s="980"/>
      <c r="W279" s="980"/>
      <c r="X279" s="981"/>
    </row>
    <row r="280" spans="1:24" ht="15.75" customHeight="1" x14ac:dyDescent="0.25">
      <c r="A280" s="2018" t="s">
        <v>821</v>
      </c>
      <c r="B280" s="2017" t="s">
        <v>2172</v>
      </c>
      <c r="C280" s="1996" t="s">
        <v>2173</v>
      </c>
      <c r="D280" s="953" t="s">
        <v>201</v>
      </c>
      <c r="E280" s="1307" t="s">
        <v>73</v>
      </c>
      <c r="F280" s="1307" t="s">
        <v>1785</v>
      </c>
      <c r="G280" s="1307" t="s">
        <v>1752</v>
      </c>
      <c r="H280" s="980"/>
      <c r="I280" s="980"/>
      <c r="J280" s="980"/>
      <c r="K280" s="980"/>
      <c r="L280" s="980">
        <v>-2293900</v>
      </c>
      <c r="M280" s="980"/>
      <c r="N280" s="980"/>
      <c r="O280" s="980"/>
      <c r="P280" s="981"/>
      <c r="Q280" s="1318"/>
      <c r="R280" s="980"/>
      <c r="S280" s="980"/>
      <c r="T280" s="980"/>
      <c r="U280" s="980"/>
      <c r="V280" s="980"/>
      <c r="W280" s="980"/>
      <c r="X280" s="981"/>
    </row>
    <row r="281" spans="1:24" ht="15.75" customHeight="1" x14ac:dyDescent="0.25">
      <c r="A281" s="2018"/>
      <c r="B281" s="2017"/>
      <c r="C281" s="1996"/>
      <c r="D281" s="953" t="s">
        <v>194</v>
      </c>
      <c r="E281" s="1307" t="s">
        <v>73</v>
      </c>
      <c r="F281" s="1307" t="s">
        <v>553</v>
      </c>
      <c r="G281" s="1307" t="s">
        <v>1754</v>
      </c>
      <c r="H281" s="980">
        <v>200000</v>
      </c>
      <c r="I281" s="980">
        <v>26000</v>
      </c>
      <c r="J281" s="980"/>
      <c r="K281" s="980"/>
      <c r="L281" s="980"/>
      <c r="M281" s="980"/>
      <c r="N281" s="980"/>
      <c r="O281" s="980"/>
      <c r="P281" s="981"/>
      <c r="Q281" s="1318"/>
      <c r="R281" s="980"/>
      <c r="S281" s="980"/>
      <c r="T281" s="980"/>
      <c r="U281" s="980"/>
      <c r="V281" s="980"/>
      <c r="W281" s="980"/>
      <c r="X281" s="981"/>
    </row>
    <row r="282" spans="1:24" ht="15.75" customHeight="1" x14ac:dyDescent="0.25">
      <c r="A282" s="2018"/>
      <c r="B282" s="2017"/>
      <c r="C282" s="1996"/>
      <c r="D282" s="953" t="s">
        <v>194</v>
      </c>
      <c r="E282" s="1307" t="s">
        <v>609</v>
      </c>
      <c r="F282" s="1307" t="s">
        <v>455</v>
      </c>
      <c r="G282" s="1307" t="s">
        <v>1754</v>
      </c>
      <c r="H282" s="980">
        <v>130000</v>
      </c>
      <c r="I282" s="980">
        <v>16900</v>
      </c>
      <c r="J282" s="980"/>
      <c r="K282" s="980"/>
      <c r="L282" s="980"/>
      <c r="M282" s="980"/>
      <c r="N282" s="980"/>
      <c r="O282" s="980"/>
      <c r="P282" s="981"/>
      <c r="Q282" s="1318"/>
      <c r="R282" s="980"/>
      <c r="S282" s="980"/>
      <c r="T282" s="980"/>
      <c r="U282" s="980"/>
      <c r="V282" s="980"/>
      <c r="W282" s="980"/>
      <c r="X282" s="981"/>
    </row>
    <row r="283" spans="1:24" ht="15.75" customHeight="1" x14ac:dyDescent="0.25">
      <c r="A283" s="2018"/>
      <c r="B283" s="2017"/>
      <c r="C283" s="1996"/>
      <c r="D283" s="953" t="s">
        <v>194</v>
      </c>
      <c r="E283" s="1307" t="s">
        <v>648</v>
      </c>
      <c r="F283" s="1307" t="s">
        <v>135</v>
      </c>
      <c r="G283" s="1307" t="s">
        <v>1754</v>
      </c>
      <c r="H283" s="980">
        <v>300000</v>
      </c>
      <c r="I283" s="980">
        <v>39000</v>
      </c>
      <c r="J283" s="980"/>
      <c r="K283" s="980"/>
      <c r="L283" s="980"/>
      <c r="M283" s="980"/>
      <c r="N283" s="980"/>
      <c r="O283" s="980"/>
      <c r="P283" s="981"/>
      <c r="Q283" s="1318"/>
      <c r="R283" s="980"/>
      <c r="S283" s="980"/>
      <c r="T283" s="980"/>
      <c r="U283" s="980"/>
      <c r="V283" s="980"/>
      <c r="W283" s="980"/>
      <c r="X283" s="981"/>
    </row>
    <row r="284" spans="1:24" ht="15.75" customHeight="1" x14ac:dyDescent="0.25">
      <c r="A284" s="2018"/>
      <c r="B284" s="2017"/>
      <c r="C284" s="1996"/>
      <c r="D284" s="953" t="s">
        <v>194</v>
      </c>
      <c r="E284" s="1307" t="s">
        <v>557</v>
      </c>
      <c r="F284" s="1307" t="s">
        <v>460</v>
      </c>
      <c r="G284" s="1307" t="s">
        <v>1754</v>
      </c>
      <c r="H284" s="980">
        <v>100000</v>
      </c>
      <c r="I284" s="980">
        <v>13000</v>
      </c>
      <c r="J284" s="980"/>
      <c r="K284" s="980"/>
      <c r="L284" s="980"/>
      <c r="M284" s="980"/>
      <c r="N284" s="980"/>
      <c r="O284" s="980"/>
      <c r="P284" s="981"/>
      <c r="Q284" s="1318"/>
      <c r="R284" s="980"/>
      <c r="S284" s="980"/>
      <c r="T284" s="980"/>
      <c r="U284" s="980"/>
      <c r="V284" s="980"/>
      <c r="W284" s="980"/>
      <c r="X284" s="981"/>
    </row>
    <row r="285" spans="1:24" ht="15.75" customHeight="1" x14ac:dyDescent="0.25">
      <c r="A285" s="2018"/>
      <c r="B285" s="2017"/>
      <c r="C285" s="1996"/>
      <c r="D285" s="953" t="s">
        <v>194</v>
      </c>
      <c r="E285" s="1307" t="s">
        <v>557</v>
      </c>
      <c r="F285" s="1307" t="s">
        <v>462</v>
      </c>
      <c r="G285" s="1307" t="s">
        <v>1754</v>
      </c>
      <c r="H285" s="980">
        <v>500000</v>
      </c>
      <c r="I285" s="980">
        <v>65000</v>
      </c>
      <c r="J285" s="980"/>
      <c r="K285" s="980"/>
      <c r="L285" s="980"/>
      <c r="M285" s="980"/>
      <c r="N285" s="980"/>
      <c r="O285" s="980"/>
      <c r="P285" s="981"/>
      <c r="Q285" s="1318"/>
      <c r="R285" s="980"/>
      <c r="S285" s="980"/>
      <c r="T285" s="980"/>
      <c r="U285" s="980"/>
      <c r="V285" s="980"/>
      <c r="W285" s="980"/>
      <c r="X285" s="981"/>
    </row>
    <row r="286" spans="1:24" ht="15.75" customHeight="1" x14ac:dyDescent="0.25">
      <c r="A286" s="2018"/>
      <c r="B286" s="2017"/>
      <c r="C286" s="1996"/>
      <c r="D286" s="953" t="s">
        <v>194</v>
      </c>
      <c r="E286" s="1307" t="s">
        <v>62</v>
      </c>
      <c r="F286" s="1307" t="s">
        <v>541</v>
      </c>
      <c r="G286" s="1307" t="s">
        <v>1754</v>
      </c>
      <c r="H286" s="980">
        <v>800000</v>
      </c>
      <c r="I286" s="980">
        <v>104000</v>
      </c>
      <c r="J286" s="980"/>
      <c r="K286" s="980"/>
      <c r="L286" s="980"/>
      <c r="M286" s="980"/>
      <c r="N286" s="980"/>
      <c r="O286" s="980"/>
      <c r="P286" s="981"/>
      <c r="Q286" s="1318"/>
      <c r="R286" s="980"/>
      <c r="S286" s="980"/>
      <c r="T286" s="980"/>
      <c r="U286" s="980"/>
      <c r="V286" s="980"/>
      <c r="W286" s="980"/>
      <c r="X286" s="981"/>
    </row>
    <row r="287" spans="1:24" ht="13.5" customHeight="1" x14ac:dyDescent="0.25">
      <c r="A287" s="2018" t="s">
        <v>822</v>
      </c>
      <c r="B287" s="2017" t="s">
        <v>2174</v>
      </c>
      <c r="C287" s="1996" t="s">
        <v>2175</v>
      </c>
      <c r="D287" s="953" t="s">
        <v>199</v>
      </c>
      <c r="E287" s="1307" t="s">
        <v>844</v>
      </c>
      <c r="F287" s="1307" t="s">
        <v>1891</v>
      </c>
      <c r="G287" s="1307" t="s">
        <v>1752</v>
      </c>
      <c r="H287" s="980"/>
      <c r="I287" s="980"/>
      <c r="J287" s="980"/>
      <c r="K287" s="980"/>
      <c r="L287" s="980"/>
      <c r="M287" s="980">
        <f>-450000-121500</f>
        <v>-571500</v>
      </c>
      <c r="N287" s="980"/>
      <c r="O287" s="980"/>
      <c r="P287" s="981"/>
      <c r="Q287" s="1318"/>
      <c r="R287" s="980"/>
      <c r="S287" s="980"/>
      <c r="T287" s="980"/>
      <c r="U287" s="980"/>
      <c r="V287" s="980"/>
      <c r="W287" s="980"/>
      <c r="X287" s="981"/>
    </row>
    <row r="288" spans="1:24" ht="13.5" customHeight="1" x14ac:dyDescent="0.25">
      <c r="A288" s="2018"/>
      <c r="B288" s="2017"/>
      <c r="C288" s="1996"/>
      <c r="D288" s="953" t="s">
        <v>194</v>
      </c>
      <c r="E288" s="1307" t="s">
        <v>844</v>
      </c>
      <c r="F288" s="1307" t="s">
        <v>1891</v>
      </c>
      <c r="G288" s="1307" t="s">
        <v>1754</v>
      </c>
      <c r="H288" s="980"/>
      <c r="I288" s="980"/>
      <c r="J288" s="980">
        <f>450000+121500</f>
        <v>571500</v>
      </c>
      <c r="K288" s="980"/>
      <c r="L288" s="980"/>
      <c r="M288" s="980"/>
      <c r="N288" s="980"/>
      <c r="O288" s="980"/>
      <c r="P288" s="981"/>
      <c r="Q288" s="1318"/>
      <c r="R288" s="980"/>
      <c r="S288" s="980"/>
      <c r="T288" s="980"/>
      <c r="U288" s="980"/>
      <c r="V288" s="980"/>
      <c r="W288" s="980"/>
      <c r="X288" s="981"/>
    </row>
    <row r="289" spans="1:24" ht="13.5" customHeight="1" x14ac:dyDescent="0.25">
      <c r="A289" s="2018"/>
      <c r="B289" s="2017"/>
      <c r="C289" s="1996"/>
      <c r="D289" s="953" t="s">
        <v>199</v>
      </c>
      <c r="E289" s="1307" t="s">
        <v>164</v>
      </c>
      <c r="F289" s="1307" t="s">
        <v>1913</v>
      </c>
      <c r="G289" s="1307" t="s">
        <v>1752</v>
      </c>
      <c r="H289" s="980"/>
      <c r="I289" s="980"/>
      <c r="J289" s="980"/>
      <c r="K289" s="980"/>
      <c r="L289" s="980"/>
      <c r="M289" s="980">
        <v>-800000</v>
      </c>
      <c r="N289" s="980"/>
      <c r="O289" s="980"/>
      <c r="P289" s="981"/>
      <c r="Q289" s="1318"/>
      <c r="R289" s="980"/>
      <c r="S289" s="980"/>
      <c r="T289" s="980"/>
      <c r="U289" s="980"/>
      <c r="V289" s="980"/>
      <c r="W289" s="980"/>
      <c r="X289" s="981"/>
    </row>
    <row r="290" spans="1:24" ht="13.5" customHeight="1" x14ac:dyDescent="0.25">
      <c r="A290" s="2018"/>
      <c r="B290" s="2017"/>
      <c r="C290" s="1996"/>
      <c r="D290" s="953" t="s">
        <v>194</v>
      </c>
      <c r="E290" s="1307" t="s">
        <v>164</v>
      </c>
      <c r="F290" s="1307" t="s">
        <v>1913</v>
      </c>
      <c r="G290" s="1307" t="s">
        <v>1754</v>
      </c>
      <c r="H290" s="980"/>
      <c r="I290" s="980"/>
      <c r="J290" s="980">
        <v>800000</v>
      </c>
      <c r="K290" s="980"/>
      <c r="L290" s="980"/>
      <c r="M290" s="980"/>
      <c r="N290" s="980"/>
      <c r="O290" s="980"/>
      <c r="P290" s="981"/>
      <c r="Q290" s="1318"/>
      <c r="R290" s="980"/>
      <c r="S290" s="980"/>
      <c r="T290" s="980"/>
      <c r="U290" s="980"/>
      <c r="V290" s="980"/>
      <c r="W290" s="980"/>
      <c r="X290" s="981"/>
    </row>
    <row r="291" spans="1:24" ht="13.5" customHeight="1" x14ac:dyDescent="0.25">
      <c r="A291" s="2018"/>
      <c r="B291" s="2017"/>
      <c r="C291" s="1996"/>
      <c r="D291" s="953" t="s">
        <v>199</v>
      </c>
      <c r="E291" s="1307" t="s">
        <v>1368</v>
      </c>
      <c r="F291" s="1307" t="s">
        <v>1347</v>
      </c>
      <c r="G291" s="1307" t="s">
        <v>1752</v>
      </c>
      <c r="H291" s="980"/>
      <c r="I291" s="980"/>
      <c r="J291" s="980"/>
      <c r="K291" s="980"/>
      <c r="L291" s="980"/>
      <c r="M291" s="980">
        <v>-4000000</v>
      </c>
      <c r="N291" s="980"/>
      <c r="O291" s="980"/>
      <c r="P291" s="981"/>
      <c r="Q291" s="1318"/>
      <c r="R291" s="980"/>
      <c r="S291" s="980"/>
      <c r="T291" s="980"/>
      <c r="U291" s="980"/>
      <c r="V291" s="980"/>
      <c r="W291" s="980"/>
      <c r="X291" s="981"/>
    </row>
    <row r="292" spans="1:24" ht="13.5" customHeight="1" x14ac:dyDescent="0.25">
      <c r="A292" s="2018"/>
      <c r="B292" s="2017"/>
      <c r="C292" s="1996"/>
      <c r="D292" s="953" t="s">
        <v>194</v>
      </c>
      <c r="E292" s="1307" t="s">
        <v>1368</v>
      </c>
      <c r="F292" s="1307" t="s">
        <v>1347</v>
      </c>
      <c r="G292" s="1307" t="s">
        <v>1754</v>
      </c>
      <c r="H292" s="980"/>
      <c r="I292" s="980"/>
      <c r="J292" s="980">
        <v>4000000</v>
      </c>
      <c r="K292" s="980"/>
      <c r="L292" s="980"/>
      <c r="M292" s="980"/>
      <c r="N292" s="980"/>
      <c r="O292" s="980"/>
      <c r="P292" s="981"/>
      <c r="Q292" s="1318"/>
      <c r="R292" s="980"/>
      <c r="S292" s="980"/>
      <c r="T292" s="980"/>
      <c r="U292" s="980"/>
      <c r="V292" s="980"/>
      <c r="W292" s="980"/>
      <c r="X292" s="981"/>
    </row>
    <row r="293" spans="1:24" ht="24" customHeight="1" x14ac:dyDescent="0.25">
      <c r="A293" s="2018" t="s">
        <v>823</v>
      </c>
      <c r="B293" s="2017" t="s">
        <v>2176</v>
      </c>
      <c r="C293" s="1996" t="s">
        <v>2177</v>
      </c>
      <c r="D293" s="953" t="s">
        <v>199</v>
      </c>
      <c r="E293" s="1307" t="s">
        <v>601</v>
      </c>
      <c r="F293" s="1307" t="s">
        <v>1957</v>
      </c>
      <c r="G293" s="1307" t="s">
        <v>1752</v>
      </c>
      <c r="H293" s="980"/>
      <c r="I293" s="980"/>
      <c r="J293" s="980"/>
      <c r="K293" s="980"/>
      <c r="L293" s="980"/>
      <c r="M293" s="980">
        <v>-500000</v>
      </c>
      <c r="N293" s="980"/>
      <c r="O293" s="980"/>
      <c r="P293" s="981"/>
      <c r="Q293" s="1318"/>
      <c r="R293" s="980"/>
      <c r="S293" s="980"/>
      <c r="T293" s="980"/>
      <c r="U293" s="980"/>
      <c r="V293" s="980"/>
      <c r="W293" s="980"/>
      <c r="X293" s="981"/>
    </row>
    <row r="294" spans="1:24" ht="24" customHeight="1" x14ac:dyDescent="0.25">
      <c r="A294" s="2018"/>
      <c r="B294" s="2017"/>
      <c r="C294" s="1996"/>
      <c r="D294" s="953" t="s">
        <v>194</v>
      </c>
      <c r="E294" s="1307" t="s">
        <v>601</v>
      </c>
      <c r="F294" s="1307" t="s">
        <v>1957</v>
      </c>
      <c r="G294" s="1307" t="s">
        <v>1754</v>
      </c>
      <c r="H294" s="980"/>
      <c r="I294" s="980"/>
      <c r="J294" s="980">
        <v>500000</v>
      </c>
      <c r="K294" s="980"/>
      <c r="L294" s="980"/>
      <c r="M294" s="980"/>
      <c r="N294" s="980"/>
      <c r="O294" s="980"/>
      <c r="P294" s="981"/>
      <c r="Q294" s="1318"/>
      <c r="R294" s="980"/>
      <c r="S294" s="980"/>
      <c r="T294" s="980"/>
      <c r="U294" s="980"/>
      <c r="V294" s="980"/>
      <c r="W294" s="980"/>
      <c r="X294" s="981"/>
    </row>
    <row r="295" spans="1:24" ht="18.75" customHeight="1" x14ac:dyDescent="0.25">
      <c r="A295" s="2018" t="s">
        <v>831</v>
      </c>
      <c r="B295" s="2017" t="s">
        <v>2178</v>
      </c>
      <c r="C295" s="1996" t="s">
        <v>2179</v>
      </c>
      <c r="D295" s="953" t="s">
        <v>200</v>
      </c>
      <c r="E295" s="1307" t="s">
        <v>601</v>
      </c>
      <c r="F295" s="1307" t="s">
        <v>127</v>
      </c>
      <c r="G295" s="1307" t="s">
        <v>1752</v>
      </c>
      <c r="H295" s="980"/>
      <c r="I295" s="980"/>
      <c r="J295" s="980"/>
      <c r="K295" s="980"/>
      <c r="L295" s="980"/>
      <c r="M295" s="980"/>
      <c r="N295" s="980">
        <f>-4200000-1134000</f>
        <v>-5334000</v>
      </c>
      <c r="O295" s="980"/>
      <c r="P295" s="981"/>
      <c r="Q295" s="1318"/>
      <c r="R295" s="980"/>
      <c r="S295" s="980"/>
      <c r="T295" s="980"/>
      <c r="U295" s="980"/>
      <c r="V295" s="980"/>
      <c r="W295" s="980"/>
      <c r="X295" s="981"/>
    </row>
    <row r="296" spans="1:24" ht="18.75" customHeight="1" x14ac:dyDescent="0.25">
      <c r="A296" s="2018"/>
      <c r="B296" s="2017"/>
      <c r="C296" s="1996"/>
      <c r="D296" s="953" t="s">
        <v>199</v>
      </c>
      <c r="E296" s="1307" t="s">
        <v>601</v>
      </c>
      <c r="F296" s="1307" t="s">
        <v>127</v>
      </c>
      <c r="G296" s="1307" t="s">
        <v>1754</v>
      </c>
      <c r="H296" s="980"/>
      <c r="I296" s="980"/>
      <c r="J296" s="980"/>
      <c r="K296" s="980"/>
      <c r="L296" s="980"/>
      <c r="M296" s="980">
        <f>4200000+1134000</f>
        <v>5334000</v>
      </c>
      <c r="N296" s="980"/>
      <c r="O296" s="980"/>
      <c r="P296" s="981"/>
      <c r="Q296" s="1318"/>
      <c r="R296" s="980"/>
      <c r="S296" s="980"/>
      <c r="T296" s="980"/>
      <c r="U296" s="980"/>
      <c r="V296" s="980"/>
      <c r="W296" s="980"/>
      <c r="X296" s="981"/>
    </row>
    <row r="297" spans="1:24" ht="17.25" customHeight="1" x14ac:dyDescent="0.25">
      <c r="A297" s="2018" t="s">
        <v>830</v>
      </c>
      <c r="B297" s="2017" t="s">
        <v>2180</v>
      </c>
      <c r="C297" s="1996" t="s">
        <v>2181</v>
      </c>
      <c r="D297" s="953" t="s">
        <v>199</v>
      </c>
      <c r="E297" s="1307" t="s">
        <v>601</v>
      </c>
      <c r="F297" s="1307" t="s">
        <v>127</v>
      </c>
      <c r="G297" s="1307" t="s">
        <v>1752</v>
      </c>
      <c r="H297" s="980"/>
      <c r="I297" s="980"/>
      <c r="J297" s="980"/>
      <c r="K297" s="980"/>
      <c r="L297" s="980"/>
      <c r="M297" s="980">
        <f>-393701-106299</f>
        <v>-500000</v>
      </c>
      <c r="N297" s="980"/>
      <c r="O297" s="980"/>
      <c r="P297" s="981"/>
      <c r="Q297" s="1318"/>
      <c r="R297" s="980"/>
      <c r="S297" s="980"/>
      <c r="T297" s="980"/>
      <c r="U297" s="980"/>
      <c r="V297" s="980"/>
      <c r="W297" s="980"/>
      <c r="X297" s="981"/>
    </row>
    <row r="298" spans="1:24" ht="17.25" customHeight="1" x14ac:dyDescent="0.25">
      <c r="A298" s="2018"/>
      <c r="B298" s="2017"/>
      <c r="C298" s="1996"/>
      <c r="D298" s="953" t="s">
        <v>194</v>
      </c>
      <c r="E298" s="1307" t="s">
        <v>844</v>
      </c>
      <c r="F298" s="1307" t="s">
        <v>1802</v>
      </c>
      <c r="G298" s="1307" t="s">
        <v>1754</v>
      </c>
      <c r="H298" s="980"/>
      <c r="I298" s="980"/>
      <c r="J298" s="980">
        <f>393701+106299</f>
        <v>500000</v>
      </c>
      <c r="K298" s="980"/>
      <c r="L298" s="980"/>
      <c r="M298" s="980"/>
      <c r="N298" s="980"/>
      <c r="O298" s="980"/>
      <c r="P298" s="981"/>
      <c r="Q298" s="1318"/>
      <c r="R298" s="980"/>
      <c r="S298" s="980"/>
      <c r="T298" s="980"/>
      <c r="U298" s="980"/>
      <c r="V298" s="980"/>
      <c r="W298" s="980"/>
      <c r="X298" s="981"/>
    </row>
    <row r="299" spans="1:24" ht="23.25" customHeight="1" x14ac:dyDescent="0.25">
      <c r="A299" s="2018" t="s">
        <v>832</v>
      </c>
      <c r="B299" s="2017" t="s">
        <v>2182</v>
      </c>
      <c r="C299" s="1996" t="s">
        <v>2183</v>
      </c>
      <c r="D299" s="953" t="s">
        <v>199</v>
      </c>
      <c r="E299" s="1307" t="s">
        <v>601</v>
      </c>
      <c r="F299" s="1307" t="s">
        <v>127</v>
      </c>
      <c r="G299" s="1307" t="s">
        <v>1752</v>
      </c>
      <c r="H299" s="980"/>
      <c r="I299" s="980"/>
      <c r="J299" s="980"/>
      <c r="K299" s="980"/>
      <c r="L299" s="980"/>
      <c r="M299" s="980">
        <f>-256693-69307</f>
        <v>-326000</v>
      </c>
      <c r="N299" s="980"/>
      <c r="O299" s="980"/>
      <c r="P299" s="981"/>
      <c r="Q299" s="1318"/>
      <c r="R299" s="980"/>
      <c r="S299" s="980"/>
      <c r="T299" s="980"/>
      <c r="U299" s="980"/>
      <c r="V299" s="980"/>
      <c r="W299" s="980"/>
      <c r="X299" s="981"/>
    </row>
    <row r="300" spans="1:24" ht="21" customHeight="1" x14ac:dyDescent="0.25">
      <c r="A300" s="2018"/>
      <c r="B300" s="2017"/>
      <c r="C300" s="1996"/>
      <c r="D300" s="953" t="s">
        <v>199</v>
      </c>
      <c r="E300" s="1307" t="s">
        <v>844</v>
      </c>
      <c r="F300" s="1307" t="s">
        <v>1802</v>
      </c>
      <c r="G300" s="1307" t="s">
        <v>1754</v>
      </c>
      <c r="H300" s="980"/>
      <c r="I300" s="980"/>
      <c r="J300" s="980"/>
      <c r="K300" s="980"/>
      <c r="L300" s="980"/>
      <c r="M300" s="980">
        <f>256693+69307</f>
        <v>326000</v>
      </c>
      <c r="N300" s="980"/>
      <c r="O300" s="980"/>
      <c r="P300" s="981"/>
      <c r="Q300" s="1318"/>
      <c r="R300" s="980"/>
      <c r="S300" s="980"/>
      <c r="T300" s="980"/>
      <c r="U300" s="980"/>
      <c r="V300" s="980"/>
      <c r="W300" s="980"/>
      <c r="X300" s="981"/>
    </row>
    <row r="301" spans="1:24" ht="24" customHeight="1" x14ac:dyDescent="0.25">
      <c r="A301" s="2018" t="s">
        <v>829</v>
      </c>
      <c r="B301" s="2017" t="s">
        <v>2184</v>
      </c>
      <c r="C301" s="1996" t="s">
        <v>2185</v>
      </c>
      <c r="D301" s="953" t="s">
        <v>201</v>
      </c>
      <c r="E301" s="1307" t="s">
        <v>73</v>
      </c>
      <c r="F301" s="1307" t="s">
        <v>1785</v>
      </c>
      <c r="G301" s="1307" t="s">
        <v>1752</v>
      </c>
      <c r="H301" s="980"/>
      <c r="I301" s="980"/>
      <c r="J301" s="980"/>
      <c r="K301" s="980"/>
      <c r="L301" s="980">
        <v>-3429000</v>
      </c>
      <c r="M301" s="980"/>
      <c r="N301" s="980"/>
      <c r="O301" s="980"/>
      <c r="P301" s="981"/>
      <c r="Q301" s="1318"/>
      <c r="R301" s="980"/>
      <c r="S301" s="980"/>
      <c r="T301" s="980"/>
      <c r="U301" s="980"/>
      <c r="V301" s="980"/>
      <c r="W301" s="980"/>
      <c r="X301" s="981"/>
    </row>
    <row r="302" spans="1:24" ht="24" customHeight="1" x14ac:dyDescent="0.25">
      <c r="A302" s="2018"/>
      <c r="B302" s="2017"/>
      <c r="C302" s="1996"/>
      <c r="D302" s="953" t="s">
        <v>198</v>
      </c>
      <c r="E302" s="1307" t="s">
        <v>74</v>
      </c>
      <c r="F302" s="1307" t="s">
        <v>1408</v>
      </c>
      <c r="G302" s="1307" t="s">
        <v>1754</v>
      </c>
      <c r="H302" s="980"/>
      <c r="I302" s="980"/>
      <c r="J302" s="980"/>
      <c r="K302" s="980"/>
      <c r="L302" s="980">
        <v>3429000</v>
      </c>
      <c r="M302" s="980"/>
      <c r="N302" s="980"/>
      <c r="O302" s="980"/>
      <c r="P302" s="981"/>
      <c r="Q302" s="1318"/>
      <c r="R302" s="980"/>
      <c r="S302" s="980"/>
      <c r="T302" s="980"/>
      <c r="U302" s="980"/>
      <c r="V302" s="980"/>
      <c r="W302" s="980"/>
      <c r="X302" s="981"/>
    </row>
    <row r="303" spans="1:24" ht="20.25" customHeight="1" x14ac:dyDescent="0.25">
      <c r="A303" s="2018" t="s">
        <v>834</v>
      </c>
      <c r="B303" s="2017" t="s">
        <v>2187</v>
      </c>
      <c r="C303" s="2016" t="s">
        <v>2188</v>
      </c>
      <c r="D303" s="953" t="s">
        <v>201</v>
      </c>
      <c r="E303" s="1307" t="s">
        <v>73</v>
      </c>
      <c r="F303" s="1307" t="s">
        <v>1785</v>
      </c>
      <c r="G303" s="1307" t="s">
        <v>1752</v>
      </c>
      <c r="H303" s="980"/>
      <c r="I303" s="980"/>
      <c r="J303" s="980"/>
      <c r="K303" s="980"/>
      <c r="L303" s="980">
        <v>-635000</v>
      </c>
      <c r="M303" s="980"/>
      <c r="N303" s="980"/>
      <c r="O303" s="980"/>
      <c r="P303" s="981"/>
      <c r="Q303" s="1318"/>
      <c r="R303" s="980"/>
      <c r="S303" s="980"/>
      <c r="T303" s="980"/>
      <c r="U303" s="980"/>
      <c r="V303" s="980"/>
      <c r="W303" s="980"/>
      <c r="X303" s="981"/>
    </row>
    <row r="304" spans="1:24" ht="20.25" customHeight="1" x14ac:dyDescent="0.25">
      <c r="A304" s="2018"/>
      <c r="B304" s="2017"/>
      <c r="C304" s="2016"/>
      <c r="D304" s="953" t="s">
        <v>194</v>
      </c>
      <c r="E304" s="1307" t="s">
        <v>889</v>
      </c>
      <c r="F304" s="1307" t="s">
        <v>888</v>
      </c>
      <c r="G304" s="1307" t="s">
        <v>1754</v>
      </c>
      <c r="H304" s="980"/>
      <c r="I304" s="980"/>
      <c r="J304" s="980">
        <f>500000+135000</f>
        <v>635000</v>
      </c>
      <c r="K304" s="980"/>
      <c r="L304" s="980"/>
      <c r="M304" s="980"/>
      <c r="N304" s="980"/>
      <c r="O304" s="980"/>
      <c r="P304" s="981"/>
      <c r="Q304" s="1318"/>
      <c r="R304" s="980"/>
      <c r="S304" s="980"/>
      <c r="T304" s="980"/>
      <c r="U304" s="980"/>
      <c r="V304" s="980"/>
      <c r="W304" s="980"/>
      <c r="X304" s="981"/>
    </row>
    <row r="305" spans="1:24" ht="18" customHeight="1" x14ac:dyDescent="0.25">
      <c r="A305" s="2018" t="s">
        <v>828</v>
      </c>
      <c r="B305" s="2017" t="s">
        <v>2189</v>
      </c>
      <c r="C305" s="1996" t="s">
        <v>2190</v>
      </c>
      <c r="D305" s="953" t="s">
        <v>199</v>
      </c>
      <c r="E305" s="1307" t="s">
        <v>844</v>
      </c>
      <c r="F305" s="1307" t="s">
        <v>843</v>
      </c>
      <c r="G305" s="1307" t="s">
        <v>1752</v>
      </c>
      <c r="H305" s="980"/>
      <c r="I305" s="980"/>
      <c r="J305" s="980"/>
      <c r="K305" s="980"/>
      <c r="L305" s="980"/>
      <c r="M305" s="980">
        <f>-1306800-352836</f>
        <v>-1659636</v>
      </c>
      <c r="N305" s="980"/>
      <c r="O305" s="980"/>
      <c r="P305" s="981"/>
      <c r="Q305" s="1318"/>
      <c r="R305" s="980"/>
      <c r="S305" s="980"/>
      <c r="T305" s="980"/>
      <c r="U305" s="980"/>
      <c r="V305" s="980"/>
      <c r="W305" s="980"/>
      <c r="X305" s="981"/>
    </row>
    <row r="306" spans="1:24" ht="18" customHeight="1" x14ac:dyDescent="0.25">
      <c r="A306" s="2018"/>
      <c r="B306" s="2017"/>
      <c r="C306" s="1996"/>
      <c r="D306" s="953" t="s">
        <v>199</v>
      </c>
      <c r="E306" s="1307" t="s">
        <v>844</v>
      </c>
      <c r="F306" s="1307" t="s">
        <v>1802</v>
      </c>
      <c r="G306" s="1307" t="s">
        <v>1754</v>
      </c>
      <c r="H306" s="980"/>
      <c r="I306" s="980"/>
      <c r="J306" s="980"/>
      <c r="K306" s="980"/>
      <c r="L306" s="980"/>
      <c r="M306" s="980">
        <f>1306800+352836</f>
        <v>1659636</v>
      </c>
      <c r="N306" s="980"/>
      <c r="O306" s="980"/>
      <c r="P306" s="981"/>
      <c r="Q306" s="1318"/>
      <c r="R306" s="980"/>
      <c r="S306" s="980"/>
      <c r="T306" s="980"/>
      <c r="U306" s="980"/>
      <c r="V306" s="980"/>
      <c r="W306" s="980"/>
      <c r="X306" s="981"/>
    </row>
    <row r="307" spans="1:24" ht="18.75" customHeight="1" x14ac:dyDescent="0.25">
      <c r="A307" s="2018" t="s">
        <v>827</v>
      </c>
      <c r="B307" s="2017" t="s">
        <v>2191</v>
      </c>
      <c r="C307" s="1996" t="s">
        <v>2192</v>
      </c>
      <c r="D307" s="953" t="s">
        <v>199</v>
      </c>
      <c r="E307" s="1307" t="s">
        <v>601</v>
      </c>
      <c r="F307" s="1307" t="s">
        <v>127</v>
      </c>
      <c r="G307" s="1307" t="s">
        <v>1752</v>
      </c>
      <c r="H307" s="980"/>
      <c r="I307" s="980"/>
      <c r="J307" s="980"/>
      <c r="K307" s="980"/>
      <c r="L307" s="980"/>
      <c r="M307" s="980">
        <f>-218423-58975</f>
        <v>-277398</v>
      </c>
      <c r="N307" s="980"/>
      <c r="O307" s="980"/>
      <c r="P307" s="981"/>
      <c r="Q307" s="1318"/>
      <c r="R307" s="980"/>
      <c r="S307" s="980"/>
      <c r="T307" s="980"/>
      <c r="U307" s="980"/>
      <c r="V307" s="980"/>
      <c r="W307" s="980"/>
      <c r="X307" s="981"/>
    </row>
    <row r="308" spans="1:24" ht="18.75" customHeight="1" x14ac:dyDescent="0.25">
      <c r="A308" s="2018"/>
      <c r="B308" s="2017"/>
      <c r="C308" s="1996"/>
      <c r="D308" s="953" t="s">
        <v>199</v>
      </c>
      <c r="E308" s="1307" t="s">
        <v>601</v>
      </c>
      <c r="F308" s="1307" t="s">
        <v>127</v>
      </c>
      <c r="G308" s="1307" t="s">
        <v>1754</v>
      </c>
      <c r="H308" s="980"/>
      <c r="I308" s="980"/>
      <c r="J308" s="980"/>
      <c r="K308" s="980"/>
      <c r="L308" s="980"/>
      <c r="M308" s="980">
        <f>218423+58975</f>
        <v>277398</v>
      </c>
      <c r="N308" s="980"/>
      <c r="O308" s="980"/>
      <c r="P308" s="981"/>
      <c r="Q308" s="1318"/>
      <c r="R308" s="980"/>
      <c r="S308" s="980"/>
      <c r="T308" s="980"/>
      <c r="U308" s="980"/>
      <c r="V308" s="980"/>
      <c r="W308" s="980"/>
      <c r="X308" s="981"/>
    </row>
    <row r="309" spans="1:24" ht="22.5" customHeight="1" x14ac:dyDescent="0.25">
      <c r="A309" s="2018" t="s">
        <v>837</v>
      </c>
      <c r="B309" s="2017" t="s">
        <v>2193</v>
      </c>
      <c r="C309" s="1996" t="s">
        <v>2194</v>
      </c>
      <c r="D309" s="953" t="s">
        <v>201</v>
      </c>
      <c r="E309" s="1307" t="s">
        <v>73</v>
      </c>
      <c r="F309" s="1307" t="s">
        <v>1785</v>
      </c>
      <c r="G309" s="1307" t="s">
        <v>1752</v>
      </c>
      <c r="H309" s="980"/>
      <c r="I309" s="980"/>
      <c r="J309" s="980"/>
      <c r="K309" s="980"/>
      <c r="L309" s="980">
        <v>-5047000</v>
      </c>
      <c r="M309" s="980"/>
      <c r="N309" s="980"/>
      <c r="O309" s="980"/>
      <c r="P309" s="981"/>
      <c r="Q309" s="1318"/>
      <c r="R309" s="980"/>
      <c r="S309" s="980"/>
      <c r="T309" s="980"/>
      <c r="U309" s="980"/>
      <c r="V309" s="980"/>
      <c r="W309" s="980"/>
      <c r="X309" s="981"/>
    </row>
    <row r="310" spans="1:24" ht="22.5" customHeight="1" x14ac:dyDescent="0.25">
      <c r="A310" s="2018"/>
      <c r="B310" s="2017"/>
      <c r="C310" s="1996"/>
      <c r="D310" s="953" t="s">
        <v>199</v>
      </c>
      <c r="E310" s="1307" t="s">
        <v>601</v>
      </c>
      <c r="F310" s="1307" t="s">
        <v>127</v>
      </c>
      <c r="G310" s="1307" t="s">
        <v>1754</v>
      </c>
      <c r="H310" s="980"/>
      <c r="I310" s="980"/>
      <c r="J310" s="980"/>
      <c r="K310" s="980"/>
      <c r="L310" s="980"/>
      <c r="M310" s="980">
        <f>3974016+1072984</f>
        <v>5047000</v>
      </c>
      <c r="N310" s="980"/>
      <c r="O310" s="980"/>
      <c r="P310" s="981"/>
      <c r="Q310" s="1318"/>
      <c r="R310" s="980"/>
      <c r="S310" s="980"/>
      <c r="T310" s="980"/>
      <c r="U310" s="980"/>
      <c r="V310" s="980"/>
      <c r="W310" s="980"/>
      <c r="X310" s="981"/>
    </row>
    <row r="311" spans="1:24" ht="19.5" customHeight="1" x14ac:dyDescent="0.25">
      <c r="A311" s="2018" t="s">
        <v>826</v>
      </c>
      <c r="B311" s="2017" t="s">
        <v>2195</v>
      </c>
      <c r="C311" s="1996" t="s">
        <v>2196</v>
      </c>
      <c r="D311" s="953" t="s">
        <v>201</v>
      </c>
      <c r="E311" s="1307" t="s">
        <v>73</v>
      </c>
      <c r="F311" s="1307" t="s">
        <v>1785</v>
      </c>
      <c r="G311" s="1307" t="s">
        <v>1752</v>
      </c>
      <c r="H311" s="980"/>
      <c r="I311" s="980"/>
      <c r="J311" s="980"/>
      <c r="K311" s="980"/>
      <c r="L311" s="980">
        <v>-1482802</v>
      </c>
      <c r="M311" s="980"/>
      <c r="N311" s="980"/>
      <c r="O311" s="980"/>
      <c r="P311" s="981"/>
      <c r="Q311" s="1318"/>
      <c r="R311" s="980"/>
      <c r="S311" s="980"/>
      <c r="T311" s="980"/>
      <c r="U311" s="980"/>
      <c r="V311" s="980"/>
      <c r="W311" s="980"/>
      <c r="X311" s="981"/>
    </row>
    <row r="312" spans="1:24" ht="19.5" customHeight="1" x14ac:dyDescent="0.25">
      <c r="A312" s="2018"/>
      <c r="B312" s="2017"/>
      <c r="C312" s="1996"/>
      <c r="D312" s="953" t="s">
        <v>199</v>
      </c>
      <c r="E312" s="1307" t="s">
        <v>601</v>
      </c>
      <c r="F312" s="1307" t="s">
        <v>127</v>
      </c>
      <c r="G312" s="1307" t="s">
        <v>1754</v>
      </c>
      <c r="H312" s="980"/>
      <c r="I312" s="980"/>
      <c r="J312" s="980"/>
      <c r="K312" s="980"/>
      <c r="L312" s="980"/>
      <c r="M312" s="980">
        <f>1167561+315241</f>
        <v>1482802</v>
      </c>
      <c r="N312" s="980"/>
      <c r="O312" s="980"/>
      <c r="P312" s="981"/>
      <c r="Q312" s="1318"/>
      <c r="R312" s="980"/>
      <c r="S312" s="980"/>
      <c r="T312" s="980"/>
      <c r="U312" s="980"/>
      <c r="V312" s="980"/>
      <c r="W312" s="980"/>
      <c r="X312" s="981"/>
    </row>
    <row r="313" spans="1:24" ht="21.75" customHeight="1" x14ac:dyDescent="0.25">
      <c r="A313" s="2018" t="s">
        <v>825</v>
      </c>
      <c r="B313" s="2017" t="s">
        <v>2197</v>
      </c>
      <c r="C313" s="1996" t="s">
        <v>2198</v>
      </c>
      <c r="D313" s="953" t="s">
        <v>194</v>
      </c>
      <c r="E313" s="1307" t="s">
        <v>1838</v>
      </c>
      <c r="F313" s="1307" t="s">
        <v>1837</v>
      </c>
      <c r="G313" s="1307" t="s">
        <v>1752</v>
      </c>
      <c r="H313" s="980"/>
      <c r="I313" s="980"/>
      <c r="J313" s="980">
        <f>-5629921-1520079</f>
        <v>-7150000</v>
      </c>
      <c r="K313" s="980"/>
      <c r="L313" s="980"/>
      <c r="M313" s="980"/>
      <c r="N313" s="980"/>
      <c r="O313" s="980"/>
      <c r="P313" s="981"/>
      <c r="Q313" s="1318"/>
      <c r="R313" s="980"/>
      <c r="S313" s="980"/>
      <c r="T313" s="980"/>
      <c r="U313" s="980"/>
      <c r="V313" s="980"/>
      <c r="W313" s="980"/>
      <c r="X313" s="981"/>
    </row>
    <row r="314" spans="1:24" ht="21.75" customHeight="1" x14ac:dyDescent="0.25">
      <c r="A314" s="2018"/>
      <c r="B314" s="2017"/>
      <c r="C314" s="1996"/>
      <c r="D314" s="953" t="s">
        <v>199</v>
      </c>
      <c r="E314" s="1307" t="s">
        <v>601</v>
      </c>
      <c r="F314" s="1307" t="s">
        <v>127</v>
      </c>
      <c r="G314" s="1307" t="s">
        <v>1754</v>
      </c>
      <c r="H314" s="980"/>
      <c r="I314" s="980"/>
      <c r="J314" s="980"/>
      <c r="K314" s="980"/>
      <c r="L314" s="980"/>
      <c r="M314" s="980">
        <f>5629921+1520079</f>
        <v>7150000</v>
      </c>
      <c r="N314" s="980"/>
      <c r="O314" s="980"/>
      <c r="P314" s="981"/>
      <c r="Q314" s="1318"/>
      <c r="R314" s="980"/>
      <c r="S314" s="980"/>
      <c r="T314" s="980"/>
      <c r="U314" s="980"/>
      <c r="V314" s="980"/>
      <c r="W314" s="980"/>
      <c r="X314" s="981"/>
    </row>
    <row r="315" spans="1:24" ht="32.25" customHeight="1" x14ac:dyDescent="0.25">
      <c r="A315" s="2018" t="s">
        <v>824</v>
      </c>
      <c r="B315" s="2017" t="s">
        <v>2199</v>
      </c>
      <c r="C315" s="1996" t="s">
        <v>2209</v>
      </c>
      <c r="D315" s="953" t="s">
        <v>201</v>
      </c>
      <c r="E315" s="1307" t="s">
        <v>73</v>
      </c>
      <c r="F315" s="1307" t="s">
        <v>1785</v>
      </c>
      <c r="G315" s="1307" t="s">
        <v>1752</v>
      </c>
      <c r="H315" s="980"/>
      <c r="I315" s="980"/>
      <c r="J315" s="980"/>
      <c r="K315" s="980"/>
      <c r="L315" s="980">
        <v>-569148</v>
      </c>
      <c r="M315" s="980"/>
      <c r="N315" s="980"/>
      <c r="O315" s="980"/>
      <c r="P315" s="981"/>
      <c r="Q315" s="1318"/>
      <c r="R315" s="980"/>
      <c r="S315" s="980"/>
      <c r="T315" s="980"/>
      <c r="U315" s="980"/>
      <c r="V315" s="980"/>
      <c r="W315" s="980"/>
      <c r="X315" s="981"/>
    </row>
    <row r="316" spans="1:24" ht="32.25" customHeight="1" x14ac:dyDescent="0.25">
      <c r="A316" s="2018"/>
      <c r="B316" s="2017"/>
      <c r="C316" s="1996"/>
      <c r="D316" s="953" t="s">
        <v>194</v>
      </c>
      <c r="E316" s="1307" t="s">
        <v>561</v>
      </c>
      <c r="F316" s="1307" t="s">
        <v>867</v>
      </c>
      <c r="G316" s="1307" t="s">
        <v>1754</v>
      </c>
      <c r="H316" s="980"/>
      <c r="I316" s="980"/>
      <c r="J316" s="980">
        <f>448148+121000</f>
        <v>569148</v>
      </c>
      <c r="K316" s="980"/>
      <c r="L316" s="980"/>
      <c r="M316" s="980"/>
      <c r="N316" s="980"/>
      <c r="O316" s="980"/>
      <c r="P316" s="981"/>
      <c r="Q316" s="1318"/>
      <c r="R316" s="980"/>
      <c r="S316" s="980"/>
      <c r="T316" s="980"/>
      <c r="U316" s="980"/>
      <c r="V316" s="980"/>
      <c r="W316" s="980"/>
      <c r="X316" s="981"/>
    </row>
    <row r="317" spans="1:24" ht="22.5" customHeight="1" x14ac:dyDescent="0.25">
      <c r="A317" s="2018" t="s">
        <v>838</v>
      </c>
      <c r="B317" s="2017" t="s">
        <v>2200</v>
      </c>
      <c r="C317" s="1996" t="s">
        <v>2201</v>
      </c>
      <c r="D317" s="953" t="s">
        <v>199</v>
      </c>
      <c r="E317" s="1307" t="s">
        <v>129</v>
      </c>
      <c r="F317" s="1307" t="s">
        <v>90</v>
      </c>
      <c r="G317" s="1307" t="s">
        <v>1752</v>
      </c>
      <c r="H317" s="980"/>
      <c r="I317" s="980"/>
      <c r="J317" s="980"/>
      <c r="K317" s="980"/>
      <c r="L317" s="980"/>
      <c r="M317" s="980">
        <f>-1520000-410400</f>
        <v>-1930400</v>
      </c>
      <c r="N317" s="980"/>
      <c r="O317" s="980"/>
      <c r="P317" s="981"/>
      <c r="Q317" s="1318"/>
      <c r="R317" s="980"/>
      <c r="S317" s="980"/>
      <c r="T317" s="980"/>
      <c r="U317" s="980"/>
      <c r="V317" s="980"/>
      <c r="W317" s="980"/>
      <c r="X317" s="981"/>
    </row>
    <row r="318" spans="1:24" ht="22.5" customHeight="1" x14ac:dyDescent="0.25">
      <c r="A318" s="2018"/>
      <c r="B318" s="2017"/>
      <c r="C318" s="1996"/>
      <c r="D318" s="953" t="s">
        <v>199</v>
      </c>
      <c r="E318" s="1307" t="s">
        <v>129</v>
      </c>
      <c r="F318" s="1307" t="s">
        <v>90</v>
      </c>
      <c r="G318" s="1307" t="s">
        <v>1754</v>
      </c>
      <c r="H318" s="980"/>
      <c r="I318" s="980"/>
      <c r="J318" s="980"/>
      <c r="K318" s="980"/>
      <c r="L318" s="980"/>
      <c r="M318" s="980">
        <f>1520000+410400</f>
        <v>1930400</v>
      </c>
      <c r="N318" s="980"/>
      <c r="O318" s="980"/>
      <c r="P318" s="981"/>
      <c r="Q318" s="1318"/>
      <c r="R318" s="980"/>
      <c r="S318" s="980"/>
      <c r="T318" s="980"/>
      <c r="U318" s="980"/>
      <c r="V318" s="980"/>
      <c r="W318" s="980"/>
      <c r="X318" s="981"/>
    </row>
    <row r="319" spans="1:24" ht="30" customHeight="1" x14ac:dyDescent="0.25">
      <c r="A319" s="2018" t="s">
        <v>839</v>
      </c>
      <c r="B319" s="2017" t="s">
        <v>2203</v>
      </c>
      <c r="C319" s="1996" t="s">
        <v>2210</v>
      </c>
      <c r="D319" s="953" t="s">
        <v>201</v>
      </c>
      <c r="E319" s="1307" t="s">
        <v>73</v>
      </c>
      <c r="F319" s="1307" t="s">
        <v>1785</v>
      </c>
      <c r="G319" s="1307" t="s">
        <v>1752</v>
      </c>
      <c r="H319" s="980"/>
      <c r="I319" s="980"/>
      <c r="J319" s="980"/>
      <c r="K319" s="980"/>
      <c r="L319" s="980">
        <v>-2870200</v>
      </c>
      <c r="M319" s="980"/>
      <c r="N319" s="980"/>
      <c r="O319" s="980"/>
      <c r="P319" s="981"/>
      <c r="Q319" s="1318"/>
      <c r="R319" s="980"/>
      <c r="S319" s="980"/>
      <c r="T319" s="980"/>
      <c r="U319" s="980"/>
      <c r="V319" s="980"/>
      <c r="W319" s="980"/>
      <c r="X319" s="981"/>
    </row>
    <row r="320" spans="1:24" ht="30" customHeight="1" x14ac:dyDescent="0.25">
      <c r="A320" s="2018"/>
      <c r="B320" s="2017"/>
      <c r="C320" s="1996"/>
      <c r="D320" s="953">
        <v>93</v>
      </c>
      <c r="E320" s="1307" t="s">
        <v>561</v>
      </c>
      <c r="F320" s="1307" t="s">
        <v>2204</v>
      </c>
      <c r="G320" s="1307" t="s">
        <v>1754</v>
      </c>
      <c r="H320" s="980"/>
      <c r="I320" s="980"/>
      <c r="J320" s="980"/>
      <c r="K320" s="980"/>
      <c r="L320" s="980"/>
      <c r="M320" s="980">
        <f>2260000+610200</f>
        <v>2870200</v>
      </c>
      <c r="N320" s="980"/>
      <c r="O320" s="980"/>
      <c r="P320" s="981"/>
      <c r="Q320" s="1318"/>
      <c r="R320" s="980"/>
      <c r="S320" s="980"/>
      <c r="T320" s="980"/>
      <c r="U320" s="980"/>
      <c r="V320" s="980"/>
      <c r="W320" s="980"/>
      <c r="X320" s="981"/>
    </row>
    <row r="321" spans="1:24" ht="31.5" customHeight="1" x14ac:dyDescent="0.25">
      <c r="A321" s="2018" t="s">
        <v>840</v>
      </c>
      <c r="B321" s="2017" t="s">
        <v>2212</v>
      </c>
      <c r="C321" s="1996" t="s">
        <v>2218</v>
      </c>
      <c r="D321" s="953" t="s">
        <v>201</v>
      </c>
      <c r="E321" s="1307" t="s">
        <v>73</v>
      </c>
      <c r="F321" s="1307" t="s">
        <v>1785</v>
      </c>
      <c r="G321" s="1307" t="s">
        <v>1752</v>
      </c>
      <c r="H321" s="980"/>
      <c r="I321" s="980"/>
      <c r="J321" s="980"/>
      <c r="K321" s="980"/>
      <c r="L321" s="980">
        <v>-1938655</v>
      </c>
      <c r="M321" s="980"/>
      <c r="N321" s="980"/>
      <c r="O321" s="980"/>
      <c r="P321" s="981"/>
      <c r="Q321" s="1318"/>
      <c r="R321" s="980"/>
      <c r="S321" s="980"/>
      <c r="T321" s="980"/>
      <c r="U321" s="980"/>
      <c r="V321" s="980"/>
      <c r="W321" s="980"/>
      <c r="X321" s="981"/>
    </row>
    <row r="322" spans="1:24" ht="31.5" customHeight="1" x14ac:dyDescent="0.25">
      <c r="A322" s="2018"/>
      <c r="B322" s="2017"/>
      <c r="C322" s="1996"/>
      <c r="D322" s="953" t="s">
        <v>199</v>
      </c>
      <c r="E322" s="1307" t="s">
        <v>561</v>
      </c>
      <c r="F322" s="1307" t="s">
        <v>2204</v>
      </c>
      <c r="G322" s="1307" t="s">
        <v>1754</v>
      </c>
      <c r="H322" s="980"/>
      <c r="I322" s="980"/>
      <c r="J322" s="980"/>
      <c r="K322" s="980"/>
      <c r="L322" s="980"/>
      <c r="M322" s="980">
        <f>1526500+412155</f>
        <v>1938655</v>
      </c>
      <c r="N322" s="980"/>
      <c r="O322" s="980"/>
      <c r="P322" s="981"/>
      <c r="Q322" s="1318"/>
      <c r="R322" s="980"/>
      <c r="S322" s="980"/>
      <c r="T322" s="980"/>
      <c r="U322" s="980"/>
      <c r="V322" s="980"/>
      <c r="W322" s="980"/>
      <c r="X322" s="981"/>
    </row>
    <row r="323" spans="1:24" ht="23.25" customHeight="1" x14ac:dyDescent="0.25">
      <c r="A323" s="2018" t="s">
        <v>1314</v>
      </c>
      <c r="B323" s="2017" t="s">
        <v>2213</v>
      </c>
      <c r="C323" s="1996" t="s">
        <v>2214</v>
      </c>
      <c r="D323" s="953" t="s">
        <v>201</v>
      </c>
      <c r="E323" s="1307" t="s">
        <v>73</v>
      </c>
      <c r="F323" s="1307" t="s">
        <v>1785</v>
      </c>
      <c r="G323" s="1307" t="s">
        <v>1752</v>
      </c>
      <c r="H323" s="980"/>
      <c r="I323" s="980"/>
      <c r="J323" s="980"/>
      <c r="K323" s="980"/>
      <c r="L323" s="980">
        <v>-190500</v>
      </c>
      <c r="M323" s="980"/>
      <c r="N323" s="980"/>
      <c r="O323" s="980"/>
      <c r="P323" s="981"/>
      <c r="Q323" s="1318"/>
      <c r="R323" s="980"/>
      <c r="S323" s="980"/>
      <c r="T323" s="980"/>
      <c r="U323" s="980"/>
      <c r="V323" s="980"/>
      <c r="W323" s="980"/>
      <c r="X323" s="981"/>
    </row>
    <row r="324" spans="1:24" ht="23.25" customHeight="1" x14ac:dyDescent="0.25">
      <c r="A324" s="2018"/>
      <c r="B324" s="2017"/>
      <c r="C324" s="1996"/>
      <c r="D324" s="953" t="s">
        <v>194</v>
      </c>
      <c r="E324" s="1307" t="s">
        <v>889</v>
      </c>
      <c r="F324" s="1307" t="s">
        <v>888</v>
      </c>
      <c r="G324" s="1307" t="s">
        <v>1754</v>
      </c>
      <c r="H324" s="980"/>
      <c r="I324" s="980"/>
      <c r="J324" s="980">
        <f>150000+40500</f>
        <v>190500</v>
      </c>
      <c r="K324" s="980"/>
      <c r="L324" s="980"/>
      <c r="M324" s="980"/>
      <c r="N324" s="980"/>
      <c r="O324" s="980"/>
      <c r="P324" s="981"/>
      <c r="Q324" s="1318"/>
      <c r="R324" s="980"/>
      <c r="S324" s="980"/>
      <c r="T324" s="980"/>
      <c r="U324" s="980"/>
      <c r="V324" s="980"/>
      <c r="W324" s="980"/>
      <c r="X324" s="981"/>
    </row>
    <row r="325" spans="1:24" ht="23.25" customHeight="1" x14ac:dyDescent="0.25">
      <c r="A325" s="2018" t="s">
        <v>1320</v>
      </c>
      <c r="B325" s="2017" t="s">
        <v>2215</v>
      </c>
      <c r="C325" s="1996" t="s">
        <v>2236</v>
      </c>
      <c r="D325" s="953" t="s">
        <v>201</v>
      </c>
      <c r="E325" s="1307" t="s">
        <v>73</v>
      </c>
      <c r="F325" s="1307" t="s">
        <v>1785</v>
      </c>
      <c r="G325" s="1307" t="s">
        <v>1752</v>
      </c>
      <c r="H325" s="980"/>
      <c r="I325" s="980"/>
      <c r="J325" s="980"/>
      <c r="K325" s="980"/>
      <c r="L325" s="980">
        <v>-50800</v>
      </c>
      <c r="M325" s="980"/>
      <c r="N325" s="980"/>
      <c r="O325" s="980"/>
      <c r="P325" s="981"/>
      <c r="Q325" s="1318"/>
      <c r="R325" s="980"/>
      <c r="S325" s="980"/>
      <c r="T325" s="980"/>
      <c r="U325" s="980"/>
      <c r="V325" s="980"/>
      <c r="W325" s="980"/>
      <c r="X325" s="981"/>
    </row>
    <row r="326" spans="1:24" ht="23.25" customHeight="1" x14ac:dyDescent="0.25">
      <c r="A326" s="2018"/>
      <c r="B326" s="2017"/>
      <c r="C326" s="1996"/>
      <c r="D326" s="953" t="s">
        <v>203</v>
      </c>
      <c r="E326" s="1307" t="s">
        <v>1297</v>
      </c>
      <c r="F326" s="1307" t="s">
        <v>550</v>
      </c>
      <c r="G326" s="1307" t="s">
        <v>1754</v>
      </c>
      <c r="H326" s="980"/>
      <c r="I326" s="980"/>
      <c r="J326" s="980"/>
      <c r="K326" s="980"/>
      <c r="L326" s="980"/>
      <c r="M326" s="980"/>
      <c r="N326" s="980"/>
      <c r="O326" s="980"/>
      <c r="P326" s="981">
        <v>50800</v>
      </c>
      <c r="Q326" s="1318"/>
      <c r="R326" s="980"/>
      <c r="S326" s="980"/>
      <c r="T326" s="980"/>
      <c r="U326" s="980"/>
      <c r="V326" s="980"/>
      <c r="W326" s="980"/>
      <c r="X326" s="981"/>
    </row>
    <row r="327" spans="1:24" ht="24.75" customHeight="1" x14ac:dyDescent="0.25">
      <c r="A327" s="2018" t="s">
        <v>1321</v>
      </c>
      <c r="B327" s="2017" t="s">
        <v>2216</v>
      </c>
      <c r="C327" s="1996" t="s">
        <v>2217</v>
      </c>
      <c r="D327" s="953" t="s">
        <v>201</v>
      </c>
      <c r="E327" s="1307" t="s">
        <v>73</v>
      </c>
      <c r="F327" s="1307" t="s">
        <v>1785</v>
      </c>
      <c r="G327" s="1307" t="s">
        <v>1752</v>
      </c>
      <c r="H327" s="980"/>
      <c r="I327" s="980"/>
      <c r="J327" s="980"/>
      <c r="K327" s="980"/>
      <c r="L327" s="980">
        <v>-2297748</v>
      </c>
      <c r="M327" s="980"/>
      <c r="N327" s="980"/>
      <c r="O327" s="980"/>
      <c r="P327" s="981"/>
      <c r="Q327" s="1318"/>
      <c r="R327" s="980"/>
      <c r="S327" s="980"/>
      <c r="T327" s="980"/>
      <c r="U327" s="980"/>
      <c r="V327" s="980"/>
      <c r="W327" s="980"/>
      <c r="X327" s="981"/>
    </row>
    <row r="328" spans="1:24" ht="24.75" customHeight="1" x14ac:dyDescent="0.25">
      <c r="A328" s="2018"/>
      <c r="B328" s="2017"/>
      <c r="C328" s="1996"/>
      <c r="D328" s="953" t="s">
        <v>203</v>
      </c>
      <c r="E328" s="1307" t="s">
        <v>1297</v>
      </c>
      <c r="F328" s="1307" t="s">
        <v>550</v>
      </c>
      <c r="G328" s="1307" t="s">
        <v>1754</v>
      </c>
      <c r="H328" s="980"/>
      <c r="I328" s="980"/>
      <c r="J328" s="980"/>
      <c r="K328" s="980"/>
      <c r="L328" s="980"/>
      <c r="M328" s="980"/>
      <c r="N328" s="980"/>
      <c r="O328" s="980"/>
      <c r="P328" s="981">
        <v>2297748</v>
      </c>
      <c r="Q328" s="1318"/>
      <c r="R328" s="980"/>
      <c r="S328" s="980"/>
      <c r="T328" s="980"/>
      <c r="U328" s="980"/>
      <c r="V328" s="980"/>
      <c r="W328" s="980"/>
      <c r="X328" s="981"/>
    </row>
    <row r="329" spans="1:24" ht="24.75" customHeight="1" x14ac:dyDescent="0.25">
      <c r="A329" s="2018" t="s">
        <v>1324</v>
      </c>
      <c r="B329" s="2017" t="s">
        <v>2219</v>
      </c>
      <c r="C329" s="1996" t="s">
        <v>2220</v>
      </c>
      <c r="D329" s="953" t="s">
        <v>201</v>
      </c>
      <c r="E329" s="1307" t="s">
        <v>73</v>
      </c>
      <c r="F329" s="1307" t="s">
        <v>1785</v>
      </c>
      <c r="G329" s="1307" t="s">
        <v>1752</v>
      </c>
      <c r="H329" s="980"/>
      <c r="I329" s="980"/>
      <c r="J329" s="980"/>
      <c r="K329" s="980"/>
      <c r="L329" s="980">
        <v>-406400</v>
      </c>
      <c r="M329" s="980"/>
      <c r="N329" s="980"/>
      <c r="O329" s="980"/>
      <c r="P329" s="981"/>
      <c r="Q329" s="1318"/>
      <c r="R329" s="980"/>
      <c r="S329" s="980"/>
      <c r="T329" s="980"/>
      <c r="U329" s="980"/>
      <c r="V329" s="980"/>
      <c r="W329" s="980"/>
      <c r="X329" s="981"/>
    </row>
    <row r="330" spans="1:24" ht="24.75" customHeight="1" x14ac:dyDescent="0.25">
      <c r="A330" s="2018"/>
      <c r="B330" s="2017"/>
      <c r="C330" s="1996"/>
      <c r="D330" s="953" t="s">
        <v>203</v>
      </c>
      <c r="E330" s="1307" t="s">
        <v>1297</v>
      </c>
      <c r="F330" s="1307" t="s">
        <v>550</v>
      </c>
      <c r="G330" s="1307" t="s">
        <v>1754</v>
      </c>
      <c r="H330" s="980"/>
      <c r="I330" s="980"/>
      <c r="J330" s="980"/>
      <c r="K330" s="980"/>
      <c r="L330" s="980"/>
      <c r="M330" s="980"/>
      <c r="N330" s="980"/>
      <c r="O330" s="980"/>
      <c r="P330" s="981">
        <v>406400</v>
      </c>
      <c r="Q330" s="1318"/>
      <c r="R330" s="980"/>
      <c r="S330" s="980"/>
      <c r="T330" s="980"/>
      <c r="U330" s="980"/>
      <c r="V330" s="980"/>
      <c r="W330" s="980"/>
      <c r="X330" s="981"/>
    </row>
    <row r="331" spans="1:24" ht="23.25" customHeight="1" x14ac:dyDescent="0.25">
      <c r="A331" s="2018" t="s">
        <v>1329</v>
      </c>
      <c r="B331" s="2017" t="s">
        <v>2221</v>
      </c>
      <c r="C331" s="1996" t="s">
        <v>2222</v>
      </c>
      <c r="D331" s="953" t="s">
        <v>194</v>
      </c>
      <c r="E331" s="1307" t="s">
        <v>130</v>
      </c>
      <c r="F331" s="1307" t="s">
        <v>153</v>
      </c>
      <c r="G331" s="1307" t="s">
        <v>1754</v>
      </c>
      <c r="H331" s="980"/>
      <c r="I331" s="980"/>
      <c r="J331" s="980"/>
      <c r="K331" s="980"/>
      <c r="L331" s="980"/>
      <c r="M331" s="980"/>
      <c r="N331" s="980"/>
      <c r="O331" s="980"/>
      <c r="P331" s="981"/>
      <c r="Q331" s="1318"/>
      <c r="R331" s="980"/>
      <c r="S331" s="980"/>
      <c r="T331" s="980">
        <f>278000+75060</f>
        <v>353060</v>
      </c>
      <c r="U331" s="980"/>
      <c r="V331" s="980"/>
      <c r="W331" s="980"/>
      <c r="X331" s="981"/>
    </row>
    <row r="332" spans="1:24" ht="23.25" customHeight="1" x14ac:dyDescent="0.25">
      <c r="A332" s="2018"/>
      <c r="B332" s="2017"/>
      <c r="C332" s="1996"/>
      <c r="D332" s="953" t="s">
        <v>201</v>
      </c>
      <c r="E332" s="1307" t="s">
        <v>73</v>
      </c>
      <c r="F332" s="1307" t="s">
        <v>1785</v>
      </c>
      <c r="G332" s="1307" t="s">
        <v>1754</v>
      </c>
      <c r="H332" s="980"/>
      <c r="I332" s="980"/>
      <c r="J332" s="980"/>
      <c r="K332" s="980"/>
      <c r="L332" s="980">
        <v>353060</v>
      </c>
      <c r="M332" s="980"/>
      <c r="N332" s="980"/>
      <c r="O332" s="980"/>
      <c r="P332" s="981"/>
      <c r="Q332" s="1318"/>
      <c r="R332" s="980"/>
      <c r="S332" s="980"/>
      <c r="T332" s="980"/>
      <c r="U332" s="980"/>
      <c r="V332" s="980"/>
      <c r="W332" s="980"/>
      <c r="X332" s="981"/>
    </row>
    <row r="333" spans="1:24" ht="31.5" customHeight="1" x14ac:dyDescent="0.25">
      <c r="A333" s="1488" t="s">
        <v>1333</v>
      </c>
      <c r="B333" s="1486" t="s">
        <v>2223</v>
      </c>
      <c r="C333" s="1482" t="s">
        <v>2224</v>
      </c>
      <c r="D333" s="953">
        <v>1</v>
      </c>
      <c r="E333" s="1307" t="s">
        <v>130</v>
      </c>
      <c r="F333" s="1307" t="s">
        <v>1812</v>
      </c>
      <c r="G333" s="1307" t="s">
        <v>1766</v>
      </c>
      <c r="H333" s="980"/>
      <c r="I333" s="980"/>
      <c r="J333" s="980">
        <f>-220000+220000</f>
        <v>0</v>
      </c>
      <c r="K333" s="980"/>
      <c r="L333" s="980"/>
      <c r="M333" s="980"/>
      <c r="N333" s="980"/>
      <c r="O333" s="980"/>
      <c r="P333" s="981"/>
      <c r="Q333" s="1318"/>
      <c r="R333" s="980"/>
      <c r="S333" s="980"/>
      <c r="T333" s="980"/>
      <c r="U333" s="980"/>
      <c r="V333" s="980"/>
      <c r="W333" s="980"/>
      <c r="X333" s="981"/>
    </row>
    <row r="334" spans="1:24" ht="17.25" customHeight="1" x14ac:dyDescent="0.25">
      <c r="A334" s="2018" t="s">
        <v>1340</v>
      </c>
      <c r="B334" s="2017" t="s">
        <v>2225</v>
      </c>
      <c r="C334" s="2020" t="s">
        <v>2226</v>
      </c>
      <c r="D334" s="953" t="s">
        <v>194</v>
      </c>
      <c r="E334" s="1307" t="s">
        <v>73</v>
      </c>
      <c r="F334" s="1307" t="s">
        <v>453</v>
      </c>
      <c r="G334" s="1307" t="s">
        <v>1766</v>
      </c>
      <c r="H334" s="980">
        <f>-750000+750000</f>
        <v>0</v>
      </c>
      <c r="I334" s="980"/>
      <c r="J334" s="980"/>
      <c r="K334" s="980"/>
      <c r="L334" s="980"/>
      <c r="M334" s="980"/>
      <c r="N334" s="980"/>
      <c r="O334" s="980"/>
      <c r="P334" s="981"/>
      <c r="Q334" s="1318"/>
      <c r="R334" s="980"/>
      <c r="S334" s="980"/>
      <c r="T334" s="980"/>
      <c r="U334" s="980"/>
      <c r="V334" s="980"/>
      <c r="W334" s="980"/>
      <c r="X334" s="981"/>
    </row>
    <row r="335" spans="1:24" ht="17.25" customHeight="1" x14ac:dyDescent="0.25">
      <c r="A335" s="2018"/>
      <c r="B335" s="2017"/>
      <c r="C335" s="2020"/>
      <c r="D335" s="953" t="s">
        <v>194</v>
      </c>
      <c r="E335" s="1307" t="s">
        <v>73</v>
      </c>
      <c r="F335" s="1307" t="s">
        <v>553</v>
      </c>
      <c r="G335" s="1307" t="s">
        <v>1766</v>
      </c>
      <c r="H335" s="980">
        <f>-70000+20000+50000</f>
        <v>0</v>
      </c>
      <c r="I335" s="980">
        <v>-238773</v>
      </c>
      <c r="J335" s="980"/>
      <c r="K335" s="980"/>
      <c r="L335" s="980"/>
      <c r="M335" s="980"/>
      <c r="N335" s="980"/>
      <c r="O335" s="980"/>
      <c r="P335" s="981"/>
      <c r="Q335" s="1318"/>
      <c r="R335" s="980"/>
      <c r="S335" s="980"/>
      <c r="T335" s="980"/>
      <c r="U335" s="980"/>
      <c r="V335" s="980"/>
      <c r="W335" s="980"/>
      <c r="X335" s="981"/>
    </row>
    <row r="336" spans="1:24" ht="17.25" customHeight="1" x14ac:dyDescent="0.25">
      <c r="A336" s="2018"/>
      <c r="B336" s="2017"/>
      <c r="C336" s="2020"/>
      <c r="D336" s="953" t="s">
        <v>194</v>
      </c>
      <c r="E336" s="1307" t="s">
        <v>609</v>
      </c>
      <c r="F336" s="1307" t="s">
        <v>455</v>
      </c>
      <c r="G336" s="1307" t="s">
        <v>1766</v>
      </c>
      <c r="H336" s="980">
        <f>-70600+15600+55000</f>
        <v>0</v>
      </c>
      <c r="I336" s="980"/>
      <c r="J336" s="980"/>
      <c r="K336" s="980"/>
      <c r="L336" s="980"/>
      <c r="M336" s="980"/>
      <c r="N336" s="980"/>
      <c r="O336" s="980"/>
      <c r="P336" s="981"/>
      <c r="Q336" s="1318"/>
      <c r="R336" s="980"/>
      <c r="S336" s="980"/>
      <c r="T336" s="980"/>
      <c r="U336" s="980"/>
      <c r="V336" s="980"/>
      <c r="W336" s="980"/>
      <c r="X336" s="981"/>
    </row>
    <row r="337" spans="1:24" ht="17.25" customHeight="1" x14ac:dyDescent="0.25">
      <c r="A337" s="2018"/>
      <c r="B337" s="2017"/>
      <c r="C337" s="2020"/>
      <c r="D337" s="953" t="s">
        <v>194</v>
      </c>
      <c r="E337" s="1307" t="s">
        <v>130</v>
      </c>
      <c r="F337" s="1307" t="s">
        <v>457</v>
      </c>
      <c r="G337" s="1307" t="s">
        <v>1766</v>
      </c>
      <c r="H337" s="980">
        <f>-248276+200000+48276</f>
        <v>0</v>
      </c>
      <c r="I337" s="980"/>
      <c r="J337" s="980"/>
      <c r="K337" s="980"/>
      <c r="L337" s="980"/>
      <c r="M337" s="980"/>
      <c r="N337" s="980"/>
      <c r="O337" s="980"/>
      <c r="P337" s="981"/>
      <c r="Q337" s="1318"/>
      <c r="R337" s="980"/>
      <c r="S337" s="980"/>
      <c r="T337" s="980"/>
      <c r="U337" s="980"/>
      <c r="V337" s="980"/>
      <c r="W337" s="980"/>
      <c r="X337" s="981"/>
    </row>
    <row r="338" spans="1:24" ht="17.25" customHeight="1" x14ac:dyDescent="0.25">
      <c r="A338" s="2018"/>
      <c r="B338" s="2017"/>
      <c r="C338" s="2020"/>
      <c r="D338" s="953" t="s">
        <v>194</v>
      </c>
      <c r="E338" s="1307" t="s">
        <v>557</v>
      </c>
      <c r="F338" s="1307" t="s">
        <v>460</v>
      </c>
      <c r="G338" s="1307" t="s">
        <v>1766</v>
      </c>
      <c r="H338" s="980">
        <f>-18000+18000</f>
        <v>0</v>
      </c>
      <c r="I338" s="980"/>
      <c r="J338" s="980"/>
      <c r="K338" s="980"/>
      <c r="L338" s="980"/>
      <c r="M338" s="980"/>
      <c r="N338" s="980"/>
      <c r="O338" s="980"/>
      <c r="P338" s="981"/>
      <c r="Q338" s="1318"/>
      <c r="R338" s="980"/>
      <c r="S338" s="980"/>
      <c r="T338" s="980"/>
      <c r="U338" s="980"/>
      <c r="V338" s="980"/>
      <c r="W338" s="980"/>
      <c r="X338" s="981"/>
    </row>
    <row r="339" spans="1:24" ht="17.25" customHeight="1" x14ac:dyDescent="0.25">
      <c r="A339" s="2018"/>
      <c r="B339" s="2017"/>
      <c r="C339" s="2020"/>
      <c r="D339" s="953" t="s">
        <v>194</v>
      </c>
      <c r="E339" s="1307" t="s">
        <v>557</v>
      </c>
      <c r="F339" s="1307" t="s">
        <v>462</v>
      </c>
      <c r="G339" s="1307" t="s">
        <v>1766</v>
      </c>
      <c r="H339" s="980">
        <f>-93000+63000+30000</f>
        <v>0</v>
      </c>
      <c r="I339" s="980"/>
      <c r="J339" s="980"/>
      <c r="K339" s="980"/>
      <c r="L339" s="980"/>
      <c r="M339" s="980"/>
      <c r="N339" s="980"/>
      <c r="O339" s="980"/>
      <c r="P339" s="981"/>
      <c r="Q339" s="1318"/>
      <c r="R339" s="980"/>
      <c r="S339" s="980"/>
      <c r="T339" s="980"/>
      <c r="U339" s="980"/>
      <c r="V339" s="980"/>
      <c r="W339" s="980"/>
      <c r="X339" s="981"/>
    </row>
    <row r="340" spans="1:24" ht="17.25" customHeight="1" x14ac:dyDescent="0.25">
      <c r="A340" s="2018"/>
      <c r="B340" s="2017"/>
      <c r="C340" s="2020"/>
      <c r="D340" s="953" t="s">
        <v>194</v>
      </c>
      <c r="E340" s="1307" t="s">
        <v>1940</v>
      </c>
      <c r="F340" s="1307" t="s">
        <v>1939</v>
      </c>
      <c r="G340" s="1307" t="s">
        <v>1754</v>
      </c>
      <c r="H340" s="980"/>
      <c r="I340" s="980">
        <v>238773</v>
      </c>
      <c r="J340" s="980"/>
      <c r="K340" s="980"/>
      <c r="L340" s="980"/>
      <c r="M340" s="980"/>
      <c r="N340" s="980"/>
      <c r="O340" s="980"/>
      <c r="P340" s="981"/>
      <c r="Q340" s="1318"/>
      <c r="R340" s="980"/>
      <c r="S340" s="980"/>
      <c r="T340" s="980"/>
      <c r="U340" s="980"/>
      <c r="V340" s="980"/>
      <c r="W340" s="980"/>
      <c r="X340" s="981"/>
    </row>
    <row r="341" spans="1:24" ht="20.25" customHeight="1" x14ac:dyDescent="0.25">
      <c r="A341" s="2018" t="s">
        <v>1341</v>
      </c>
      <c r="B341" s="2017" t="s">
        <v>2227</v>
      </c>
      <c r="C341" s="1996" t="s">
        <v>2228</v>
      </c>
      <c r="D341" s="953" t="s">
        <v>199</v>
      </c>
      <c r="E341" s="1307" t="s">
        <v>844</v>
      </c>
      <c r="F341" s="1307" t="s">
        <v>1802</v>
      </c>
      <c r="G341" s="1307" t="s">
        <v>1752</v>
      </c>
      <c r="H341" s="980"/>
      <c r="I341" s="980"/>
      <c r="J341" s="980"/>
      <c r="K341" s="980"/>
      <c r="L341" s="980"/>
      <c r="M341" s="980">
        <f>-782360-211237</f>
        <v>-993597</v>
      </c>
      <c r="N341" s="980"/>
      <c r="O341" s="980"/>
      <c r="P341" s="981"/>
      <c r="Q341" s="1318"/>
      <c r="R341" s="980"/>
      <c r="S341" s="980"/>
      <c r="T341" s="980"/>
      <c r="U341" s="980"/>
      <c r="V341" s="980"/>
      <c r="W341" s="980"/>
      <c r="X341" s="981"/>
    </row>
    <row r="342" spans="1:24" ht="20.25" customHeight="1" x14ac:dyDescent="0.25">
      <c r="A342" s="2018"/>
      <c r="B342" s="2017"/>
      <c r="C342" s="1996"/>
      <c r="D342" s="953" t="s">
        <v>194</v>
      </c>
      <c r="E342" s="1307" t="s">
        <v>844</v>
      </c>
      <c r="F342" s="1307" t="s">
        <v>1802</v>
      </c>
      <c r="G342" s="1307" t="s">
        <v>1754</v>
      </c>
      <c r="H342" s="980"/>
      <c r="I342" s="980"/>
      <c r="J342" s="980">
        <f>782360+211237</f>
        <v>993597</v>
      </c>
      <c r="K342" s="980"/>
      <c r="L342" s="980"/>
      <c r="M342" s="980"/>
      <c r="N342" s="980"/>
      <c r="O342" s="980"/>
      <c r="P342" s="981"/>
      <c r="Q342" s="1318"/>
      <c r="R342" s="980"/>
      <c r="S342" s="980"/>
      <c r="T342" s="980"/>
      <c r="U342" s="980"/>
      <c r="V342" s="980"/>
      <c r="W342" s="980"/>
      <c r="X342" s="981"/>
    </row>
    <row r="343" spans="1:24" ht="21" customHeight="1" x14ac:dyDescent="0.25">
      <c r="A343" s="2018" t="s">
        <v>1342</v>
      </c>
      <c r="B343" s="2017" t="s">
        <v>2229</v>
      </c>
      <c r="C343" s="2019" t="s">
        <v>2385</v>
      </c>
      <c r="D343" s="953" t="s">
        <v>201</v>
      </c>
      <c r="E343" s="1307" t="s">
        <v>73</v>
      </c>
      <c r="F343" s="1307" t="s">
        <v>1785</v>
      </c>
      <c r="G343" s="1307" t="s">
        <v>1752</v>
      </c>
      <c r="H343" s="980"/>
      <c r="I343" s="980"/>
      <c r="J343" s="980"/>
      <c r="K343" s="980"/>
      <c r="L343" s="980">
        <v>-169661</v>
      </c>
      <c r="M343" s="980"/>
      <c r="N343" s="980"/>
      <c r="O343" s="980"/>
      <c r="P343" s="981"/>
      <c r="Q343" s="1318"/>
      <c r="R343" s="980"/>
      <c r="S343" s="980"/>
      <c r="T343" s="980"/>
      <c r="U343" s="980"/>
      <c r="V343" s="980"/>
      <c r="W343" s="980"/>
      <c r="X343" s="981"/>
    </row>
    <row r="344" spans="1:24" ht="21" customHeight="1" x14ac:dyDescent="0.25">
      <c r="A344" s="2018"/>
      <c r="B344" s="2017"/>
      <c r="C344" s="2019"/>
      <c r="D344" s="953" t="s">
        <v>203</v>
      </c>
      <c r="E344" s="1307" t="s">
        <v>1297</v>
      </c>
      <c r="F344" s="1307" t="s">
        <v>550</v>
      </c>
      <c r="G344" s="1307" t="s">
        <v>1754</v>
      </c>
      <c r="H344" s="980"/>
      <c r="I344" s="980"/>
      <c r="J344" s="980"/>
      <c r="K344" s="980"/>
      <c r="L344" s="980"/>
      <c r="M344" s="980"/>
      <c r="N344" s="980"/>
      <c r="O344" s="980"/>
      <c r="P344" s="981">
        <v>169661</v>
      </c>
      <c r="Q344" s="1318"/>
      <c r="R344" s="980"/>
      <c r="S344" s="980"/>
      <c r="T344" s="980"/>
      <c r="U344" s="980"/>
      <c r="V344" s="980"/>
      <c r="W344" s="980"/>
      <c r="X344" s="981"/>
    </row>
    <row r="345" spans="1:24" ht="24.75" customHeight="1" x14ac:dyDescent="0.25">
      <c r="A345" s="1488" t="s">
        <v>1343</v>
      </c>
      <c r="B345" s="1486" t="s">
        <v>2231</v>
      </c>
      <c r="C345" s="754" t="s">
        <v>2232</v>
      </c>
      <c r="D345" s="953" t="s">
        <v>204</v>
      </c>
      <c r="E345" s="1307" t="s">
        <v>1753</v>
      </c>
      <c r="F345" s="1307" t="s">
        <v>1784</v>
      </c>
      <c r="G345" s="1307" t="s">
        <v>1754</v>
      </c>
      <c r="H345" s="980"/>
      <c r="I345" s="980"/>
      <c r="J345" s="980"/>
      <c r="K345" s="980"/>
      <c r="L345" s="980"/>
      <c r="M345" s="980"/>
      <c r="N345" s="980"/>
      <c r="O345" s="980"/>
      <c r="P345" s="981">
        <v>19202276</v>
      </c>
      <c r="Q345" s="1318"/>
      <c r="R345" s="980"/>
      <c r="S345" s="980"/>
      <c r="T345" s="980"/>
      <c r="U345" s="980"/>
      <c r="V345" s="980"/>
      <c r="W345" s="980"/>
      <c r="X345" s="981">
        <v>19202276</v>
      </c>
    </row>
    <row r="346" spans="1:24" ht="19.5" customHeight="1" x14ac:dyDescent="0.25">
      <c r="A346" s="2018" t="s">
        <v>1345</v>
      </c>
      <c r="B346" s="2017" t="s">
        <v>2253</v>
      </c>
      <c r="C346" s="2016" t="s">
        <v>2254</v>
      </c>
      <c r="D346" s="953" t="s">
        <v>201</v>
      </c>
      <c r="E346" s="1307" t="s">
        <v>73</v>
      </c>
      <c r="F346" s="1307" t="s">
        <v>1785</v>
      </c>
      <c r="G346" s="1307" t="s">
        <v>1752</v>
      </c>
      <c r="H346" s="980"/>
      <c r="I346" s="980"/>
      <c r="J346" s="980"/>
      <c r="K346" s="980"/>
      <c r="L346" s="980">
        <v>-6584950</v>
      </c>
      <c r="M346" s="980"/>
      <c r="N346" s="980"/>
      <c r="O346" s="980"/>
      <c r="P346" s="981"/>
      <c r="Q346" s="1318"/>
      <c r="R346" s="980"/>
      <c r="S346" s="980"/>
      <c r="T346" s="980"/>
      <c r="U346" s="980"/>
      <c r="V346" s="980"/>
      <c r="W346" s="980"/>
      <c r="X346" s="981"/>
    </row>
    <row r="347" spans="1:24" ht="19.5" customHeight="1" x14ac:dyDescent="0.25">
      <c r="A347" s="2018"/>
      <c r="B347" s="2017"/>
      <c r="C347" s="2016"/>
      <c r="D347" s="953" t="s">
        <v>199</v>
      </c>
      <c r="E347" s="1307" t="s">
        <v>557</v>
      </c>
      <c r="F347" s="1307" t="s">
        <v>462</v>
      </c>
      <c r="G347" s="1307" t="s">
        <v>1754</v>
      </c>
      <c r="H347" s="980"/>
      <c r="I347" s="980"/>
      <c r="J347" s="980"/>
      <c r="K347" s="980"/>
      <c r="L347" s="980"/>
      <c r="M347" s="980">
        <f>5185000+1399950</f>
        <v>6584950</v>
      </c>
      <c r="N347" s="980"/>
      <c r="O347" s="980"/>
      <c r="P347" s="981"/>
      <c r="Q347" s="1318"/>
      <c r="R347" s="980"/>
      <c r="S347" s="980"/>
      <c r="T347" s="980"/>
      <c r="U347" s="980"/>
      <c r="V347" s="980"/>
      <c r="W347" s="980"/>
      <c r="X347" s="981"/>
    </row>
    <row r="348" spans="1:24" ht="21" customHeight="1" x14ac:dyDescent="0.25">
      <c r="A348" s="2018" t="s">
        <v>1372</v>
      </c>
      <c r="B348" s="2017" t="s">
        <v>2256</v>
      </c>
      <c r="C348" s="2016" t="s">
        <v>2257</v>
      </c>
      <c r="D348" s="953" t="s">
        <v>199</v>
      </c>
      <c r="E348" s="1307" t="s">
        <v>601</v>
      </c>
      <c r="F348" s="1307" t="s">
        <v>1391</v>
      </c>
      <c r="G348" s="1307" t="s">
        <v>1752</v>
      </c>
      <c r="H348" s="980"/>
      <c r="I348" s="980"/>
      <c r="J348" s="980"/>
      <c r="K348" s="980"/>
      <c r="L348" s="980"/>
      <c r="M348" s="980">
        <f>-5905000-1594350</f>
        <v>-7499350</v>
      </c>
      <c r="N348" s="980"/>
      <c r="O348" s="980"/>
      <c r="P348" s="981"/>
      <c r="Q348" s="1318"/>
      <c r="R348" s="980"/>
      <c r="S348" s="980"/>
      <c r="T348" s="980"/>
      <c r="U348" s="980"/>
      <c r="V348" s="980"/>
      <c r="W348" s="980"/>
      <c r="X348" s="981"/>
    </row>
    <row r="349" spans="1:24" ht="21" customHeight="1" x14ac:dyDescent="0.25">
      <c r="A349" s="2018"/>
      <c r="B349" s="2017"/>
      <c r="C349" s="2016"/>
      <c r="D349" s="953" t="s">
        <v>194</v>
      </c>
      <c r="E349" s="1307" t="s">
        <v>601</v>
      </c>
      <c r="F349" s="1307" t="s">
        <v>1391</v>
      </c>
      <c r="G349" s="1307" t="s">
        <v>1754</v>
      </c>
      <c r="H349" s="980"/>
      <c r="I349" s="980"/>
      <c r="J349" s="980">
        <f>5905000+1594350</f>
        <v>7499350</v>
      </c>
      <c r="K349" s="980"/>
      <c r="L349" s="980"/>
      <c r="M349" s="980"/>
      <c r="N349" s="980"/>
      <c r="O349" s="980"/>
      <c r="P349" s="981"/>
      <c r="Q349" s="1318"/>
      <c r="R349" s="980"/>
      <c r="S349" s="980"/>
      <c r="T349" s="980"/>
      <c r="U349" s="980"/>
      <c r="V349" s="980"/>
      <c r="W349" s="980"/>
      <c r="X349" s="981"/>
    </row>
    <row r="350" spans="1:24" ht="23.25" customHeight="1" x14ac:dyDescent="0.25">
      <c r="A350" s="1488" t="s">
        <v>1373</v>
      </c>
      <c r="B350" s="1486" t="s">
        <v>2258</v>
      </c>
      <c r="C350" s="1490" t="s">
        <v>2259</v>
      </c>
      <c r="D350" s="953" t="s">
        <v>194</v>
      </c>
      <c r="E350" s="1307" t="s">
        <v>130</v>
      </c>
      <c r="F350" s="1307" t="s">
        <v>65</v>
      </c>
      <c r="G350" s="1307" t="s">
        <v>1754</v>
      </c>
      <c r="H350" s="980"/>
      <c r="I350" s="980"/>
      <c r="J350" s="980"/>
      <c r="K350" s="980"/>
      <c r="L350" s="980"/>
      <c r="M350" s="980"/>
      <c r="N350" s="980"/>
      <c r="O350" s="980">
        <v>235100</v>
      </c>
      <c r="P350" s="981"/>
      <c r="Q350" s="1318"/>
      <c r="R350" s="980"/>
      <c r="S350" s="980"/>
      <c r="T350" s="980"/>
      <c r="U350" s="980"/>
      <c r="V350" s="980"/>
      <c r="W350" s="980">
        <v>235100</v>
      </c>
      <c r="X350" s="981"/>
    </row>
    <row r="351" spans="1:24" ht="21.75" customHeight="1" x14ac:dyDescent="0.25">
      <c r="A351" s="2018" t="s">
        <v>1388</v>
      </c>
      <c r="B351" s="2017" t="s">
        <v>2260</v>
      </c>
      <c r="C351" s="2016" t="s">
        <v>2261</v>
      </c>
      <c r="D351" s="953" t="s">
        <v>194</v>
      </c>
      <c r="E351" s="1307" t="s">
        <v>130</v>
      </c>
      <c r="F351" s="1307" t="s">
        <v>1865</v>
      </c>
      <c r="G351" s="1307" t="s">
        <v>1754</v>
      </c>
      <c r="H351" s="980"/>
      <c r="I351" s="980"/>
      <c r="J351" s="980"/>
      <c r="K351" s="980"/>
      <c r="L351" s="980"/>
      <c r="M351" s="980"/>
      <c r="N351" s="980"/>
      <c r="O351" s="980"/>
      <c r="P351" s="981"/>
      <c r="Q351" s="1318"/>
      <c r="R351" s="980"/>
      <c r="S351" s="980"/>
      <c r="T351" s="980">
        <v>262000</v>
      </c>
      <c r="U351" s="980"/>
      <c r="V351" s="980"/>
      <c r="W351" s="980"/>
      <c r="X351" s="981"/>
    </row>
    <row r="352" spans="1:24" ht="21.75" customHeight="1" x14ac:dyDescent="0.25">
      <c r="A352" s="2018"/>
      <c r="B352" s="2017"/>
      <c r="C352" s="2016"/>
      <c r="D352" s="953" t="s">
        <v>203</v>
      </c>
      <c r="E352" s="1307" t="s">
        <v>1297</v>
      </c>
      <c r="F352" s="1307" t="s">
        <v>550</v>
      </c>
      <c r="G352" s="1307" t="s">
        <v>1754</v>
      </c>
      <c r="H352" s="980"/>
      <c r="I352" s="980"/>
      <c r="J352" s="980"/>
      <c r="K352" s="980"/>
      <c r="L352" s="980"/>
      <c r="M352" s="980"/>
      <c r="N352" s="980"/>
      <c r="O352" s="980"/>
      <c r="P352" s="981">
        <v>262000</v>
      </c>
      <c r="Q352" s="1318"/>
      <c r="R352" s="980"/>
      <c r="S352" s="980"/>
      <c r="T352" s="980"/>
      <c r="U352" s="980"/>
      <c r="V352" s="980"/>
      <c r="W352" s="980"/>
      <c r="X352" s="981"/>
    </row>
    <row r="353" spans="1:24" ht="57" customHeight="1" x14ac:dyDescent="0.25">
      <c r="A353" s="1488" t="s">
        <v>1777</v>
      </c>
      <c r="B353" s="1486"/>
      <c r="C353" s="754" t="s">
        <v>2249</v>
      </c>
      <c r="D353" s="953"/>
      <c r="E353" s="1307"/>
      <c r="F353" s="1307"/>
      <c r="G353" s="1307"/>
      <c r="H353" s="980"/>
      <c r="I353" s="980"/>
      <c r="J353" s="980"/>
      <c r="K353" s="980"/>
      <c r="L353" s="980"/>
      <c r="M353" s="980"/>
      <c r="N353" s="980"/>
      <c r="O353" s="980"/>
      <c r="P353" s="981"/>
      <c r="Q353" s="1318"/>
      <c r="R353" s="980"/>
      <c r="S353" s="980"/>
      <c r="T353" s="980"/>
      <c r="U353" s="980"/>
      <c r="V353" s="980"/>
      <c r="W353" s="980"/>
      <c r="X353" s="981"/>
    </row>
    <row r="354" spans="1:24" ht="54.75" customHeight="1" x14ac:dyDescent="0.25">
      <c r="A354" s="1488" t="s">
        <v>1948</v>
      </c>
      <c r="B354" s="1486"/>
      <c r="C354" s="754" t="s">
        <v>2250</v>
      </c>
      <c r="D354" s="953"/>
      <c r="E354" s="1307"/>
      <c r="F354" s="1307"/>
      <c r="G354" s="1307"/>
      <c r="H354" s="980"/>
      <c r="I354" s="980"/>
      <c r="J354" s="980"/>
      <c r="K354" s="980"/>
      <c r="L354" s="980"/>
      <c r="M354" s="980"/>
      <c r="N354" s="980"/>
      <c r="O354" s="980"/>
      <c r="P354" s="981"/>
      <c r="Q354" s="1318"/>
      <c r="R354" s="980"/>
      <c r="S354" s="980"/>
      <c r="T354" s="980"/>
      <c r="U354" s="980"/>
      <c r="V354" s="980"/>
      <c r="W354" s="980"/>
      <c r="X354" s="981"/>
    </row>
    <row r="355" spans="1:24" ht="21.75" customHeight="1" x14ac:dyDescent="0.25">
      <c r="A355" s="2018" t="s">
        <v>1950</v>
      </c>
      <c r="B355" s="2017" t="s">
        <v>2262</v>
      </c>
      <c r="C355" s="2016" t="s">
        <v>2263</v>
      </c>
      <c r="D355" s="953" t="s">
        <v>199</v>
      </c>
      <c r="E355" s="1307" t="s">
        <v>601</v>
      </c>
      <c r="F355" s="1307" t="s">
        <v>127</v>
      </c>
      <c r="G355" s="1307" t="s">
        <v>1752</v>
      </c>
      <c r="H355" s="980"/>
      <c r="I355" s="980"/>
      <c r="J355" s="980"/>
      <c r="K355" s="980"/>
      <c r="L355" s="980"/>
      <c r="M355" s="980">
        <f>-119009-32132</f>
        <v>-151141</v>
      </c>
      <c r="N355" s="980"/>
      <c r="O355" s="980"/>
      <c r="P355" s="981"/>
      <c r="Q355" s="1318"/>
      <c r="R355" s="980"/>
      <c r="S355" s="980"/>
      <c r="T355" s="980"/>
      <c r="U355" s="980"/>
      <c r="V355" s="980"/>
      <c r="W355" s="980"/>
      <c r="X355" s="981"/>
    </row>
    <row r="356" spans="1:24" ht="21.75" customHeight="1" x14ac:dyDescent="0.25">
      <c r="A356" s="2018"/>
      <c r="B356" s="2017"/>
      <c r="C356" s="2016"/>
      <c r="D356" s="953" t="s">
        <v>199</v>
      </c>
      <c r="E356" s="1307" t="s">
        <v>129</v>
      </c>
      <c r="F356" s="1307" t="s">
        <v>90</v>
      </c>
      <c r="G356" s="1307" t="s">
        <v>1754</v>
      </c>
      <c r="H356" s="980"/>
      <c r="I356" s="980"/>
      <c r="J356" s="980"/>
      <c r="K356" s="980"/>
      <c r="L356" s="980"/>
      <c r="M356" s="980">
        <f>119009+32132</f>
        <v>151141</v>
      </c>
      <c r="N356" s="980"/>
      <c r="O356" s="980"/>
      <c r="P356" s="981"/>
      <c r="Q356" s="1318"/>
      <c r="R356" s="980"/>
      <c r="S356" s="980"/>
      <c r="T356" s="980"/>
      <c r="U356" s="980"/>
      <c r="V356" s="980"/>
      <c r="W356" s="980"/>
      <c r="X356" s="981"/>
    </row>
    <row r="357" spans="1:24" ht="23.25" customHeight="1" x14ac:dyDescent="0.25">
      <c r="A357" s="2018" t="s">
        <v>1952</v>
      </c>
      <c r="B357" s="2017" t="s">
        <v>2265</v>
      </c>
      <c r="C357" s="2016" t="s">
        <v>2266</v>
      </c>
      <c r="D357" s="953" t="s">
        <v>194</v>
      </c>
      <c r="E357" s="1307" t="s">
        <v>73</v>
      </c>
      <c r="F357" s="1307" t="s">
        <v>2100</v>
      </c>
      <c r="G357" s="1307" t="s">
        <v>1752</v>
      </c>
      <c r="H357" s="980"/>
      <c r="I357" s="980"/>
      <c r="J357" s="980">
        <v>-642868</v>
      </c>
      <c r="K357" s="980"/>
      <c r="L357" s="980"/>
      <c r="M357" s="980"/>
      <c r="N357" s="980"/>
      <c r="O357" s="980"/>
      <c r="P357" s="981"/>
      <c r="Q357" s="1318"/>
      <c r="R357" s="980"/>
      <c r="S357" s="980"/>
      <c r="T357" s="980"/>
      <c r="U357" s="980"/>
      <c r="V357" s="980"/>
      <c r="W357" s="980"/>
      <c r="X357" s="981"/>
    </row>
    <row r="358" spans="1:24" ht="23.25" customHeight="1" x14ac:dyDescent="0.25">
      <c r="A358" s="2018"/>
      <c r="B358" s="2017"/>
      <c r="C358" s="2016"/>
      <c r="D358" s="953" t="s">
        <v>199</v>
      </c>
      <c r="E358" s="1307" t="s">
        <v>129</v>
      </c>
      <c r="F358" s="1307" t="s">
        <v>90</v>
      </c>
      <c r="G358" s="1307" t="s">
        <v>1754</v>
      </c>
      <c r="H358" s="980"/>
      <c r="I358" s="980"/>
      <c r="J358" s="980"/>
      <c r="K358" s="980"/>
      <c r="L358" s="980"/>
      <c r="M358" s="980">
        <v>642868</v>
      </c>
      <c r="N358" s="980"/>
      <c r="O358" s="980"/>
      <c r="P358" s="981"/>
      <c r="Q358" s="1318"/>
      <c r="R358" s="980"/>
      <c r="S358" s="980"/>
      <c r="T358" s="980"/>
      <c r="U358" s="980"/>
      <c r="V358" s="980"/>
      <c r="W358" s="980"/>
      <c r="X358" s="981"/>
    </row>
    <row r="359" spans="1:24" ht="23.25" customHeight="1" x14ac:dyDescent="0.25">
      <c r="A359" s="2018" t="s">
        <v>1956</v>
      </c>
      <c r="B359" s="2017" t="s">
        <v>2267</v>
      </c>
      <c r="C359" s="1996" t="s">
        <v>2268</v>
      </c>
      <c r="D359" s="953" t="s">
        <v>201</v>
      </c>
      <c r="E359" s="1307" t="s">
        <v>73</v>
      </c>
      <c r="F359" s="1307" t="s">
        <v>1785</v>
      </c>
      <c r="G359" s="1307" t="s">
        <v>1752</v>
      </c>
      <c r="H359" s="980"/>
      <c r="I359" s="980"/>
      <c r="J359" s="980"/>
      <c r="K359" s="980"/>
      <c r="L359" s="980">
        <v>-3175000</v>
      </c>
      <c r="M359" s="980"/>
      <c r="N359" s="980"/>
      <c r="O359" s="980"/>
      <c r="P359" s="981"/>
      <c r="Q359" s="1318"/>
      <c r="R359" s="980"/>
      <c r="S359" s="980"/>
      <c r="T359" s="980"/>
      <c r="U359" s="980"/>
      <c r="V359" s="980"/>
      <c r="W359" s="980"/>
      <c r="X359" s="981"/>
    </row>
    <row r="360" spans="1:24" ht="23.25" customHeight="1" x14ac:dyDescent="0.25">
      <c r="A360" s="2018"/>
      <c r="B360" s="2017"/>
      <c r="C360" s="1996"/>
      <c r="D360" s="953" t="s">
        <v>194</v>
      </c>
      <c r="E360" s="1307" t="s">
        <v>602</v>
      </c>
      <c r="F360" s="1307" t="s">
        <v>857</v>
      </c>
      <c r="G360" s="1307" t="s">
        <v>1754</v>
      </c>
      <c r="H360" s="980"/>
      <c r="I360" s="980"/>
      <c r="J360" s="980">
        <f>2500000+675000</f>
        <v>3175000</v>
      </c>
      <c r="K360" s="980"/>
      <c r="L360" s="980"/>
      <c r="M360" s="980"/>
      <c r="N360" s="980"/>
      <c r="O360" s="980"/>
      <c r="P360" s="981"/>
      <c r="Q360" s="1318"/>
      <c r="R360" s="980"/>
      <c r="S360" s="980"/>
      <c r="T360" s="980"/>
      <c r="U360" s="980"/>
      <c r="V360" s="980"/>
      <c r="W360" s="980"/>
      <c r="X360" s="981"/>
    </row>
    <row r="361" spans="1:24" ht="30.75" customHeight="1" x14ac:dyDescent="0.25">
      <c r="A361" s="2018" t="s">
        <v>1959</v>
      </c>
      <c r="B361" s="2017" t="s">
        <v>2269</v>
      </c>
      <c r="C361" s="1996" t="s">
        <v>2270</v>
      </c>
      <c r="D361" s="953" t="s">
        <v>201</v>
      </c>
      <c r="E361" s="1307" t="s">
        <v>73</v>
      </c>
      <c r="F361" s="1307" t="s">
        <v>1785</v>
      </c>
      <c r="G361" s="1307" t="s">
        <v>1752</v>
      </c>
      <c r="H361" s="980"/>
      <c r="I361" s="980"/>
      <c r="J361" s="980"/>
      <c r="K361" s="980"/>
      <c r="L361" s="980">
        <v>-477520</v>
      </c>
      <c r="M361" s="980"/>
      <c r="N361" s="980"/>
      <c r="O361" s="980"/>
      <c r="P361" s="981"/>
      <c r="Q361" s="1318"/>
      <c r="R361" s="980"/>
      <c r="S361" s="980"/>
      <c r="T361" s="980"/>
      <c r="U361" s="980"/>
      <c r="V361" s="980"/>
      <c r="W361" s="980"/>
      <c r="X361" s="981"/>
    </row>
    <row r="362" spans="1:24" ht="30.75" customHeight="1" x14ac:dyDescent="0.25">
      <c r="A362" s="2018"/>
      <c r="B362" s="2017"/>
      <c r="C362" s="1996"/>
      <c r="D362" s="953" t="s">
        <v>200</v>
      </c>
      <c r="E362" s="1307" t="s">
        <v>561</v>
      </c>
      <c r="F362" s="1307" t="s">
        <v>2271</v>
      </c>
      <c r="G362" s="1307" t="s">
        <v>1754</v>
      </c>
      <c r="H362" s="980"/>
      <c r="I362" s="980"/>
      <c r="J362" s="980"/>
      <c r="K362" s="980"/>
      <c r="L362" s="980"/>
      <c r="M362" s="980"/>
      <c r="N362" s="980">
        <f>376000+101520</f>
        <v>477520</v>
      </c>
      <c r="O362" s="980"/>
      <c r="P362" s="981"/>
      <c r="Q362" s="1318"/>
      <c r="R362" s="980"/>
      <c r="S362" s="980"/>
      <c r="T362" s="980"/>
      <c r="U362" s="980"/>
      <c r="V362" s="980"/>
      <c r="W362" s="980"/>
      <c r="X362" s="981"/>
    </row>
    <row r="363" spans="1:24" ht="30.75" customHeight="1" x14ac:dyDescent="0.25">
      <c r="A363" s="2018" t="s">
        <v>1960</v>
      </c>
      <c r="B363" s="2017" t="s">
        <v>2273</v>
      </c>
      <c r="C363" s="1996" t="s">
        <v>2270</v>
      </c>
      <c r="D363" s="953" t="s">
        <v>201</v>
      </c>
      <c r="E363" s="1307" t="s">
        <v>73</v>
      </c>
      <c r="F363" s="1307" t="s">
        <v>1785</v>
      </c>
      <c r="G363" s="1307" t="s">
        <v>1752</v>
      </c>
      <c r="H363" s="980"/>
      <c r="I363" s="980"/>
      <c r="J363" s="980"/>
      <c r="K363" s="980"/>
      <c r="L363" s="980">
        <v>-88545</v>
      </c>
      <c r="M363" s="980"/>
      <c r="N363" s="980"/>
      <c r="O363" s="980"/>
      <c r="P363" s="981"/>
      <c r="Q363" s="1318"/>
      <c r="R363" s="980"/>
      <c r="S363" s="980"/>
      <c r="T363" s="980"/>
      <c r="U363" s="980"/>
      <c r="V363" s="980"/>
      <c r="W363" s="980"/>
      <c r="X363" s="981"/>
    </row>
    <row r="364" spans="1:24" ht="30.75" customHeight="1" x14ac:dyDescent="0.25">
      <c r="A364" s="2018"/>
      <c r="B364" s="2017"/>
      <c r="C364" s="1996"/>
      <c r="D364" s="953" t="s">
        <v>200</v>
      </c>
      <c r="E364" s="1307" t="s">
        <v>561</v>
      </c>
      <c r="F364" s="1307" t="s">
        <v>2271</v>
      </c>
      <c r="G364" s="1307" t="s">
        <v>1754</v>
      </c>
      <c r="H364" s="980"/>
      <c r="I364" s="980"/>
      <c r="J364" s="980"/>
      <c r="K364" s="980"/>
      <c r="L364" s="980"/>
      <c r="M364" s="980"/>
      <c r="N364" s="980">
        <f>69720+18825</f>
        <v>88545</v>
      </c>
      <c r="O364" s="980"/>
      <c r="P364" s="981"/>
      <c r="Q364" s="1318"/>
      <c r="R364" s="980"/>
      <c r="S364" s="980"/>
      <c r="T364" s="980"/>
      <c r="U364" s="980"/>
      <c r="V364" s="980"/>
      <c r="W364" s="980"/>
      <c r="X364" s="981"/>
    </row>
    <row r="365" spans="1:24" ht="19.5" customHeight="1" x14ac:dyDescent="0.25">
      <c r="A365" s="2018" t="s">
        <v>1961</v>
      </c>
      <c r="B365" s="2017" t="s">
        <v>2274</v>
      </c>
      <c r="C365" s="1996" t="s">
        <v>2275</v>
      </c>
      <c r="D365" s="953" t="s">
        <v>201</v>
      </c>
      <c r="E365" s="1307" t="s">
        <v>73</v>
      </c>
      <c r="F365" s="1307" t="s">
        <v>1785</v>
      </c>
      <c r="G365" s="1307" t="s">
        <v>1752</v>
      </c>
      <c r="H365" s="980"/>
      <c r="I365" s="980"/>
      <c r="J365" s="980"/>
      <c r="K365" s="980"/>
      <c r="L365" s="980">
        <v>-10000000</v>
      </c>
      <c r="M365" s="980"/>
      <c r="N365" s="980"/>
      <c r="O365" s="980"/>
      <c r="P365" s="981"/>
      <c r="Q365" s="1318"/>
      <c r="R365" s="980"/>
      <c r="S365" s="980"/>
      <c r="T365" s="980"/>
      <c r="U365" s="980"/>
      <c r="V365" s="980"/>
      <c r="W365" s="980"/>
      <c r="X365" s="981"/>
    </row>
    <row r="366" spans="1:24" ht="19.5" customHeight="1" x14ac:dyDescent="0.25">
      <c r="A366" s="2018"/>
      <c r="B366" s="2017"/>
      <c r="C366" s="1996"/>
      <c r="D366" s="953" t="s">
        <v>199</v>
      </c>
      <c r="E366" s="1307" t="s">
        <v>602</v>
      </c>
      <c r="F366" s="1307" t="s">
        <v>134</v>
      </c>
      <c r="G366" s="1307" t="s">
        <v>1754</v>
      </c>
      <c r="H366" s="980"/>
      <c r="I366" s="980"/>
      <c r="J366" s="980"/>
      <c r="K366" s="980"/>
      <c r="L366" s="980"/>
      <c r="M366" s="980">
        <f>7874016+2125984</f>
        <v>10000000</v>
      </c>
      <c r="N366" s="980"/>
      <c r="O366" s="980"/>
      <c r="P366" s="981"/>
      <c r="Q366" s="1318"/>
      <c r="R366" s="980"/>
      <c r="S366" s="980"/>
      <c r="T366" s="980"/>
      <c r="U366" s="980"/>
      <c r="V366" s="980"/>
      <c r="W366" s="980"/>
      <c r="X366" s="981"/>
    </row>
    <row r="367" spans="1:24" ht="18.75" customHeight="1" x14ac:dyDescent="0.25">
      <c r="A367" s="2018" t="s">
        <v>1962</v>
      </c>
      <c r="B367" s="2017" t="s">
        <v>2277</v>
      </c>
      <c r="C367" s="1996" t="s">
        <v>2278</v>
      </c>
      <c r="D367" s="953" t="s">
        <v>201</v>
      </c>
      <c r="E367" s="1307" t="s">
        <v>73</v>
      </c>
      <c r="F367" s="1307" t="s">
        <v>1785</v>
      </c>
      <c r="G367" s="1307" t="s">
        <v>1752</v>
      </c>
      <c r="H367" s="980"/>
      <c r="I367" s="980"/>
      <c r="J367" s="980"/>
      <c r="K367" s="980"/>
      <c r="L367" s="980">
        <v>-6506509</v>
      </c>
      <c r="M367" s="980"/>
      <c r="N367" s="980"/>
      <c r="O367" s="980"/>
      <c r="P367" s="981"/>
      <c r="Q367" s="1318"/>
      <c r="R367" s="980"/>
      <c r="S367" s="980"/>
      <c r="T367" s="980"/>
      <c r="U367" s="980"/>
      <c r="V367" s="980"/>
      <c r="W367" s="980"/>
      <c r="X367" s="981"/>
    </row>
    <row r="368" spans="1:24" ht="18.75" customHeight="1" x14ac:dyDescent="0.25">
      <c r="A368" s="2018"/>
      <c r="B368" s="2017"/>
      <c r="C368" s="1996"/>
      <c r="D368" s="953" t="s">
        <v>199</v>
      </c>
      <c r="E368" s="1307" t="s">
        <v>602</v>
      </c>
      <c r="F368" s="1307" t="s">
        <v>134</v>
      </c>
      <c r="G368" s="1307" t="s">
        <v>1754</v>
      </c>
      <c r="H368" s="980"/>
      <c r="I368" s="980"/>
      <c r="J368" s="980"/>
      <c r="K368" s="980"/>
      <c r="L368" s="980"/>
      <c r="M368" s="980">
        <f>5123235+1383274</f>
        <v>6506509</v>
      </c>
      <c r="N368" s="980"/>
      <c r="O368" s="980"/>
      <c r="P368" s="981"/>
      <c r="Q368" s="1318"/>
      <c r="R368" s="980"/>
      <c r="S368" s="980"/>
      <c r="T368" s="980"/>
      <c r="U368" s="980"/>
      <c r="V368" s="980"/>
      <c r="W368" s="980"/>
      <c r="X368" s="981"/>
    </row>
    <row r="369" spans="1:24" ht="56.25" customHeight="1" x14ac:dyDescent="0.25">
      <c r="A369" s="2018" t="s">
        <v>1963</v>
      </c>
      <c r="B369" s="2017" t="s">
        <v>2279</v>
      </c>
      <c r="C369" s="1996" t="s">
        <v>2280</v>
      </c>
      <c r="D369" s="953" t="s">
        <v>201</v>
      </c>
      <c r="E369" s="1307" t="s">
        <v>73</v>
      </c>
      <c r="F369" s="1307" t="s">
        <v>1785</v>
      </c>
      <c r="G369" s="1307" t="s">
        <v>1752</v>
      </c>
      <c r="H369" s="980"/>
      <c r="I369" s="980"/>
      <c r="J369" s="980"/>
      <c r="K369" s="980"/>
      <c r="L369" s="980">
        <v>-500000</v>
      </c>
      <c r="M369" s="980"/>
      <c r="N369" s="980"/>
      <c r="O369" s="980"/>
      <c r="P369" s="981"/>
      <c r="Q369" s="1318"/>
      <c r="R369" s="980"/>
      <c r="S369" s="980"/>
      <c r="T369" s="980"/>
      <c r="U369" s="980"/>
      <c r="V369" s="980"/>
      <c r="W369" s="980"/>
      <c r="X369" s="981"/>
    </row>
    <row r="370" spans="1:24" ht="56.25" customHeight="1" x14ac:dyDescent="0.25">
      <c r="A370" s="2018"/>
      <c r="B370" s="2017"/>
      <c r="C370" s="1996"/>
      <c r="D370" s="953" t="s">
        <v>198</v>
      </c>
      <c r="E370" s="1307" t="s">
        <v>76</v>
      </c>
      <c r="F370" s="1307" t="s">
        <v>1830</v>
      </c>
      <c r="G370" s="1307" t="s">
        <v>1754</v>
      </c>
      <c r="H370" s="980"/>
      <c r="I370" s="980"/>
      <c r="J370" s="980"/>
      <c r="K370" s="980"/>
      <c r="L370" s="980">
        <v>500000</v>
      </c>
      <c r="M370" s="980"/>
      <c r="N370" s="980"/>
      <c r="O370" s="980"/>
      <c r="P370" s="981"/>
      <c r="Q370" s="1318"/>
      <c r="R370" s="980"/>
      <c r="S370" s="980"/>
      <c r="T370" s="980"/>
      <c r="U370" s="980"/>
      <c r="V370" s="980"/>
      <c r="W370" s="980"/>
      <c r="X370" s="981"/>
    </row>
    <row r="371" spans="1:24" ht="24" customHeight="1" x14ac:dyDescent="0.25">
      <c r="A371" s="2018" t="s">
        <v>1964</v>
      </c>
      <c r="B371" s="2017" t="s">
        <v>2283</v>
      </c>
      <c r="C371" s="1996" t="s">
        <v>2284</v>
      </c>
      <c r="D371" s="953" t="s">
        <v>194</v>
      </c>
      <c r="E371" s="1307" t="s">
        <v>62</v>
      </c>
      <c r="F371" s="1307" t="s">
        <v>541</v>
      </c>
      <c r="G371" s="1307" t="s">
        <v>1752</v>
      </c>
      <c r="H371" s="980"/>
      <c r="I371" s="980"/>
      <c r="J371" s="980">
        <f>-176000-47520</f>
        <v>-223520</v>
      </c>
      <c r="K371" s="980"/>
      <c r="L371" s="980"/>
      <c r="M371" s="980"/>
      <c r="N371" s="980"/>
      <c r="O371" s="980"/>
      <c r="P371" s="981"/>
      <c r="Q371" s="1318"/>
      <c r="R371" s="980"/>
      <c r="S371" s="980"/>
      <c r="T371" s="980"/>
      <c r="U371" s="980"/>
      <c r="V371" s="980"/>
      <c r="W371" s="980"/>
      <c r="X371" s="981"/>
    </row>
    <row r="372" spans="1:24" ht="24" customHeight="1" x14ac:dyDescent="0.25">
      <c r="A372" s="2018"/>
      <c r="B372" s="2017"/>
      <c r="C372" s="1996"/>
      <c r="D372" s="953" t="s">
        <v>199</v>
      </c>
      <c r="E372" s="1307" t="s">
        <v>62</v>
      </c>
      <c r="F372" s="1307" t="s">
        <v>541</v>
      </c>
      <c r="G372" s="1307" t="s">
        <v>1754</v>
      </c>
      <c r="H372" s="980"/>
      <c r="I372" s="980"/>
      <c r="J372" s="980"/>
      <c r="K372" s="980"/>
      <c r="L372" s="980"/>
      <c r="M372" s="980">
        <f>176000+47520</f>
        <v>223520</v>
      </c>
      <c r="N372" s="980"/>
      <c r="O372" s="980"/>
      <c r="P372" s="981"/>
      <c r="Q372" s="1318"/>
      <c r="R372" s="980"/>
      <c r="S372" s="980"/>
      <c r="T372" s="980"/>
      <c r="U372" s="980"/>
      <c r="V372" s="980"/>
      <c r="W372" s="980"/>
      <c r="X372" s="981"/>
    </row>
    <row r="373" spans="1:24" ht="30.75" customHeight="1" x14ac:dyDescent="0.25">
      <c r="A373" s="1488" t="s">
        <v>1965</v>
      </c>
      <c r="B373" s="1486" t="s">
        <v>2285</v>
      </c>
      <c r="C373" s="1482" t="s">
        <v>2286</v>
      </c>
      <c r="D373" s="953" t="s">
        <v>194</v>
      </c>
      <c r="E373" s="1307" t="s">
        <v>844</v>
      </c>
      <c r="F373" s="1307" t="s">
        <v>1802</v>
      </c>
      <c r="G373" s="1307" t="s">
        <v>1766</v>
      </c>
      <c r="H373" s="980"/>
      <c r="I373" s="980"/>
      <c r="J373" s="980">
        <f>-17007+17007</f>
        <v>0</v>
      </c>
      <c r="K373" s="980"/>
      <c r="L373" s="980"/>
      <c r="M373" s="980"/>
      <c r="N373" s="980"/>
      <c r="O373" s="980"/>
      <c r="P373" s="981"/>
      <c r="Q373" s="1318"/>
      <c r="R373" s="980"/>
      <c r="S373" s="980"/>
      <c r="T373" s="980"/>
      <c r="U373" s="980"/>
      <c r="V373" s="980"/>
      <c r="W373" s="980"/>
      <c r="X373" s="981"/>
    </row>
    <row r="374" spans="1:24" ht="31.5" customHeight="1" x14ac:dyDescent="0.25">
      <c r="A374" s="1488" t="s">
        <v>1966</v>
      </c>
      <c r="B374" s="1486" t="s">
        <v>2287</v>
      </c>
      <c r="C374" s="1482" t="s">
        <v>2288</v>
      </c>
      <c r="D374" s="953" t="s">
        <v>194</v>
      </c>
      <c r="E374" s="1307" t="s">
        <v>557</v>
      </c>
      <c r="F374" s="1307" t="s">
        <v>460</v>
      </c>
      <c r="G374" s="1307" t="s">
        <v>1766</v>
      </c>
      <c r="H374" s="980"/>
      <c r="I374" s="980"/>
      <c r="J374" s="980">
        <f>-100000+100000</f>
        <v>0</v>
      </c>
      <c r="K374" s="980"/>
      <c r="L374" s="980"/>
      <c r="M374" s="980"/>
      <c r="N374" s="980"/>
      <c r="O374" s="980"/>
      <c r="P374" s="981"/>
      <c r="Q374" s="1318"/>
      <c r="R374" s="980"/>
      <c r="S374" s="980"/>
      <c r="T374" s="980"/>
      <c r="U374" s="980"/>
      <c r="V374" s="980"/>
      <c r="W374" s="980"/>
      <c r="X374" s="981"/>
    </row>
    <row r="375" spans="1:24" ht="21.75" customHeight="1" x14ac:dyDescent="0.25">
      <c r="A375" s="1488"/>
      <c r="B375" s="1486"/>
      <c r="C375" s="1482" t="s">
        <v>2291</v>
      </c>
      <c r="D375" s="953" t="s">
        <v>203</v>
      </c>
      <c r="E375" s="1307" t="s">
        <v>1297</v>
      </c>
      <c r="F375" s="1307" t="s">
        <v>550</v>
      </c>
      <c r="G375" s="1307" t="s">
        <v>1766</v>
      </c>
      <c r="H375" s="980"/>
      <c r="I375" s="980"/>
      <c r="J375" s="980"/>
      <c r="K375" s="980"/>
      <c r="L375" s="980"/>
      <c r="M375" s="980"/>
      <c r="N375" s="980"/>
      <c r="O375" s="980"/>
      <c r="P375" s="981">
        <f>-350218+350218</f>
        <v>0</v>
      </c>
      <c r="Q375" s="1318"/>
      <c r="R375" s="980"/>
      <c r="S375" s="980"/>
      <c r="T375" s="980"/>
      <c r="U375" s="980"/>
      <c r="V375" s="980"/>
      <c r="W375" s="980"/>
      <c r="X375" s="981"/>
    </row>
    <row r="376" spans="1:24" ht="30" customHeight="1" x14ac:dyDescent="0.25">
      <c r="A376" s="2018" t="s">
        <v>2041</v>
      </c>
      <c r="B376" s="2017" t="s">
        <v>2292</v>
      </c>
      <c r="C376" s="1996" t="s">
        <v>2293</v>
      </c>
      <c r="D376" s="953" t="s">
        <v>201</v>
      </c>
      <c r="E376" s="1307" t="s">
        <v>73</v>
      </c>
      <c r="F376" s="1307" t="s">
        <v>1785</v>
      </c>
      <c r="G376" s="1307" t="s">
        <v>1752</v>
      </c>
      <c r="H376" s="980"/>
      <c r="I376" s="980"/>
      <c r="J376" s="980"/>
      <c r="K376" s="980"/>
      <c r="L376" s="980">
        <v>-1066419</v>
      </c>
      <c r="M376" s="980"/>
      <c r="N376" s="980"/>
      <c r="O376" s="980"/>
      <c r="P376" s="981"/>
      <c r="Q376" s="1318"/>
      <c r="R376" s="980"/>
      <c r="S376" s="980"/>
      <c r="T376" s="980"/>
      <c r="U376" s="980"/>
      <c r="V376" s="980"/>
      <c r="W376" s="980"/>
      <c r="X376" s="981"/>
    </row>
    <row r="377" spans="1:24" ht="30" customHeight="1" x14ac:dyDescent="0.25">
      <c r="A377" s="2018"/>
      <c r="B377" s="2017"/>
      <c r="C377" s="1996"/>
      <c r="D377" s="953" t="s">
        <v>203</v>
      </c>
      <c r="E377" s="1307" t="s">
        <v>1297</v>
      </c>
      <c r="F377" s="1307" t="s">
        <v>550</v>
      </c>
      <c r="G377" s="1307" t="s">
        <v>1754</v>
      </c>
      <c r="H377" s="980"/>
      <c r="I377" s="980"/>
      <c r="J377" s="980"/>
      <c r="K377" s="980"/>
      <c r="L377" s="980"/>
      <c r="M377" s="980"/>
      <c r="N377" s="980"/>
      <c r="O377" s="980"/>
      <c r="P377" s="981">
        <v>1066419</v>
      </c>
      <c r="Q377" s="1318"/>
      <c r="R377" s="980"/>
      <c r="S377" s="980"/>
      <c r="T377" s="980"/>
      <c r="U377" s="980"/>
      <c r="V377" s="980"/>
      <c r="W377" s="980"/>
      <c r="X377" s="981"/>
    </row>
    <row r="378" spans="1:24" ht="26.25" customHeight="1" x14ac:dyDescent="0.25">
      <c r="A378" s="2018" t="s">
        <v>2043</v>
      </c>
      <c r="B378" s="2017" t="s">
        <v>2294</v>
      </c>
      <c r="C378" s="2016" t="s">
        <v>2295</v>
      </c>
      <c r="D378" s="953" t="s">
        <v>194</v>
      </c>
      <c r="E378" s="1307" t="s">
        <v>73</v>
      </c>
      <c r="F378" s="1307" t="s">
        <v>553</v>
      </c>
      <c r="G378" s="1307" t="s">
        <v>1752</v>
      </c>
      <c r="H378" s="980"/>
      <c r="I378" s="980"/>
      <c r="J378" s="980">
        <v>-162720</v>
      </c>
      <c r="K378" s="980"/>
      <c r="L378" s="980"/>
      <c r="M378" s="980"/>
      <c r="N378" s="980"/>
      <c r="O378" s="980"/>
      <c r="P378" s="981"/>
      <c r="Q378" s="1318"/>
      <c r="R378" s="980"/>
      <c r="S378" s="980"/>
      <c r="T378" s="980"/>
      <c r="U378" s="980"/>
      <c r="V378" s="980"/>
      <c r="W378" s="980"/>
      <c r="X378" s="981"/>
    </row>
    <row r="379" spans="1:24" ht="26.25" customHeight="1" x14ac:dyDescent="0.25">
      <c r="A379" s="2018"/>
      <c r="B379" s="2017"/>
      <c r="C379" s="2016"/>
      <c r="D379" s="953" t="s">
        <v>194</v>
      </c>
      <c r="E379" s="1307" t="s">
        <v>130</v>
      </c>
      <c r="F379" s="1307" t="s">
        <v>1865</v>
      </c>
      <c r="G379" s="1307" t="s">
        <v>1754</v>
      </c>
      <c r="H379" s="980"/>
      <c r="I379" s="980"/>
      <c r="J379" s="980">
        <v>162720</v>
      </c>
      <c r="K379" s="980"/>
      <c r="L379" s="980"/>
      <c r="M379" s="980"/>
      <c r="N379" s="980"/>
      <c r="O379" s="980"/>
      <c r="P379" s="981"/>
      <c r="Q379" s="1318"/>
      <c r="R379" s="980"/>
      <c r="S379" s="980"/>
      <c r="T379" s="980"/>
      <c r="U379" s="980"/>
      <c r="V379" s="980"/>
      <c r="W379" s="980"/>
      <c r="X379" s="981"/>
    </row>
    <row r="380" spans="1:24" ht="30.75" customHeight="1" x14ac:dyDescent="0.25">
      <c r="A380" s="2018" t="s">
        <v>2296</v>
      </c>
      <c r="B380" s="2017" t="s">
        <v>2297</v>
      </c>
      <c r="C380" s="1996" t="s">
        <v>2298</v>
      </c>
      <c r="D380" s="953" t="s">
        <v>201</v>
      </c>
      <c r="E380" s="1307" t="s">
        <v>73</v>
      </c>
      <c r="F380" s="1307" t="s">
        <v>1785</v>
      </c>
      <c r="G380" s="1307" t="s">
        <v>1752</v>
      </c>
      <c r="H380" s="980"/>
      <c r="I380" s="980"/>
      <c r="J380" s="980"/>
      <c r="K380" s="980"/>
      <c r="L380" s="980">
        <v>-281108</v>
      </c>
      <c r="M380" s="980"/>
      <c r="N380" s="980"/>
      <c r="O380" s="980"/>
      <c r="P380" s="981"/>
      <c r="Q380" s="1318"/>
      <c r="R380" s="980"/>
      <c r="S380" s="980"/>
      <c r="T380" s="980"/>
      <c r="U380" s="980"/>
      <c r="V380" s="980"/>
      <c r="W380" s="980"/>
      <c r="X380" s="981"/>
    </row>
    <row r="381" spans="1:24" ht="30.75" customHeight="1" x14ac:dyDescent="0.25">
      <c r="A381" s="2018"/>
      <c r="B381" s="2017"/>
      <c r="C381" s="1996"/>
      <c r="D381" s="953" t="s">
        <v>203</v>
      </c>
      <c r="E381" s="1307" t="s">
        <v>1297</v>
      </c>
      <c r="F381" s="1307" t="s">
        <v>550</v>
      </c>
      <c r="G381" s="1307" t="s">
        <v>1754</v>
      </c>
      <c r="H381" s="980"/>
      <c r="I381" s="980"/>
      <c r="J381" s="980"/>
      <c r="K381" s="980"/>
      <c r="L381" s="980"/>
      <c r="M381" s="980"/>
      <c r="N381" s="980"/>
      <c r="O381" s="980"/>
      <c r="P381" s="981">
        <v>281108</v>
      </c>
      <c r="Q381" s="1318"/>
      <c r="R381" s="980"/>
      <c r="S381" s="980"/>
      <c r="T381" s="980"/>
      <c r="U381" s="980"/>
      <c r="V381" s="980"/>
      <c r="W381" s="980"/>
      <c r="X381" s="981"/>
    </row>
    <row r="382" spans="1:24" ht="30" customHeight="1" x14ac:dyDescent="0.25">
      <c r="A382" s="2018" t="s">
        <v>2046</v>
      </c>
      <c r="B382" s="2017" t="s">
        <v>2299</v>
      </c>
      <c r="C382" s="1996" t="s">
        <v>2300</v>
      </c>
      <c r="D382" s="953" t="s">
        <v>201</v>
      </c>
      <c r="E382" s="1307" t="s">
        <v>73</v>
      </c>
      <c r="F382" s="1307" t="s">
        <v>1785</v>
      </c>
      <c r="G382" s="1307" t="s">
        <v>1752</v>
      </c>
      <c r="H382" s="980"/>
      <c r="I382" s="980"/>
      <c r="J382" s="980"/>
      <c r="K382" s="980"/>
      <c r="L382" s="980">
        <v>-1812722</v>
      </c>
      <c r="M382" s="980"/>
      <c r="N382" s="980"/>
      <c r="O382" s="980"/>
      <c r="P382" s="981"/>
      <c r="Q382" s="1318"/>
      <c r="R382" s="980"/>
      <c r="S382" s="980"/>
      <c r="T382" s="980"/>
      <c r="U382" s="980"/>
      <c r="V382" s="980"/>
      <c r="W382" s="980"/>
      <c r="X382" s="981"/>
    </row>
    <row r="383" spans="1:24" ht="30" customHeight="1" x14ac:dyDescent="0.25">
      <c r="A383" s="2018"/>
      <c r="B383" s="2017"/>
      <c r="C383" s="1996"/>
      <c r="D383" s="953" t="s">
        <v>199</v>
      </c>
      <c r="E383" s="1307" t="s">
        <v>561</v>
      </c>
      <c r="F383" s="1307" t="s">
        <v>2204</v>
      </c>
      <c r="G383" s="1307" t="s">
        <v>1754</v>
      </c>
      <c r="H383" s="980"/>
      <c r="I383" s="980"/>
      <c r="J383" s="980"/>
      <c r="K383" s="980"/>
      <c r="L383" s="980"/>
      <c r="M383" s="980">
        <f>1427340+385382</f>
        <v>1812722</v>
      </c>
      <c r="N383" s="980"/>
      <c r="O383" s="980"/>
      <c r="P383" s="981"/>
      <c r="Q383" s="1318"/>
      <c r="R383" s="980"/>
      <c r="S383" s="980"/>
      <c r="T383" s="980"/>
      <c r="U383" s="980"/>
      <c r="V383" s="980"/>
      <c r="W383" s="980"/>
      <c r="X383" s="981"/>
    </row>
    <row r="384" spans="1:24" ht="21.75" customHeight="1" x14ac:dyDescent="0.25">
      <c r="A384" s="1488"/>
      <c r="B384" s="1486"/>
      <c r="C384" s="1482" t="s">
        <v>2291</v>
      </c>
      <c r="D384" s="953" t="s">
        <v>203</v>
      </c>
      <c r="E384" s="1307" t="s">
        <v>1297</v>
      </c>
      <c r="F384" s="1307" t="s">
        <v>550</v>
      </c>
      <c r="G384" s="1307" t="s">
        <v>1766</v>
      </c>
      <c r="H384" s="980"/>
      <c r="I384" s="980"/>
      <c r="J384" s="980"/>
      <c r="K384" s="980"/>
      <c r="L384" s="980"/>
      <c r="M384" s="980"/>
      <c r="N384" s="980"/>
      <c r="O384" s="980"/>
      <c r="P384" s="981">
        <f>-199995+199995</f>
        <v>0</v>
      </c>
      <c r="Q384" s="1318"/>
      <c r="R384" s="980"/>
      <c r="S384" s="980"/>
      <c r="T384" s="980"/>
      <c r="U384" s="980"/>
      <c r="V384" s="980"/>
      <c r="W384" s="980"/>
      <c r="X384" s="981"/>
    </row>
    <row r="385" spans="1:24" ht="23.25" customHeight="1" x14ac:dyDescent="0.25">
      <c r="A385" s="2018" t="s">
        <v>2048</v>
      </c>
      <c r="B385" s="2017" t="s">
        <v>2306</v>
      </c>
      <c r="C385" s="1996" t="s">
        <v>2307</v>
      </c>
      <c r="D385" s="953" t="s">
        <v>199</v>
      </c>
      <c r="E385" s="1307" t="s">
        <v>601</v>
      </c>
      <c r="F385" s="1307" t="s">
        <v>127</v>
      </c>
      <c r="G385" s="1307" t="s">
        <v>1752</v>
      </c>
      <c r="H385" s="980"/>
      <c r="I385" s="980"/>
      <c r="J385" s="980"/>
      <c r="K385" s="980"/>
      <c r="L385" s="980"/>
      <c r="M385" s="980">
        <f>-5200000-1404000</f>
        <v>-6604000</v>
      </c>
      <c r="N385" s="980"/>
      <c r="O385" s="980"/>
      <c r="P385" s="981"/>
      <c r="Q385" s="1318"/>
      <c r="R385" s="980"/>
      <c r="S385" s="980"/>
      <c r="T385" s="980"/>
      <c r="U385" s="980"/>
      <c r="V385" s="980"/>
      <c r="W385" s="980"/>
      <c r="X385" s="981"/>
    </row>
    <row r="386" spans="1:24" ht="23.25" customHeight="1" x14ac:dyDescent="0.25">
      <c r="A386" s="2018"/>
      <c r="B386" s="2017"/>
      <c r="C386" s="1996"/>
      <c r="D386" s="953" t="s">
        <v>199</v>
      </c>
      <c r="E386" s="1307" t="s">
        <v>601</v>
      </c>
      <c r="F386" s="1307" t="s">
        <v>1391</v>
      </c>
      <c r="G386" s="1307" t="s">
        <v>1754</v>
      </c>
      <c r="H386" s="980"/>
      <c r="I386" s="980"/>
      <c r="J386" s="980"/>
      <c r="K386" s="980"/>
      <c r="L386" s="980"/>
      <c r="M386" s="980">
        <f>5200000+1404000</f>
        <v>6604000</v>
      </c>
      <c r="N386" s="980"/>
      <c r="O386" s="980"/>
      <c r="P386" s="981"/>
      <c r="Q386" s="1318"/>
      <c r="R386" s="980"/>
      <c r="S386" s="980"/>
      <c r="T386" s="980"/>
      <c r="U386" s="980"/>
      <c r="V386" s="980"/>
      <c r="W386" s="980"/>
      <c r="X386" s="981"/>
    </row>
    <row r="387" spans="1:24" ht="22.5" customHeight="1" x14ac:dyDescent="0.25">
      <c r="A387" s="2018" t="s">
        <v>2049</v>
      </c>
      <c r="B387" s="2017" t="s">
        <v>2308</v>
      </c>
      <c r="C387" s="1996" t="s">
        <v>2309</v>
      </c>
      <c r="D387" s="953" t="s">
        <v>199</v>
      </c>
      <c r="E387" s="1307" t="s">
        <v>601</v>
      </c>
      <c r="F387" s="1307" t="s">
        <v>127</v>
      </c>
      <c r="G387" s="1307" t="s">
        <v>1752</v>
      </c>
      <c r="H387" s="980"/>
      <c r="I387" s="980"/>
      <c r="J387" s="980"/>
      <c r="K387" s="980"/>
      <c r="L387" s="980"/>
      <c r="M387" s="980">
        <f>-4460000-1204200</f>
        <v>-5664200</v>
      </c>
      <c r="N387" s="980"/>
      <c r="O387" s="980"/>
      <c r="P387" s="981"/>
      <c r="Q387" s="1318"/>
      <c r="R387" s="980"/>
      <c r="S387" s="980"/>
      <c r="T387" s="980"/>
      <c r="U387" s="980"/>
      <c r="V387" s="980"/>
      <c r="W387" s="980"/>
      <c r="X387" s="981"/>
    </row>
    <row r="388" spans="1:24" ht="22.5" customHeight="1" x14ac:dyDescent="0.25">
      <c r="A388" s="2018"/>
      <c r="B388" s="2017"/>
      <c r="C388" s="1996"/>
      <c r="D388" s="953" t="s">
        <v>199</v>
      </c>
      <c r="E388" s="1307" t="s">
        <v>601</v>
      </c>
      <c r="F388" s="1307" t="s">
        <v>1957</v>
      </c>
      <c r="G388" s="1307" t="s">
        <v>1754</v>
      </c>
      <c r="H388" s="980"/>
      <c r="I388" s="980"/>
      <c r="J388" s="980"/>
      <c r="K388" s="980"/>
      <c r="L388" s="980"/>
      <c r="M388" s="980">
        <f>4460000+1204200</f>
        <v>5664200</v>
      </c>
      <c r="N388" s="980"/>
      <c r="O388" s="980"/>
      <c r="P388" s="981"/>
      <c r="Q388" s="1318"/>
      <c r="R388" s="980"/>
      <c r="S388" s="980"/>
      <c r="T388" s="980"/>
      <c r="U388" s="980"/>
      <c r="V388" s="980"/>
      <c r="W388" s="980"/>
      <c r="X388" s="981"/>
    </row>
    <row r="389" spans="1:24" ht="29.25" customHeight="1" x14ac:dyDescent="0.25">
      <c r="A389" s="1488"/>
      <c r="B389" s="1486"/>
      <c r="C389" s="1482" t="s">
        <v>2313</v>
      </c>
      <c r="D389" s="953" t="s">
        <v>203</v>
      </c>
      <c r="E389" s="1307" t="s">
        <v>1297</v>
      </c>
      <c r="F389" s="1307" t="s">
        <v>550</v>
      </c>
      <c r="G389" s="1307" t="s">
        <v>1766</v>
      </c>
      <c r="H389" s="980"/>
      <c r="I389" s="980"/>
      <c r="J389" s="980"/>
      <c r="K389" s="980"/>
      <c r="L389" s="980"/>
      <c r="M389" s="980"/>
      <c r="N389" s="980"/>
      <c r="O389" s="980"/>
      <c r="P389" s="981">
        <f>-92342+92342</f>
        <v>0</v>
      </c>
      <c r="Q389" s="1318"/>
      <c r="R389" s="980"/>
      <c r="S389" s="980"/>
      <c r="T389" s="980"/>
      <c r="U389" s="980"/>
      <c r="V389" s="980"/>
      <c r="W389" s="980"/>
      <c r="X389" s="981"/>
    </row>
    <row r="390" spans="1:24" ht="24.75" customHeight="1" x14ac:dyDescent="0.25">
      <c r="A390" s="1488"/>
      <c r="B390" s="1486"/>
      <c r="C390" s="1482" t="s">
        <v>2315</v>
      </c>
      <c r="D390" s="953" t="s">
        <v>203</v>
      </c>
      <c r="E390" s="1307" t="s">
        <v>1297</v>
      </c>
      <c r="F390" s="1307" t="s">
        <v>550</v>
      </c>
      <c r="G390" s="1307" t="s">
        <v>1766</v>
      </c>
      <c r="H390" s="980"/>
      <c r="I390" s="980"/>
      <c r="J390" s="980"/>
      <c r="K390" s="980"/>
      <c r="L390" s="980"/>
      <c r="M390" s="980"/>
      <c r="N390" s="980"/>
      <c r="O390" s="980"/>
      <c r="P390" s="981">
        <f>-75000+75000</f>
        <v>0</v>
      </c>
      <c r="Q390" s="1318"/>
      <c r="R390" s="980"/>
      <c r="S390" s="980"/>
      <c r="T390" s="980"/>
      <c r="U390" s="980"/>
      <c r="V390" s="980"/>
      <c r="W390" s="980"/>
      <c r="X390" s="981"/>
    </row>
    <row r="391" spans="1:24" ht="19.5" customHeight="1" x14ac:dyDescent="0.25">
      <c r="A391" s="2018" t="s">
        <v>2051</v>
      </c>
      <c r="B391" s="2017" t="s">
        <v>2332</v>
      </c>
      <c r="C391" s="2019" t="s">
        <v>2333</v>
      </c>
      <c r="D391" s="953" t="s">
        <v>204</v>
      </c>
      <c r="E391" s="1307" t="s">
        <v>1753</v>
      </c>
      <c r="F391" s="1307" t="s">
        <v>1784</v>
      </c>
      <c r="G391" s="1307" t="s">
        <v>1754</v>
      </c>
      <c r="H391" s="980"/>
      <c r="I391" s="980"/>
      <c r="J391" s="980"/>
      <c r="K391" s="980"/>
      <c r="L391" s="980"/>
      <c r="M391" s="980"/>
      <c r="N391" s="980"/>
      <c r="O391" s="980"/>
      <c r="P391" s="981"/>
      <c r="Q391" s="1318">
        <v>2607203</v>
      </c>
      <c r="R391" s="980"/>
      <c r="S391" s="980"/>
      <c r="T391" s="980"/>
      <c r="U391" s="980"/>
      <c r="V391" s="980"/>
      <c r="W391" s="980"/>
      <c r="X391" s="981"/>
    </row>
    <row r="392" spans="1:24" ht="19.5" customHeight="1" x14ac:dyDescent="0.25">
      <c r="A392" s="2018"/>
      <c r="B392" s="2017"/>
      <c r="C392" s="2019"/>
      <c r="D392" s="953" t="s">
        <v>201</v>
      </c>
      <c r="E392" s="1307" t="s">
        <v>73</v>
      </c>
      <c r="F392" s="1307" t="s">
        <v>1785</v>
      </c>
      <c r="G392" s="1307" t="s">
        <v>1754</v>
      </c>
      <c r="H392" s="980"/>
      <c r="I392" s="980"/>
      <c r="J392" s="980"/>
      <c r="K392" s="980"/>
      <c r="L392" s="980">
        <v>2607203</v>
      </c>
      <c r="M392" s="980"/>
      <c r="N392" s="980"/>
      <c r="O392" s="980"/>
      <c r="P392" s="981"/>
      <c r="Q392" s="1318"/>
      <c r="R392" s="980"/>
      <c r="S392" s="980"/>
      <c r="T392" s="980"/>
      <c r="U392" s="980"/>
      <c r="V392" s="980"/>
      <c r="W392" s="980"/>
      <c r="X392" s="981"/>
    </row>
    <row r="393" spans="1:24" ht="18.75" customHeight="1" x14ac:dyDescent="0.25">
      <c r="A393" s="2018" t="s">
        <v>2055</v>
      </c>
      <c r="B393" s="2017" t="s">
        <v>2334</v>
      </c>
      <c r="C393" s="1996" t="s">
        <v>2336</v>
      </c>
      <c r="D393" s="953" t="s">
        <v>194</v>
      </c>
      <c r="E393" s="1307" t="s">
        <v>1297</v>
      </c>
      <c r="F393" s="1307" t="s">
        <v>153</v>
      </c>
      <c r="G393" s="1307" t="s">
        <v>1754</v>
      </c>
      <c r="H393" s="980"/>
      <c r="I393" s="980"/>
      <c r="J393" s="980"/>
      <c r="K393" s="980"/>
      <c r="L393" s="980"/>
      <c r="M393" s="980"/>
      <c r="N393" s="980"/>
      <c r="O393" s="980"/>
      <c r="P393" s="981"/>
      <c r="Q393" s="1318">
        <v>159332707</v>
      </c>
      <c r="R393" s="980"/>
      <c r="S393" s="980"/>
      <c r="T393" s="980"/>
      <c r="U393" s="980"/>
      <c r="V393" s="980"/>
      <c r="W393" s="980"/>
      <c r="X393" s="981">
        <v>110260190</v>
      </c>
    </row>
    <row r="394" spans="1:24" ht="18.75" customHeight="1" x14ac:dyDescent="0.25">
      <c r="A394" s="2018"/>
      <c r="B394" s="2017"/>
      <c r="C394" s="1996"/>
      <c r="D394" s="953" t="s">
        <v>201</v>
      </c>
      <c r="E394" s="1307" t="s">
        <v>73</v>
      </c>
      <c r="F394" s="1307" t="s">
        <v>1785</v>
      </c>
      <c r="G394" s="1307" t="s">
        <v>1754</v>
      </c>
      <c r="H394" s="980"/>
      <c r="I394" s="980"/>
      <c r="J394" s="980"/>
      <c r="K394" s="980"/>
      <c r="L394" s="980">
        <v>108589897</v>
      </c>
      <c r="M394" s="980"/>
      <c r="N394" s="980"/>
      <c r="O394" s="980"/>
      <c r="P394" s="981"/>
      <c r="Q394" s="1318"/>
      <c r="R394" s="980"/>
      <c r="S394" s="980"/>
      <c r="T394" s="980"/>
      <c r="U394" s="980"/>
      <c r="V394" s="980"/>
      <c r="W394" s="980"/>
      <c r="X394" s="981"/>
    </row>
    <row r="395" spans="1:24" ht="18.75" customHeight="1" x14ac:dyDescent="0.25">
      <c r="A395" s="2018"/>
      <c r="B395" s="2017"/>
      <c r="C395" s="1996"/>
      <c r="D395" s="953" t="s">
        <v>198</v>
      </c>
      <c r="E395" s="1307" t="s">
        <v>74</v>
      </c>
      <c r="F395" s="1307" t="s">
        <v>1408</v>
      </c>
      <c r="G395" s="1307" t="s">
        <v>1754</v>
      </c>
      <c r="H395" s="980"/>
      <c r="I395" s="980"/>
      <c r="J395" s="980"/>
      <c r="K395" s="980"/>
      <c r="L395" s="980">
        <v>24003000</v>
      </c>
      <c r="M395" s="980"/>
      <c r="N395" s="980"/>
      <c r="O395" s="980"/>
      <c r="P395" s="981"/>
      <c r="Q395" s="1318"/>
      <c r="R395" s="980"/>
      <c r="S395" s="980"/>
      <c r="T395" s="980"/>
      <c r="U395" s="980"/>
      <c r="V395" s="980"/>
      <c r="W395" s="980"/>
      <c r="X395" s="981"/>
    </row>
    <row r="396" spans="1:24" ht="18.75" customHeight="1" x14ac:dyDescent="0.25">
      <c r="A396" s="2018"/>
      <c r="B396" s="2017"/>
      <c r="C396" s="1996"/>
      <c r="D396" s="953" t="s">
        <v>194</v>
      </c>
      <c r="E396" s="1307" t="s">
        <v>607</v>
      </c>
      <c r="F396" s="1307" t="s">
        <v>605</v>
      </c>
      <c r="G396" s="1307" t="s">
        <v>1754</v>
      </c>
      <c r="H396" s="980"/>
      <c r="I396" s="980"/>
      <c r="J396" s="980">
        <f>3937008+1062992</f>
        <v>5000000</v>
      </c>
      <c r="K396" s="980"/>
      <c r="L396" s="980"/>
      <c r="M396" s="980"/>
      <c r="N396" s="980"/>
      <c r="O396" s="980"/>
      <c r="P396" s="981"/>
      <c r="Q396" s="1318"/>
      <c r="R396" s="980"/>
      <c r="S396" s="980"/>
      <c r="T396" s="980"/>
      <c r="U396" s="980"/>
      <c r="V396" s="980"/>
      <c r="W396" s="980"/>
      <c r="X396" s="981"/>
    </row>
    <row r="397" spans="1:24" ht="18.75" customHeight="1" x14ac:dyDescent="0.25">
      <c r="A397" s="2018"/>
      <c r="B397" s="2017"/>
      <c r="C397" s="1996"/>
      <c r="D397" s="953" t="s">
        <v>198</v>
      </c>
      <c r="E397" s="1307" t="s">
        <v>1502</v>
      </c>
      <c r="F397" s="1307" t="s">
        <v>2337</v>
      </c>
      <c r="G397" s="1307" t="s">
        <v>1754</v>
      </c>
      <c r="H397" s="980"/>
      <c r="I397" s="980"/>
      <c r="J397" s="980"/>
      <c r="K397" s="980"/>
      <c r="L397" s="980">
        <v>4000000</v>
      </c>
      <c r="M397" s="980"/>
      <c r="N397" s="980"/>
      <c r="O397" s="980"/>
      <c r="P397" s="981"/>
      <c r="Q397" s="1318"/>
      <c r="R397" s="980"/>
      <c r="S397" s="980"/>
      <c r="T397" s="980"/>
      <c r="U397" s="980"/>
      <c r="V397" s="980"/>
      <c r="W397" s="980"/>
      <c r="X397" s="981"/>
    </row>
    <row r="398" spans="1:24" ht="18.75" customHeight="1" x14ac:dyDescent="0.25">
      <c r="A398" s="2018"/>
      <c r="B398" s="2017"/>
      <c r="C398" s="1996"/>
      <c r="D398" s="953" t="s">
        <v>199</v>
      </c>
      <c r="E398" s="1307" t="s">
        <v>641</v>
      </c>
      <c r="F398" s="1307" t="s">
        <v>133</v>
      </c>
      <c r="G398" s="1307" t="s">
        <v>1754</v>
      </c>
      <c r="H398" s="980"/>
      <c r="I398" s="980"/>
      <c r="J398" s="980"/>
      <c r="K398" s="980"/>
      <c r="L398" s="980"/>
      <c r="M398" s="980">
        <v>10000000</v>
      </c>
      <c r="N398" s="980"/>
      <c r="O398" s="980"/>
      <c r="P398" s="981"/>
      <c r="Q398" s="1318"/>
      <c r="R398" s="980"/>
      <c r="S398" s="980"/>
      <c r="T398" s="980"/>
      <c r="U398" s="980"/>
      <c r="V398" s="980"/>
      <c r="W398" s="980"/>
      <c r="X398" s="981"/>
    </row>
    <row r="399" spans="1:24" ht="18.75" customHeight="1" x14ac:dyDescent="0.25">
      <c r="A399" s="2018"/>
      <c r="B399" s="2017"/>
      <c r="C399" s="1996"/>
      <c r="D399" s="953" t="s">
        <v>199</v>
      </c>
      <c r="E399" s="1307" t="s">
        <v>601</v>
      </c>
      <c r="F399" s="1307" t="s">
        <v>1957</v>
      </c>
      <c r="G399" s="1307" t="s">
        <v>1754</v>
      </c>
      <c r="H399" s="980"/>
      <c r="I399" s="980"/>
      <c r="J399" s="980"/>
      <c r="K399" s="980"/>
      <c r="L399" s="980"/>
      <c r="M399" s="980">
        <f>92913386+25086614</f>
        <v>118000000</v>
      </c>
      <c r="N399" s="980"/>
      <c r="O399" s="980"/>
      <c r="P399" s="981"/>
      <c r="Q399" s="1318"/>
      <c r="R399" s="980"/>
      <c r="S399" s="980"/>
      <c r="T399" s="980"/>
      <c r="U399" s="980"/>
      <c r="V399" s="980"/>
      <c r="W399" s="980"/>
      <c r="X399" s="981"/>
    </row>
    <row r="400" spans="1:24" ht="15.75" customHeight="1" x14ac:dyDescent="0.25">
      <c r="A400" s="2018" t="s">
        <v>2059</v>
      </c>
      <c r="B400" s="2017" t="s">
        <v>2339</v>
      </c>
      <c r="C400" s="1996" t="s">
        <v>2340</v>
      </c>
      <c r="D400" s="953" t="s">
        <v>204</v>
      </c>
      <c r="E400" s="1307" t="s">
        <v>1753</v>
      </c>
      <c r="F400" s="1307" t="s">
        <v>1784</v>
      </c>
      <c r="G400" s="1307" t="s">
        <v>1752</v>
      </c>
      <c r="H400" s="980"/>
      <c r="I400" s="980"/>
      <c r="J400" s="980"/>
      <c r="K400" s="980"/>
      <c r="L400" s="980"/>
      <c r="M400" s="980"/>
      <c r="N400" s="980"/>
      <c r="O400" s="980"/>
      <c r="P400" s="981"/>
      <c r="Q400" s="1318">
        <v>-16564354</v>
      </c>
      <c r="R400" s="980"/>
      <c r="S400" s="980"/>
      <c r="T400" s="980"/>
      <c r="U400" s="980"/>
      <c r="V400" s="980"/>
      <c r="W400" s="980"/>
      <c r="X400" s="981"/>
    </row>
    <row r="401" spans="1:24" ht="15.75" customHeight="1" x14ac:dyDescent="0.25">
      <c r="A401" s="2018"/>
      <c r="B401" s="2017"/>
      <c r="C401" s="1996"/>
      <c r="D401" s="953" t="s">
        <v>194</v>
      </c>
      <c r="E401" s="1307" t="s">
        <v>3174</v>
      </c>
      <c r="F401" s="1307" t="s">
        <v>739</v>
      </c>
      <c r="G401" s="1307" t="s">
        <v>1754</v>
      </c>
      <c r="H401" s="980"/>
      <c r="I401" s="980"/>
      <c r="J401" s="980"/>
      <c r="K401" s="980"/>
      <c r="L401" s="980"/>
      <c r="M401" s="980"/>
      <c r="N401" s="980"/>
      <c r="O401" s="980"/>
      <c r="P401" s="981"/>
      <c r="Q401" s="1318">
        <v>8841120</v>
      </c>
      <c r="R401" s="980"/>
      <c r="S401" s="980"/>
      <c r="T401" s="980"/>
      <c r="U401" s="980"/>
      <c r="V401" s="980"/>
      <c r="W401" s="980"/>
      <c r="X401" s="981"/>
    </row>
    <row r="402" spans="1:24" ht="15.75" customHeight="1" x14ac:dyDescent="0.25">
      <c r="A402" s="2018"/>
      <c r="B402" s="2017"/>
      <c r="C402" s="1996"/>
      <c r="D402" s="953" t="s">
        <v>194</v>
      </c>
      <c r="E402" s="1307" t="s">
        <v>3174</v>
      </c>
      <c r="F402" s="1307" t="s">
        <v>2341</v>
      </c>
      <c r="G402" s="1307" t="s">
        <v>1754</v>
      </c>
      <c r="H402" s="980"/>
      <c r="I402" s="980"/>
      <c r="J402" s="980"/>
      <c r="K402" s="980"/>
      <c r="L402" s="980"/>
      <c r="M402" s="980"/>
      <c r="N402" s="980"/>
      <c r="O402" s="980"/>
      <c r="P402" s="981"/>
      <c r="Q402" s="1318">
        <v>7723234</v>
      </c>
      <c r="R402" s="980"/>
      <c r="S402" s="980"/>
      <c r="T402" s="980"/>
      <c r="U402" s="980"/>
      <c r="V402" s="980"/>
      <c r="W402" s="980"/>
      <c r="X402" s="981"/>
    </row>
    <row r="403" spans="1:24" ht="48.75" customHeight="1" x14ac:dyDescent="0.25">
      <c r="A403" s="1488" t="s">
        <v>2062</v>
      </c>
      <c r="B403" s="1486" t="s">
        <v>2348</v>
      </c>
      <c r="C403" s="1482" t="s">
        <v>2349</v>
      </c>
      <c r="D403" s="953" t="s">
        <v>199</v>
      </c>
      <c r="E403" s="1307" t="s">
        <v>844</v>
      </c>
      <c r="F403" s="1307" t="s">
        <v>843</v>
      </c>
      <c r="G403" s="1307" t="s">
        <v>1766</v>
      </c>
      <c r="H403" s="980"/>
      <c r="I403" s="980"/>
      <c r="J403" s="980"/>
      <c r="K403" s="980"/>
      <c r="L403" s="980"/>
      <c r="M403" s="980">
        <f>-2894000+2894000</f>
        <v>0</v>
      </c>
      <c r="N403" s="980"/>
      <c r="O403" s="980"/>
      <c r="P403" s="981"/>
      <c r="Q403" s="1318"/>
      <c r="R403" s="980"/>
      <c r="S403" s="980"/>
      <c r="T403" s="980"/>
      <c r="U403" s="980"/>
      <c r="V403" s="980"/>
      <c r="W403" s="980"/>
      <c r="X403" s="981"/>
    </row>
    <row r="404" spans="1:24" ht="17.25" customHeight="1" x14ac:dyDescent="0.25">
      <c r="A404" s="2018" t="s">
        <v>2064</v>
      </c>
      <c r="B404" s="2017" t="s">
        <v>2346</v>
      </c>
      <c r="C404" s="1996" t="s">
        <v>2095</v>
      </c>
      <c r="D404" s="953" t="s">
        <v>194</v>
      </c>
      <c r="E404" s="1307" t="s">
        <v>641</v>
      </c>
      <c r="F404" s="1307" t="s">
        <v>66</v>
      </c>
      <c r="G404" s="1307" t="s">
        <v>1754</v>
      </c>
      <c r="H404" s="980"/>
      <c r="I404" s="980"/>
      <c r="J404" s="980"/>
      <c r="K404" s="980"/>
      <c r="L404" s="980"/>
      <c r="M404" s="980"/>
      <c r="N404" s="980"/>
      <c r="O404" s="980"/>
      <c r="P404" s="981"/>
      <c r="Q404" s="1318"/>
      <c r="R404" s="980"/>
      <c r="S404" s="980"/>
      <c r="T404" s="980">
        <f>78740+21260</f>
        <v>100000</v>
      </c>
      <c r="U404" s="980"/>
      <c r="V404" s="980"/>
      <c r="W404" s="980"/>
      <c r="X404" s="981"/>
    </row>
    <row r="405" spans="1:24" ht="17.25" customHeight="1" x14ac:dyDescent="0.25">
      <c r="A405" s="2018"/>
      <c r="B405" s="2017"/>
      <c r="C405" s="1996"/>
      <c r="D405" s="953" t="s">
        <v>201</v>
      </c>
      <c r="E405" s="1307" t="s">
        <v>73</v>
      </c>
      <c r="F405" s="1307" t="s">
        <v>1785</v>
      </c>
      <c r="G405" s="1307" t="s">
        <v>1754</v>
      </c>
      <c r="H405" s="980"/>
      <c r="I405" s="980"/>
      <c r="J405" s="980"/>
      <c r="K405" s="980"/>
      <c r="L405" s="980">
        <v>100000</v>
      </c>
      <c r="M405" s="980"/>
      <c r="N405" s="980"/>
      <c r="O405" s="980"/>
      <c r="P405" s="981"/>
      <c r="Q405" s="1318"/>
      <c r="R405" s="980"/>
      <c r="S405" s="980"/>
      <c r="T405" s="980"/>
      <c r="U405" s="980"/>
      <c r="V405" s="980"/>
      <c r="W405" s="980"/>
      <c r="X405" s="981"/>
    </row>
    <row r="406" spans="1:24" ht="17.25" customHeight="1" x14ac:dyDescent="0.25">
      <c r="A406" s="2018" t="s">
        <v>2067</v>
      </c>
      <c r="B406" s="2017" t="s">
        <v>2350</v>
      </c>
      <c r="C406" s="1996" t="s">
        <v>2351</v>
      </c>
      <c r="D406" s="953" t="s">
        <v>194</v>
      </c>
      <c r="E406" s="1307" t="s">
        <v>130</v>
      </c>
      <c r="F406" s="1307" t="s">
        <v>153</v>
      </c>
      <c r="G406" s="1307" t="s">
        <v>1754</v>
      </c>
      <c r="H406" s="980"/>
      <c r="I406" s="980"/>
      <c r="J406" s="980"/>
      <c r="K406" s="980"/>
      <c r="L406" s="980"/>
      <c r="M406" s="980"/>
      <c r="N406" s="980"/>
      <c r="O406" s="980"/>
      <c r="P406" s="981"/>
      <c r="Q406" s="1318"/>
      <c r="R406" s="980"/>
      <c r="S406" s="980">
        <v>100000</v>
      </c>
      <c r="T406" s="980"/>
      <c r="U406" s="980"/>
      <c r="V406" s="980"/>
      <c r="W406" s="980"/>
      <c r="X406" s="981"/>
    </row>
    <row r="407" spans="1:24" ht="17.25" customHeight="1" x14ac:dyDescent="0.25">
      <c r="A407" s="2018"/>
      <c r="B407" s="2017"/>
      <c r="C407" s="1996"/>
      <c r="D407" s="953" t="s">
        <v>201</v>
      </c>
      <c r="E407" s="1307" t="s">
        <v>73</v>
      </c>
      <c r="F407" s="1307" t="s">
        <v>1785</v>
      </c>
      <c r="G407" s="1307" t="s">
        <v>1754</v>
      </c>
      <c r="H407" s="980"/>
      <c r="I407" s="980"/>
      <c r="J407" s="980"/>
      <c r="K407" s="980"/>
      <c r="L407" s="980">
        <v>100000</v>
      </c>
      <c r="M407" s="980"/>
      <c r="N407" s="980"/>
      <c r="O407" s="980"/>
      <c r="P407" s="981"/>
      <c r="Q407" s="1318"/>
      <c r="R407" s="980"/>
      <c r="S407" s="980"/>
      <c r="T407" s="980"/>
      <c r="U407" s="980"/>
      <c r="V407" s="980"/>
      <c r="W407" s="980"/>
      <c r="X407" s="981"/>
    </row>
    <row r="408" spans="1:24" ht="30" customHeight="1" x14ac:dyDescent="0.25">
      <c r="A408" s="2018" t="s">
        <v>2070</v>
      </c>
      <c r="B408" s="2020" t="s">
        <v>2352</v>
      </c>
      <c r="C408" s="1996" t="s">
        <v>2353</v>
      </c>
      <c r="D408" s="953" t="s">
        <v>201</v>
      </c>
      <c r="E408" s="1307" t="s">
        <v>73</v>
      </c>
      <c r="F408" s="1307" t="s">
        <v>1785</v>
      </c>
      <c r="G408" s="1307" t="s">
        <v>1752</v>
      </c>
      <c r="H408" s="980"/>
      <c r="I408" s="980"/>
      <c r="J408" s="980"/>
      <c r="K408" s="980"/>
      <c r="L408" s="980">
        <v>-110911</v>
      </c>
      <c r="M408" s="980"/>
      <c r="N408" s="980"/>
      <c r="O408" s="980"/>
      <c r="P408" s="981"/>
      <c r="Q408" s="1318"/>
      <c r="R408" s="980"/>
      <c r="S408" s="980"/>
      <c r="T408" s="980"/>
      <c r="U408" s="980"/>
      <c r="V408" s="980"/>
      <c r="W408" s="980"/>
      <c r="X408" s="981"/>
    </row>
    <row r="409" spans="1:24" ht="17.25" customHeight="1" x14ac:dyDescent="0.25">
      <c r="A409" s="2018"/>
      <c r="B409" s="2020"/>
      <c r="C409" s="1996"/>
      <c r="D409" s="953" t="s">
        <v>199</v>
      </c>
      <c r="E409" s="1307" t="s">
        <v>1368</v>
      </c>
      <c r="F409" s="1307" t="s">
        <v>1412</v>
      </c>
      <c r="G409" s="1307" t="s">
        <v>1754</v>
      </c>
      <c r="H409" s="980"/>
      <c r="I409" s="980"/>
      <c r="J409" s="980"/>
      <c r="K409" s="980"/>
      <c r="L409" s="980"/>
      <c r="M409" s="980">
        <f>87332+23579</f>
        <v>110911</v>
      </c>
      <c r="N409" s="980"/>
      <c r="O409" s="980"/>
      <c r="P409" s="981"/>
      <c r="Q409" s="1318"/>
      <c r="R409" s="980"/>
      <c r="S409" s="980"/>
      <c r="T409" s="980"/>
      <c r="U409" s="980"/>
      <c r="V409" s="980"/>
      <c r="W409" s="980"/>
      <c r="X409" s="981"/>
    </row>
    <row r="410" spans="1:24" ht="32.25" customHeight="1" x14ac:dyDescent="0.25">
      <c r="A410" s="1488" t="s">
        <v>2073</v>
      </c>
      <c r="B410" s="1489" t="s">
        <v>2356</v>
      </c>
      <c r="C410" s="1482" t="s">
        <v>2357</v>
      </c>
      <c r="D410" s="953" t="s">
        <v>194</v>
      </c>
      <c r="E410" s="1307" t="s">
        <v>130</v>
      </c>
      <c r="F410" s="1307" t="s">
        <v>152</v>
      </c>
      <c r="G410" s="1307" t="s">
        <v>1754</v>
      </c>
      <c r="H410" s="980"/>
      <c r="I410" s="980"/>
      <c r="J410" s="980">
        <v>2000000</v>
      </c>
      <c r="K410" s="980"/>
      <c r="L410" s="980"/>
      <c r="M410" s="980"/>
      <c r="N410" s="980"/>
      <c r="O410" s="980"/>
      <c r="P410" s="981"/>
      <c r="Q410" s="1318"/>
      <c r="R410" s="980"/>
      <c r="S410" s="980"/>
      <c r="T410" s="980">
        <v>2000000</v>
      </c>
      <c r="U410" s="980"/>
      <c r="V410" s="980"/>
      <c r="W410" s="980"/>
      <c r="X410" s="981"/>
    </row>
    <row r="411" spans="1:24" ht="66" customHeight="1" x14ac:dyDescent="0.25">
      <c r="A411" s="1488" t="s">
        <v>2075</v>
      </c>
      <c r="B411" s="1489" t="s">
        <v>2358</v>
      </c>
      <c r="C411" s="1482" t="s">
        <v>2382</v>
      </c>
      <c r="D411" s="953" t="s">
        <v>194</v>
      </c>
      <c r="E411" s="1307" t="s">
        <v>73</v>
      </c>
      <c r="F411" s="1307" t="s">
        <v>553</v>
      </c>
      <c r="G411" s="1307" t="s">
        <v>1766</v>
      </c>
      <c r="H411" s="980"/>
      <c r="I411" s="980"/>
      <c r="J411" s="980">
        <f>-6600+6600</f>
        <v>0</v>
      </c>
      <c r="K411" s="980"/>
      <c r="L411" s="980"/>
      <c r="M411" s="980"/>
      <c r="N411" s="980"/>
      <c r="O411" s="980"/>
      <c r="P411" s="981"/>
      <c r="Q411" s="1318"/>
      <c r="R411" s="980"/>
      <c r="S411" s="980"/>
      <c r="T411" s="980"/>
      <c r="U411" s="980"/>
      <c r="V411" s="980"/>
      <c r="W411" s="980"/>
      <c r="X411" s="981"/>
    </row>
    <row r="412" spans="1:24" ht="18" customHeight="1" x14ac:dyDescent="0.25">
      <c r="A412" s="2018" t="s">
        <v>2091</v>
      </c>
      <c r="B412" s="2020" t="s">
        <v>2359</v>
      </c>
      <c r="C412" s="1996" t="s">
        <v>2360</v>
      </c>
      <c r="D412" s="953" t="s">
        <v>201</v>
      </c>
      <c r="E412" s="1307" t="s">
        <v>73</v>
      </c>
      <c r="F412" s="1307" t="s">
        <v>1785</v>
      </c>
      <c r="G412" s="1307" t="s">
        <v>1752</v>
      </c>
      <c r="H412" s="980"/>
      <c r="I412" s="980"/>
      <c r="J412" s="980"/>
      <c r="K412" s="980"/>
      <c r="L412" s="980">
        <v>-72000</v>
      </c>
      <c r="M412" s="980"/>
      <c r="N412" s="980"/>
      <c r="O412" s="980"/>
      <c r="P412" s="981"/>
      <c r="Q412" s="1318"/>
      <c r="R412" s="980"/>
      <c r="S412" s="980"/>
      <c r="T412" s="980"/>
      <c r="U412" s="980"/>
      <c r="V412" s="980"/>
      <c r="W412" s="980"/>
      <c r="X412" s="981"/>
    </row>
    <row r="413" spans="1:24" ht="18" customHeight="1" x14ac:dyDescent="0.25">
      <c r="A413" s="2018"/>
      <c r="B413" s="2020"/>
      <c r="C413" s="1996"/>
      <c r="D413" s="953" t="s">
        <v>194</v>
      </c>
      <c r="E413" s="1307" t="s">
        <v>2362</v>
      </c>
      <c r="F413" s="1307" t="s">
        <v>2361</v>
      </c>
      <c r="G413" s="1307" t="s">
        <v>1754</v>
      </c>
      <c r="H413" s="980"/>
      <c r="I413" s="980"/>
      <c r="J413" s="980">
        <v>72000</v>
      </c>
      <c r="K413" s="980"/>
      <c r="L413" s="980"/>
      <c r="M413" s="980"/>
      <c r="N413" s="980"/>
      <c r="O413" s="980"/>
      <c r="P413" s="981"/>
      <c r="Q413" s="1318"/>
      <c r="R413" s="980"/>
      <c r="S413" s="980"/>
      <c r="T413" s="980"/>
      <c r="U413" s="980"/>
      <c r="V413" s="980"/>
      <c r="W413" s="980"/>
      <c r="X413" s="981"/>
    </row>
    <row r="414" spans="1:24" ht="30.75" customHeight="1" x14ac:dyDescent="0.25">
      <c r="A414" s="1488" t="s">
        <v>2094</v>
      </c>
      <c r="B414" s="1486" t="s">
        <v>2363</v>
      </c>
      <c r="C414" s="1482" t="s">
        <v>2364</v>
      </c>
      <c r="D414" s="953" t="s">
        <v>194</v>
      </c>
      <c r="E414" s="1307" t="s">
        <v>2366</v>
      </c>
      <c r="F414" s="1307" t="s">
        <v>2365</v>
      </c>
      <c r="G414" s="1307" t="s">
        <v>1766</v>
      </c>
      <c r="H414" s="980"/>
      <c r="I414" s="980"/>
      <c r="J414" s="980">
        <f>-46101+36300+9801</f>
        <v>0</v>
      </c>
      <c r="K414" s="980"/>
      <c r="L414" s="980"/>
      <c r="M414" s="980"/>
      <c r="N414" s="980"/>
      <c r="O414" s="980"/>
      <c r="P414" s="981"/>
      <c r="Q414" s="1318"/>
      <c r="R414" s="980"/>
      <c r="S414" s="980"/>
      <c r="T414" s="980"/>
      <c r="U414" s="980"/>
      <c r="V414" s="980"/>
      <c r="W414" s="980"/>
      <c r="X414" s="981"/>
    </row>
    <row r="415" spans="1:24" ht="46.5" customHeight="1" x14ac:dyDescent="0.25">
      <c r="A415" s="1488" t="s">
        <v>2096</v>
      </c>
      <c r="B415" s="1486" t="s">
        <v>2367</v>
      </c>
      <c r="C415" s="1482" t="s">
        <v>2368</v>
      </c>
      <c r="D415" s="953" t="s">
        <v>194</v>
      </c>
      <c r="E415" s="1307" t="s">
        <v>1940</v>
      </c>
      <c r="F415" s="1307" t="s">
        <v>1939</v>
      </c>
      <c r="G415" s="1307" t="s">
        <v>1766</v>
      </c>
      <c r="H415" s="980"/>
      <c r="I415" s="980"/>
      <c r="J415" s="980">
        <f>-142266+50866+91400</f>
        <v>0</v>
      </c>
      <c r="K415" s="980"/>
      <c r="L415" s="980"/>
      <c r="M415" s="980"/>
      <c r="N415" s="980"/>
      <c r="O415" s="980"/>
      <c r="P415" s="981"/>
      <c r="Q415" s="1318"/>
      <c r="R415" s="980"/>
      <c r="S415" s="980"/>
      <c r="T415" s="980"/>
      <c r="U415" s="980"/>
      <c r="V415" s="980"/>
      <c r="W415" s="980"/>
      <c r="X415" s="981"/>
    </row>
    <row r="416" spans="1:24" ht="23.25" customHeight="1" x14ac:dyDescent="0.25">
      <c r="A416" s="2018" t="s">
        <v>2099</v>
      </c>
      <c r="B416" s="2017" t="s">
        <v>2347</v>
      </c>
      <c r="C416" s="1996" t="s">
        <v>2369</v>
      </c>
      <c r="D416" s="953" t="s">
        <v>194</v>
      </c>
      <c r="E416" s="1307" t="s">
        <v>130</v>
      </c>
      <c r="F416" s="1307" t="s">
        <v>2098</v>
      </c>
      <c r="G416" s="1307" t="s">
        <v>1754</v>
      </c>
      <c r="H416" s="980"/>
      <c r="I416" s="980"/>
      <c r="J416" s="980"/>
      <c r="K416" s="980"/>
      <c r="L416" s="980"/>
      <c r="M416" s="980"/>
      <c r="N416" s="980"/>
      <c r="O416" s="980"/>
      <c r="P416" s="981"/>
      <c r="Q416" s="1318"/>
      <c r="R416" s="980"/>
      <c r="S416" s="980"/>
      <c r="T416" s="980">
        <v>400000</v>
      </c>
      <c r="U416" s="980"/>
      <c r="V416" s="980"/>
      <c r="W416" s="980"/>
      <c r="X416" s="981"/>
    </row>
    <row r="417" spans="1:24" ht="23.25" customHeight="1" x14ac:dyDescent="0.25">
      <c r="A417" s="2018"/>
      <c r="B417" s="2017"/>
      <c r="C417" s="1996"/>
      <c r="D417" s="953" t="s">
        <v>201</v>
      </c>
      <c r="E417" s="1307" t="s">
        <v>73</v>
      </c>
      <c r="F417" s="1307" t="s">
        <v>1785</v>
      </c>
      <c r="G417" s="1307" t="s">
        <v>1754</v>
      </c>
      <c r="H417" s="980"/>
      <c r="I417" s="980"/>
      <c r="J417" s="980"/>
      <c r="K417" s="980"/>
      <c r="L417" s="980">
        <v>400000</v>
      </c>
      <c r="M417" s="980"/>
      <c r="N417" s="980"/>
      <c r="O417" s="980"/>
      <c r="P417" s="981"/>
      <c r="Q417" s="1318"/>
      <c r="R417" s="980"/>
      <c r="S417" s="980"/>
      <c r="T417" s="980"/>
      <c r="U417" s="980"/>
      <c r="V417" s="980"/>
      <c r="W417" s="980"/>
      <c r="X417" s="981"/>
    </row>
    <row r="418" spans="1:24" ht="24.75" customHeight="1" x14ac:dyDescent="0.25">
      <c r="A418" s="2018" t="s">
        <v>2370</v>
      </c>
      <c r="B418" s="2020" t="s">
        <v>2371</v>
      </c>
      <c r="C418" s="1996" t="s">
        <v>2372</v>
      </c>
      <c r="D418" s="953" t="s">
        <v>194</v>
      </c>
      <c r="E418" s="1307" t="s">
        <v>844</v>
      </c>
      <c r="F418" s="1307" t="s">
        <v>843</v>
      </c>
      <c r="G418" s="1307" t="s">
        <v>1752</v>
      </c>
      <c r="H418" s="980"/>
      <c r="I418" s="980"/>
      <c r="J418" s="980">
        <f>-431497-188801-267768</f>
        <v>-888066</v>
      </c>
      <c r="K418" s="980"/>
      <c r="L418" s="980"/>
      <c r="M418" s="980"/>
      <c r="N418" s="980"/>
      <c r="O418" s="980"/>
      <c r="P418" s="981"/>
      <c r="Q418" s="1318"/>
      <c r="R418" s="980"/>
      <c r="S418" s="980"/>
      <c r="T418" s="980"/>
      <c r="U418" s="980"/>
      <c r="V418" s="980"/>
      <c r="W418" s="980"/>
      <c r="X418" s="981"/>
    </row>
    <row r="419" spans="1:24" ht="24.75" customHeight="1" x14ac:dyDescent="0.25">
      <c r="A419" s="2018"/>
      <c r="B419" s="2020"/>
      <c r="C419" s="1996"/>
      <c r="D419" s="953" t="s">
        <v>199</v>
      </c>
      <c r="E419" s="1307" t="s">
        <v>844</v>
      </c>
      <c r="F419" s="1307" t="s">
        <v>843</v>
      </c>
      <c r="G419" s="1307" t="s">
        <v>1754</v>
      </c>
      <c r="H419" s="980"/>
      <c r="I419" s="980"/>
      <c r="J419" s="980"/>
      <c r="K419" s="980"/>
      <c r="L419" s="980"/>
      <c r="M419" s="980">
        <f>699265+188801</f>
        <v>888066</v>
      </c>
      <c r="N419" s="980"/>
      <c r="O419" s="980"/>
      <c r="P419" s="981"/>
      <c r="Q419" s="1318"/>
      <c r="R419" s="980"/>
      <c r="S419" s="980"/>
      <c r="T419" s="980"/>
      <c r="U419" s="980"/>
      <c r="V419" s="980"/>
      <c r="W419" s="980"/>
      <c r="X419" s="981"/>
    </row>
    <row r="420" spans="1:24" ht="23.25" customHeight="1" x14ac:dyDescent="0.25">
      <c r="A420" s="2018" t="s">
        <v>2107</v>
      </c>
      <c r="B420" s="2020" t="s">
        <v>2374</v>
      </c>
      <c r="C420" s="1996" t="s">
        <v>2375</v>
      </c>
      <c r="D420" s="953" t="s">
        <v>201</v>
      </c>
      <c r="E420" s="1307" t="s">
        <v>73</v>
      </c>
      <c r="F420" s="1307" t="s">
        <v>1785</v>
      </c>
      <c r="G420" s="1307" t="s">
        <v>1752</v>
      </c>
      <c r="H420" s="980"/>
      <c r="I420" s="980"/>
      <c r="J420" s="980"/>
      <c r="K420" s="980"/>
      <c r="L420" s="980">
        <v>-700000</v>
      </c>
      <c r="M420" s="980"/>
      <c r="N420" s="980"/>
      <c r="O420" s="980"/>
      <c r="P420" s="981"/>
      <c r="Q420" s="1318"/>
      <c r="R420" s="980"/>
      <c r="S420" s="980"/>
      <c r="T420" s="980"/>
      <c r="U420" s="980"/>
      <c r="V420" s="980"/>
      <c r="W420" s="980"/>
      <c r="X420" s="981"/>
    </row>
    <row r="421" spans="1:24" ht="23.25" customHeight="1" x14ac:dyDescent="0.25">
      <c r="A421" s="2018"/>
      <c r="B421" s="2020"/>
      <c r="C421" s="1996"/>
      <c r="D421" s="953" t="s">
        <v>197</v>
      </c>
      <c r="E421" s="1307" t="s">
        <v>130</v>
      </c>
      <c r="F421" s="1307" t="s">
        <v>65</v>
      </c>
      <c r="G421" s="1307" t="s">
        <v>1754</v>
      </c>
      <c r="H421" s="980"/>
      <c r="I421" s="980"/>
      <c r="J421" s="980"/>
      <c r="K421" s="980"/>
      <c r="L421" s="980"/>
      <c r="M421" s="980"/>
      <c r="N421" s="980"/>
      <c r="O421" s="980">
        <v>700000</v>
      </c>
      <c r="P421" s="981"/>
      <c r="Q421" s="1318"/>
      <c r="R421" s="980"/>
      <c r="S421" s="980"/>
      <c r="T421" s="980"/>
      <c r="U421" s="980"/>
      <c r="V421" s="980"/>
      <c r="W421" s="980"/>
      <c r="X421" s="981"/>
    </row>
    <row r="422" spans="1:24" ht="23.25" customHeight="1" x14ac:dyDescent="0.25">
      <c r="A422" s="1488"/>
      <c r="B422" s="1489"/>
      <c r="C422" s="1482" t="s">
        <v>2381</v>
      </c>
      <c r="D422" s="953" t="s">
        <v>203</v>
      </c>
      <c r="E422" s="1307" t="s">
        <v>1297</v>
      </c>
      <c r="F422" s="1307" t="s">
        <v>550</v>
      </c>
      <c r="G422" s="1307" t="s">
        <v>1766</v>
      </c>
      <c r="H422" s="980"/>
      <c r="I422" s="980"/>
      <c r="J422" s="980"/>
      <c r="K422" s="980"/>
      <c r="L422" s="980"/>
      <c r="M422" s="980"/>
      <c r="N422" s="980"/>
      <c r="O422" s="980"/>
      <c r="P422" s="981">
        <f>-50000+50000</f>
        <v>0</v>
      </c>
      <c r="Q422" s="1318"/>
      <c r="R422" s="980"/>
      <c r="S422" s="980"/>
      <c r="T422" s="980"/>
      <c r="U422" s="980"/>
      <c r="V422" s="980"/>
      <c r="W422" s="980"/>
      <c r="X422" s="981"/>
    </row>
    <row r="423" spans="1:24" ht="25.5" customHeight="1" x14ac:dyDescent="0.25">
      <c r="A423" s="1989" t="s">
        <v>2109</v>
      </c>
      <c r="B423" s="1987" t="s">
        <v>2389</v>
      </c>
      <c r="C423" s="1985" t="s">
        <v>2390</v>
      </c>
      <c r="D423" s="1377" t="s">
        <v>194</v>
      </c>
      <c r="E423" s="1378" t="s">
        <v>844</v>
      </c>
      <c r="F423" s="1378" t="s">
        <v>843</v>
      </c>
      <c r="G423" s="1378" t="s">
        <v>1752</v>
      </c>
      <c r="H423" s="1374"/>
      <c r="I423" s="1374"/>
      <c r="J423" s="1374">
        <f>-308527-83303</f>
        <v>-391830</v>
      </c>
      <c r="K423" s="1374"/>
      <c r="L423" s="1374"/>
      <c r="M423" s="1374"/>
      <c r="N423" s="1374"/>
      <c r="O423" s="1374"/>
      <c r="P423" s="1375"/>
      <c r="Q423" s="1376"/>
      <c r="R423" s="1374"/>
      <c r="S423" s="1374"/>
      <c r="T423" s="1374"/>
      <c r="U423" s="1374"/>
      <c r="V423" s="1374"/>
      <c r="W423" s="1374"/>
      <c r="X423" s="1375"/>
    </row>
    <row r="424" spans="1:24" ht="25.5" customHeight="1" x14ac:dyDescent="0.25">
      <c r="A424" s="1990"/>
      <c r="B424" s="1988"/>
      <c r="C424" s="1986"/>
      <c r="D424" s="1377" t="s">
        <v>199</v>
      </c>
      <c r="E424" s="1378" t="s">
        <v>844</v>
      </c>
      <c r="F424" s="1378" t="s">
        <v>843</v>
      </c>
      <c r="G424" s="1378" t="s">
        <v>1754</v>
      </c>
      <c r="H424" s="1374"/>
      <c r="I424" s="1374"/>
      <c r="J424" s="1374"/>
      <c r="K424" s="1374"/>
      <c r="L424" s="1374"/>
      <c r="M424" s="1374">
        <f>263792+71224+44735+12079</f>
        <v>391830</v>
      </c>
      <c r="N424" s="1374"/>
      <c r="O424" s="1374"/>
      <c r="P424" s="1375"/>
      <c r="Q424" s="1376"/>
      <c r="R424" s="1374"/>
      <c r="S424" s="1374"/>
      <c r="T424" s="1374"/>
      <c r="U424" s="1374"/>
      <c r="V424" s="1374"/>
      <c r="W424" s="1374"/>
      <c r="X424" s="1375"/>
    </row>
    <row r="425" spans="1:24" ht="23.25" customHeight="1" x14ac:dyDescent="0.25">
      <c r="A425" s="1989" t="s">
        <v>2111</v>
      </c>
      <c r="B425" s="1987" t="s">
        <v>2391</v>
      </c>
      <c r="C425" s="1985" t="s">
        <v>2392</v>
      </c>
      <c r="D425" s="1377" t="s">
        <v>194</v>
      </c>
      <c r="E425" s="1378" t="s">
        <v>844</v>
      </c>
      <c r="F425" s="1378" t="s">
        <v>843</v>
      </c>
      <c r="G425" s="1378" t="s">
        <v>1752</v>
      </c>
      <c r="H425" s="1374"/>
      <c r="I425" s="1374"/>
      <c r="J425" s="1374">
        <f>-12992-3508</f>
        <v>-16500</v>
      </c>
      <c r="K425" s="1374"/>
      <c r="L425" s="1374"/>
      <c r="M425" s="1374"/>
      <c r="N425" s="1374"/>
      <c r="O425" s="1374"/>
      <c r="P425" s="1375"/>
      <c r="Q425" s="1376"/>
      <c r="R425" s="1374"/>
      <c r="S425" s="1374"/>
      <c r="T425" s="1374"/>
      <c r="U425" s="1374"/>
      <c r="V425" s="1374"/>
      <c r="W425" s="1374"/>
      <c r="X425" s="1375"/>
    </row>
    <row r="426" spans="1:24" ht="23.25" customHeight="1" x14ac:dyDescent="0.25">
      <c r="A426" s="1990"/>
      <c r="B426" s="1988"/>
      <c r="C426" s="1986"/>
      <c r="D426" s="1377" t="s">
        <v>199</v>
      </c>
      <c r="E426" s="1378" t="s">
        <v>844</v>
      </c>
      <c r="F426" s="1378" t="s">
        <v>843</v>
      </c>
      <c r="G426" s="1378" t="s">
        <v>1754</v>
      </c>
      <c r="H426" s="1374"/>
      <c r="I426" s="1374"/>
      <c r="J426" s="1374"/>
      <c r="K426" s="1374"/>
      <c r="L426" s="1374"/>
      <c r="M426" s="1374">
        <f>12992+3508</f>
        <v>16500</v>
      </c>
      <c r="N426" s="1374"/>
      <c r="O426" s="1374"/>
      <c r="P426" s="1375"/>
      <c r="Q426" s="1376"/>
      <c r="R426" s="1374"/>
      <c r="S426" s="1374"/>
      <c r="T426" s="1374"/>
      <c r="U426" s="1374"/>
      <c r="V426" s="1374"/>
      <c r="W426" s="1374"/>
      <c r="X426" s="1375"/>
    </row>
    <row r="427" spans="1:24" ht="24.75" customHeight="1" x14ac:dyDescent="0.25">
      <c r="A427" s="1989" t="s">
        <v>2119</v>
      </c>
      <c r="B427" s="1987" t="s">
        <v>2393</v>
      </c>
      <c r="C427" s="1985" t="s">
        <v>2394</v>
      </c>
      <c r="D427" s="1377" t="s">
        <v>201</v>
      </c>
      <c r="E427" s="1378" t="s">
        <v>73</v>
      </c>
      <c r="F427" s="1378" t="s">
        <v>1785</v>
      </c>
      <c r="G427" s="1378" t="s">
        <v>1752</v>
      </c>
      <c r="H427" s="1374"/>
      <c r="I427" s="1374"/>
      <c r="J427" s="1374"/>
      <c r="K427" s="1374"/>
      <c r="L427" s="1374">
        <v>-240000</v>
      </c>
      <c r="M427" s="1374"/>
      <c r="N427" s="1374"/>
      <c r="O427" s="1374"/>
      <c r="P427" s="1375"/>
      <c r="Q427" s="1376"/>
      <c r="R427" s="1374"/>
      <c r="S427" s="1374"/>
      <c r="T427" s="1374"/>
      <c r="U427" s="1374"/>
      <c r="V427" s="1374"/>
      <c r="W427" s="1374"/>
      <c r="X427" s="1375"/>
    </row>
    <row r="428" spans="1:24" ht="24.75" customHeight="1" x14ac:dyDescent="0.25">
      <c r="A428" s="1990"/>
      <c r="B428" s="1988"/>
      <c r="C428" s="1986"/>
      <c r="D428" s="1377" t="s">
        <v>198</v>
      </c>
      <c r="E428" s="1378" t="s">
        <v>620</v>
      </c>
      <c r="F428" s="1378" t="s">
        <v>1830</v>
      </c>
      <c r="G428" s="1378" t="s">
        <v>1754</v>
      </c>
      <c r="H428" s="1374"/>
      <c r="I428" s="1374"/>
      <c r="J428" s="1374"/>
      <c r="K428" s="1374"/>
      <c r="L428" s="1374">
        <v>240000</v>
      </c>
      <c r="M428" s="1374"/>
      <c r="N428" s="1374"/>
      <c r="O428" s="1374"/>
      <c r="P428" s="1375"/>
      <c r="Q428" s="1376"/>
      <c r="R428" s="1374"/>
      <c r="S428" s="1374"/>
      <c r="T428" s="1374"/>
      <c r="U428" s="1374"/>
      <c r="V428" s="1374"/>
      <c r="W428" s="1374"/>
      <c r="X428" s="1375"/>
    </row>
    <row r="429" spans="1:24" ht="24" customHeight="1" x14ac:dyDescent="0.25">
      <c r="A429" s="1989" t="s">
        <v>2128</v>
      </c>
      <c r="B429" s="1987" t="s">
        <v>2396</v>
      </c>
      <c r="C429" s="1985" t="s">
        <v>2397</v>
      </c>
      <c r="D429" s="1377" t="s">
        <v>201</v>
      </c>
      <c r="E429" s="1378" t="s">
        <v>73</v>
      </c>
      <c r="F429" s="1378" t="s">
        <v>1785</v>
      </c>
      <c r="G429" s="1378" t="s">
        <v>1752</v>
      </c>
      <c r="H429" s="1374"/>
      <c r="I429" s="1374"/>
      <c r="J429" s="1374"/>
      <c r="K429" s="1374"/>
      <c r="L429" s="1374">
        <v>-29159659</v>
      </c>
      <c r="M429" s="1374"/>
      <c r="N429" s="1374"/>
      <c r="O429" s="1374"/>
      <c r="P429" s="1375"/>
      <c r="Q429" s="1376"/>
      <c r="R429" s="1374"/>
      <c r="S429" s="1374"/>
      <c r="T429" s="1374"/>
      <c r="U429" s="1374"/>
      <c r="V429" s="1374"/>
      <c r="W429" s="1374"/>
      <c r="X429" s="1375"/>
    </row>
    <row r="430" spans="1:24" ht="24" customHeight="1" x14ac:dyDescent="0.25">
      <c r="A430" s="1990"/>
      <c r="B430" s="1988"/>
      <c r="C430" s="1986"/>
      <c r="D430" s="1377" t="s">
        <v>203</v>
      </c>
      <c r="E430" s="1378" t="s">
        <v>1297</v>
      </c>
      <c r="F430" s="1378" t="s">
        <v>550</v>
      </c>
      <c r="G430" s="1378" t="s">
        <v>1754</v>
      </c>
      <c r="H430" s="1374"/>
      <c r="I430" s="1374"/>
      <c r="J430" s="1374"/>
      <c r="K430" s="1374"/>
      <c r="L430" s="1374"/>
      <c r="M430" s="1374"/>
      <c r="N430" s="1374"/>
      <c r="O430" s="1374"/>
      <c r="P430" s="1375">
        <v>29159659</v>
      </c>
      <c r="Q430" s="1376"/>
      <c r="R430" s="1374"/>
      <c r="S430" s="1374"/>
      <c r="T430" s="1374"/>
      <c r="U430" s="1374"/>
      <c r="V430" s="1374"/>
      <c r="W430" s="1374"/>
      <c r="X430" s="1375"/>
    </row>
    <row r="431" spans="1:24" ht="23.25" customHeight="1" x14ac:dyDescent="0.25">
      <c r="A431" s="1989" t="s">
        <v>2130</v>
      </c>
      <c r="B431" s="1987" t="s">
        <v>2398</v>
      </c>
      <c r="C431" s="1996" t="s">
        <v>2399</v>
      </c>
      <c r="D431" s="1377" t="s">
        <v>201</v>
      </c>
      <c r="E431" s="1378" t="s">
        <v>73</v>
      </c>
      <c r="F431" s="1378" t="s">
        <v>1785</v>
      </c>
      <c r="G431" s="1378" t="s">
        <v>1752</v>
      </c>
      <c r="H431" s="1374"/>
      <c r="I431" s="1374"/>
      <c r="J431" s="1374"/>
      <c r="K431" s="1374"/>
      <c r="L431" s="1374">
        <v>-80000</v>
      </c>
      <c r="M431" s="1374"/>
      <c r="N431" s="1374"/>
      <c r="O431" s="1374"/>
      <c r="P431" s="1375"/>
      <c r="Q431" s="1376"/>
      <c r="R431" s="1374"/>
      <c r="S431" s="1374"/>
      <c r="T431" s="1374"/>
      <c r="U431" s="1374"/>
      <c r="V431" s="1374"/>
      <c r="W431" s="1374"/>
      <c r="X431" s="1375"/>
    </row>
    <row r="432" spans="1:24" ht="23.25" customHeight="1" x14ac:dyDescent="0.25">
      <c r="A432" s="1990"/>
      <c r="B432" s="1988"/>
      <c r="C432" s="1996"/>
      <c r="D432" s="1377" t="s">
        <v>199</v>
      </c>
      <c r="E432" s="1378" t="s">
        <v>844</v>
      </c>
      <c r="F432" s="1378" t="s">
        <v>2400</v>
      </c>
      <c r="G432" s="1378" t="s">
        <v>1754</v>
      </c>
      <c r="H432" s="1374"/>
      <c r="I432" s="1374"/>
      <c r="J432" s="1374"/>
      <c r="K432" s="1374"/>
      <c r="L432" s="1374"/>
      <c r="M432" s="1374">
        <v>80000</v>
      </c>
      <c r="N432" s="1374"/>
      <c r="O432" s="1374"/>
      <c r="P432" s="1375"/>
      <c r="Q432" s="1376"/>
      <c r="R432" s="1374"/>
      <c r="S432" s="1374"/>
      <c r="T432" s="1374"/>
      <c r="U432" s="1374"/>
      <c r="V432" s="1374"/>
      <c r="W432" s="1374"/>
      <c r="X432" s="1375"/>
    </row>
    <row r="433" spans="1:24" ht="32.25" customHeight="1" x14ac:dyDescent="0.25">
      <c r="A433" s="1989" t="s">
        <v>2131</v>
      </c>
      <c r="B433" s="1987" t="s">
        <v>2404</v>
      </c>
      <c r="C433" s="1996" t="s">
        <v>2406</v>
      </c>
      <c r="D433" s="1377" t="s">
        <v>201</v>
      </c>
      <c r="E433" s="1378" t="s">
        <v>73</v>
      </c>
      <c r="F433" s="1378" t="s">
        <v>1785</v>
      </c>
      <c r="G433" s="1378" t="s">
        <v>1752</v>
      </c>
      <c r="H433" s="1374"/>
      <c r="I433" s="1374"/>
      <c r="J433" s="1374"/>
      <c r="K433" s="1374"/>
      <c r="L433" s="1374">
        <v>-80000</v>
      </c>
      <c r="M433" s="1374"/>
      <c r="N433" s="1374"/>
      <c r="O433" s="1374"/>
      <c r="P433" s="1375"/>
      <c r="Q433" s="1376"/>
      <c r="R433" s="1374"/>
      <c r="S433" s="1374"/>
      <c r="T433" s="1374"/>
      <c r="U433" s="1374"/>
      <c r="V433" s="1374"/>
      <c r="W433" s="1374"/>
      <c r="X433" s="1375"/>
    </row>
    <row r="434" spans="1:24" ht="32.25" customHeight="1" x14ac:dyDescent="0.25">
      <c r="A434" s="1990"/>
      <c r="B434" s="1988"/>
      <c r="C434" s="1996"/>
      <c r="D434" s="1377" t="s">
        <v>199</v>
      </c>
      <c r="E434" s="1378" t="s">
        <v>575</v>
      </c>
      <c r="F434" s="1378" t="s">
        <v>739</v>
      </c>
      <c r="G434" s="1378" t="s">
        <v>1754</v>
      </c>
      <c r="H434" s="1374"/>
      <c r="I434" s="1374"/>
      <c r="J434" s="1374"/>
      <c r="K434" s="1374"/>
      <c r="L434" s="1374"/>
      <c r="M434" s="1374"/>
      <c r="N434" s="1374">
        <v>80000</v>
      </c>
      <c r="O434" s="1374"/>
      <c r="P434" s="1375"/>
      <c r="Q434" s="1376"/>
      <c r="R434" s="1374"/>
      <c r="S434" s="1374"/>
      <c r="T434" s="1374"/>
      <c r="U434" s="1374"/>
      <c r="V434" s="1374"/>
      <c r="W434" s="1374"/>
      <c r="X434" s="1375"/>
    </row>
    <row r="435" spans="1:24" ht="23.25" customHeight="1" x14ac:dyDescent="0.25">
      <c r="A435" s="1989" t="s">
        <v>2132</v>
      </c>
      <c r="B435" s="1987" t="s">
        <v>2407</v>
      </c>
      <c r="C435" s="1985" t="s">
        <v>2408</v>
      </c>
      <c r="D435" s="1377" t="s">
        <v>199</v>
      </c>
      <c r="E435" s="1378" t="s">
        <v>601</v>
      </c>
      <c r="F435" s="1378" t="s">
        <v>127</v>
      </c>
      <c r="G435" s="1378" t="s">
        <v>1752</v>
      </c>
      <c r="H435" s="1374"/>
      <c r="I435" s="1374"/>
      <c r="J435" s="1374"/>
      <c r="K435" s="1374"/>
      <c r="L435" s="1374"/>
      <c r="M435" s="1374">
        <f>-1950000-526500</f>
        <v>-2476500</v>
      </c>
      <c r="N435" s="1374"/>
      <c r="O435" s="1374"/>
      <c r="P435" s="1375"/>
      <c r="Q435" s="1376"/>
      <c r="R435" s="1374"/>
      <c r="S435" s="1374"/>
      <c r="T435" s="1374"/>
      <c r="U435" s="1374"/>
      <c r="V435" s="1374"/>
      <c r="W435" s="1374"/>
      <c r="X435" s="1375"/>
    </row>
    <row r="436" spans="1:24" ht="23.25" customHeight="1" x14ac:dyDescent="0.25">
      <c r="A436" s="1990"/>
      <c r="B436" s="1988"/>
      <c r="C436" s="1986"/>
      <c r="D436" s="1377" t="s">
        <v>199</v>
      </c>
      <c r="E436" s="1378" t="s">
        <v>601</v>
      </c>
      <c r="F436" s="1378" t="s">
        <v>127</v>
      </c>
      <c r="G436" s="1378" t="s">
        <v>1754</v>
      </c>
      <c r="H436" s="1374"/>
      <c r="I436" s="1374"/>
      <c r="J436" s="1374"/>
      <c r="K436" s="1374"/>
      <c r="L436" s="1374"/>
      <c r="M436" s="1374">
        <f>1950000+526500</f>
        <v>2476500</v>
      </c>
      <c r="N436" s="1374"/>
      <c r="O436" s="1374"/>
      <c r="P436" s="1375"/>
      <c r="Q436" s="1376"/>
      <c r="R436" s="1374"/>
      <c r="S436" s="1374"/>
      <c r="T436" s="1374"/>
      <c r="U436" s="1374"/>
      <c r="V436" s="1374"/>
      <c r="W436" s="1374"/>
      <c r="X436" s="1375"/>
    </row>
    <row r="437" spans="1:24" ht="15" customHeight="1" x14ac:dyDescent="0.25">
      <c r="A437" s="1989" t="s">
        <v>2134</v>
      </c>
      <c r="B437" s="1987" t="s">
        <v>2410</v>
      </c>
      <c r="C437" s="1985" t="s">
        <v>2411</v>
      </c>
      <c r="D437" s="1377" t="s">
        <v>194</v>
      </c>
      <c r="E437" s="1378" t="s">
        <v>73</v>
      </c>
      <c r="F437" s="1378" t="s">
        <v>453</v>
      </c>
      <c r="G437" s="1378" t="s">
        <v>1766</v>
      </c>
      <c r="H437" s="1374">
        <f>-777283+777283</f>
        <v>0</v>
      </c>
      <c r="I437" s="1374"/>
      <c r="J437" s="1374"/>
      <c r="K437" s="1374"/>
      <c r="L437" s="1374"/>
      <c r="M437" s="1374"/>
      <c r="N437" s="1374"/>
      <c r="O437" s="1374"/>
      <c r="P437" s="1375"/>
      <c r="Q437" s="1376"/>
      <c r="R437" s="1374"/>
      <c r="S437" s="1374"/>
      <c r="T437" s="1374"/>
      <c r="U437" s="1374"/>
      <c r="V437" s="1374"/>
      <c r="W437" s="1374"/>
      <c r="X437" s="1375"/>
    </row>
    <row r="438" spans="1:24" ht="15" customHeight="1" x14ac:dyDescent="0.25">
      <c r="A438" s="1995"/>
      <c r="B438" s="2007"/>
      <c r="C438" s="1993"/>
      <c r="D438" s="1377" t="s">
        <v>194</v>
      </c>
      <c r="E438" s="1378" t="s">
        <v>73</v>
      </c>
      <c r="F438" s="1378" t="s">
        <v>553</v>
      </c>
      <c r="G438" s="1378" t="s">
        <v>1766</v>
      </c>
      <c r="H438" s="1374">
        <f>-311884+211884+100000</f>
        <v>0</v>
      </c>
      <c r="I438" s="1374">
        <v>-42633</v>
      </c>
      <c r="J438" s="1374"/>
      <c r="K438" s="1374"/>
      <c r="L438" s="1374"/>
      <c r="M438" s="1374"/>
      <c r="N438" s="1374"/>
      <c r="O438" s="1374"/>
      <c r="P438" s="1375"/>
      <c r="Q438" s="1376"/>
      <c r="R438" s="1374"/>
      <c r="S438" s="1374"/>
      <c r="T438" s="1374"/>
      <c r="U438" s="1374"/>
      <c r="V438" s="1374"/>
      <c r="W438" s="1374"/>
      <c r="X438" s="1375"/>
    </row>
    <row r="439" spans="1:24" ht="15" customHeight="1" x14ac:dyDescent="0.25">
      <c r="A439" s="1995"/>
      <c r="B439" s="2007"/>
      <c r="C439" s="1993"/>
      <c r="D439" s="1377" t="s">
        <v>194</v>
      </c>
      <c r="E439" s="1378" t="s">
        <v>609</v>
      </c>
      <c r="F439" s="1378" t="s">
        <v>455</v>
      </c>
      <c r="G439" s="1378" t="s">
        <v>1766</v>
      </c>
      <c r="H439" s="1374">
        <f>-125600+15600+110000</f>
        <v>0</v>
      </c>
      <c r="I439" s="1374"/>
      <c r="J439" s="1374"/>
      <c r="K439" s="1374"/>
      <c r="L439" s="1374"/>
      <c r="M439" s="1374"/>
      <c r="N439" s="1374"/>
      <c r="O439" s="1374"/>
      <c r="P439" s="1375"/>
      <c r="Q439" s="1376"/>
      <c r="R439" s="1374"/>
      <c r="S439" s="1374"/>
      <c r="T439" s="1374"/>
      <c r="U439" s="1374"/>
      <c r="V439" s="1374"/>
      <c r="W439" s="1374"/>
      <c r="X439" s="1375"/>
    </row>
    <row r="440" spans="1:24" ht="15" customHeight="1" x14ac:dyDescent="0.25">
      <c r="A440" s="1995"/>
      <c r="B440" s="2007"/>
      <c r="C440" s="1993"/>
      <c r="D440" s="1377" t="s">
        <v>194</v>
      </c>
      <c r="E440" s="1378" t="s">
        <v>130</v>
      </c>
      <c r="F440" s="1378" t="s">
        <v>457</v>
      </c>
      <c r="G440" s="1378" t="s">
        <v>1766</v>
      </c>
      <c r="H440" s="1374">
        <f>-67586+67586</f>
        <v>0</v>
      </c>
      <c r="I440" s="1374"/>
      <c r="J440" s="1374"/>
      <c r="K440" s="1374"/>
      <c r="L440" s="1374"/>
      <c r="M440" s="1374"/>
      <c r="N440" s="1374"/>
      <c r="O440" s="1374"/>
      <c r="P440" s="1375"/>
      <c r="Q440" s="1376"/>
      <c r="R440" s="1374"/>
      <c r="S440" s="1374"/>
      <c r="T440" s="1374"/>
      <c r="U440" s="1374"/>
      <c r="V440" s="1374"/>
      <c r="W440" s="1374"/>
      <c r="X440" s="1375"/>
    </row>
    <row r="441" spans="1:24" ht="15" customHeight="1" x14ac:dyDescent="0.25">
      <c r="A441" s="1995"/>
      <c r="B441" s="2007"/>
      <c r="C441" s="1993"/>
      <c r="D441" s="1377" t="s">
        <v>194</v>
      </c>
      <c r="E441" s="1378" t="s">
        <v>557</v>
      </c>
      <c r="F441" s="1378" t="s">
        <v>462</v>
      </c>
      <c r="G441" s="1378" t="s">
        <v>1766</v>
      </c>
      <c r="H441" s="1374">
        <f>-147000+117000+30000</f>
        <v>0</v>
      </c>
      <c r="I441" s="1374"/>
      <c r="J441" s="1374"/>
      <c r="K441" s="1374"/>
      <c r="L441" s="1374"/>
      <c r="M441" s="1374"/>
      <c r="N441" s="1374"/>
      <c r="O441" s="1374"/>
      <c r="P441" s="1375"/>
      <c r="Q441" s="1376"/>
      <c r="R441" s="1374"/>
      <c r="S441" s="1374"/>
      <c r="T441" s="1374"/>
      <c r="U441" s="1374"/>
      <c r="V441" s="1374"/>
      <c r="W441" s="1374"/>
      <c r="X441" s="1375"/>
    </row>
    <row r="442" spans="1:24" ht="15" customHeight="1" x14ac:dyDescent="0.25">
      <c r="A442" s="1995"/>
      <c r="B442" s="2007"/>
      <c r="C442" s="1993"/>
      <c r="D442" s="1377" t="s">
        <v>194</v>
      </c>
      <c r="E442" s="1378" t="s">
        <v>1940</v>
      </c>
      <c r="F442" s="1378" t="s">
        <v>1939</v>
      </c>
      <c r="G442" s="1378" t="s">
        <v>1766</v>
      </c>
      <c r="H442" s="1374"/>
      <c r="I442" s="1374">
        <v>42633</v>
      </c>
      <c r="J442" s="1374">
        <f>-3923+3923</f>
        <v>0</v>
      </c>
      <c r="K442" s="1374"/>
      <c r="L442" s="1374"/>
      <c r="M442" s="1374"/>
      <c r="N442" s="1374"/>
      <c r="O442" s="1374"/>
      <c r="P442" s="1375"/>
      <c r="Q442" s="1376"/>
      <c r="R442" s="1374"/>
      <c r="S442" s="1374"/>
      <c r="T442" s="1374"/>
      <c r="U442" s="1374"/>
      <c r="V442" s="1374"/>
      <c r="W442" s="1374"/>
      <c r="X442" s="1375"/>
    </row>
    <row r="443" spans="1:24" ht="14.25" customHeight="1" x14ac:dyDescent="0.25">
      <c r="A443" s="1990"/>
      <c r="B443" s="1988"/>
      <c r="C443" s="1986"/>
      <c r="D443" s="1377" t="s">
        <v>194</v>
      </c>
      <c r="E443" s="1378" t="s">
        <v>62</v>
      </c>
      <c r="F443" s="1378" t="s">
        <v>541</v>
      </c>
      <c r="G443" s="1378" t="s">
        <v>1766</v>
      </c>
      <c r="H443" s="1374">
        <f>-143050+143050</f>
        <v>0</v>
      </c>
      <c r="I443" s="1374"/>
      <c r="J443" s="1374"/>
      <c r="K443" s="1374"/>
      <c r="L443" s="1374"/>
      <c r="M443" s="1374"/>
      <c r="N443" s="1374"/>
      <c r="O443" s="1374"/>
      <c r="P443" s="1375"/>
      <c r="Q443" s="1376"/>
      <c r="R443" s="1374"/>
      <c r="S443" s="1374"/>
      <c r="T443" s="1374"/>
      <c r="U443" s="1374"/>
      <c r="V443" s="1374"/>
      <c r="W443" s="1374"/>
      <c r="X443" s="1375"/>
    </row>
    <row r="444" spans="1:24" ht="39.75" customHeight="1" x14ac:dyDescent="0.25">
      <c r="A444" s="1989" t="s">
        <v>2136</v>
      </c>
      <c r="B444" s="1987" t="s">
        <v>2412</v>
      </c>
      <c r="C444" s="1985" t="s">
        <v>2413</v>
      </c>
      <c r="D444" s="1377" t="s">
        <v>201</v>
      </c>
      <c r="E444" s="1378" t="s">
        <v>73</v>
      </c>
      <c r="F444" s="1378" t="s">
        <v>1785</v>
      </c>
      <c r="G444" s="1378" t="s">
        <v>1752</v>
      </c>
      <c r="H444" s="1374"/>
      <c r="I444" s="1374"/>
      <c r="J444" s="1374"/>
      <c r="K444" s="1374"/>
      <c r="L444" s="1374">
        <v>-100000</v>
      </c>
      <c r="M444" s="1374"/>
      <c r="N444" s="1374"/>
      <c r="O444" s="1374"/>
      <c r="P444" s="1375"/>
      <c r="Q444" s="1376"/>
      <c r="R444" s="1374"/>
      <c r="S444" s="1374"/>
      <c r="T444" s="1374"/>
      <c r="U444" s="1374"/>
      <c r="V444" s="1374"/>
      <c r="W444" s="1374"/>
      <c r="X444" s="1375"/>
    </row>
    <row r="445" spans="1:24" ht="39.75" customHeight="1" x14ac:dyDescent="0.25">
      <c r="A445" s="1990"/>
      <c r="B445" s="1988"/>
      <c r="C445" s="1986"/>
      <c r="D445" s="1377" t="s">
        <v>198</v>
      </c>
      <c r="E445" s="1378" t="s">
        <v>620</v>
      </c>
      <c r="F445" s="1378" t="s">
        <v>1830</v>
      </c>
      <c r="G445" s="1378" t="s">
        <v>1754</v>
      </c>
      <c r="H445" s="1374"/>
      <c r="I445" s="1374"/>
      <c r="J445" s="1374"/>
      <c r="K445" s="1374"/>
      <c r="L445" s="1374">
        <v>100000</v>
      </c>
      <c r="M445" s="1374"/>
      <c r="N445" s="1374"/>
      <c r="O445" s="1374"/>
      <c r="P445" s="1375"/>
      <c r="Q445" s="1376"/>
      <c r="R445" s="1374"/>
      <c r="S445" s="1374"/>
      <c r="T445" s="1374"/>
      <c r="U445" s="1374"/>
      <c r="V445" s="1374"/>
      <c r="W445" s="1374"/>
      <c r="X445" s="1375"/>
    </row>
    <row r="446" spans="1:24" ht="51.75" customHeight="1" x14ac:dyDescent="0.25">
      <c r="A446" s="1488" t="s">
        <v>2138</v>
      </c>
      <c r="B446" s="1489" t="s">
        <v>2414</v>
      </c>
      <c r="C446" s="1482" t="s">
        <v>2415</v>
      </c>
      <c r="D446" s="1377" t="s">
        <v>199</v>
      </c>
      <c r="E446" s="1378" t="s">
        <v>601</v>
      </c>
      <c r="F446" s="1378" t="s">
        <v>127</v>
      </c>
      <c r="G446" s="1378" t="s">
        <v>1766</v>
      </c>
      <c r="H446" s="1374"/>
      <c r="I446" s="1374"/>
      <c r="J446" s="1374"/>
      <c r="K446" s="1374"/>
      <c r="L446" s="1374"/>
      <c r="M446" s="1374">
        <f>-874+874</f>
        <v>0</v>
      </c>
      <c r="N446" s="1374"/>
      <c r="O446" s="1374"/>
      <c r="P446" s="1375"/>
      <c r="Q446" s="1376"/>
      <c r="R446" s="1374"/>
      <c r="S446" s="1374"/>
      <c r="T446" s="1374"/>
      <c r="U446" s="1374"/>
      <c r="V446" s="1374"/>
      <c r="W446" s="1374"/>
      <c r="X446" s="1375"/>
    </row>
    <row r="447" spans="1:24" ht="36" customHeight="1" x14ac:dyDescent="0.25">
      <c r="A447" s="1488" t="s">
        <v>2140</v>
      </c>
      <c r="B447" s="1489" t="s">
        <v>2416</v>
      </c>
      <c r="C447" s="1482" t="s">
        <v>2417</v>
      </c>
      <c r="D447" s="1377" t="s">
        <v>199</v>
      </c>
      <c r="E447" s="1378" t="s">
        <v>129</v>
      </c>
      <c r="F447" s="1378" t="s">
        <v>90</v>
      </c>
      <c r="G447" s="1378" t="s">
        <v>1766</v>
      </c>
      <c r="H447" s="1374"/>
      <c r="I447" s="1374"/>
      <c r="J447" s="1374"/>
      <c r="K447" s="1374"/>
      <c r="L447" s="1374"/>
      <c r="M447" s="1374">
        <f>-4980000-1344600+4980000+1344600</f>
        <v>0</v>
      </c>
      <c r="N447" s="1374"/>
      <c r="O447" s="1374"/>
      <c r="P447" s="1375"/>
      <c r="Q447" s="1376"/>
      <c r="R447" s="1374"/>
      <c r="S447" s="1374"/>
      <c r="T447" s="1374"/>
      <c r="U447" s="1374"/>
      <c r="V447" s="1374"/>
      <c r="W447" s="1374"/>
      <c r="X447" s="1375"/>
    </row>
    <row r="448" spans="1:24" ht="25.5" customHeight="1" x14ac:dyDescent="0.25">
      <c r="A448" s="1989" t="s">
        <v>2423</v>
      </c>
      <c r="B448" s="1987" t="s">
        <v>2424</v>
      </c>
      <c r="C448" s="1985" t="s">
        <v>2425</v>
      </c>
      <c r="D448" s="1377" t="s">
        <v>201</v>
      </c>
      <c r="E448" s="1378" t="s">
        <v>73</v>
      </c>
      <c r="F448" s="1378" t="s">
        <v>1785</v>
      </c>
      <c r="G448" s="1378" t="s">
        <v>1752</v>
      </c>
      <c r="H448" s="1374"/>
      <c r="I448" s="1374"/>
      <c r="J448" s="1374"/>
      <c r="K448" s="1374"/>
      <c r="L448" s="1374">
        <v>-3048000</v>
      </c>
      <c r="M448" s="1374"/>
      <c r="N448" s="1374"/>
      <c r="O448" s="1374"/>
      <c r="P448" s="1375"/>
      <c r="Q448" s="1376"/>
      <c r="R448" s="1374"/>
      <c r="S448" s="1374"/>
      <c r="T448" s="1374"/>
      <c r="U448" s="1374"/>
      <c r="V448" s="1374"/>
      <c r="W448" s="1374"/>
      <c r="X448" s="1375"/>
    </row>
    <row r="449" spans="1:24" ht="25.5" customHeight="1" x14ac:dyDescent="0.25">
      <c r="A449" s="1990"/>
      <c r="B449" s="1988"/>
      <c r="C449" s="1986"/>
      <c r="D449" s="1377" t="s">
        <v>200</v>
      </c>
      <c r="E449" s="1378" t="s">
        <v>129</v>
      </c>
      <c r="F449" s="1378" t="s">
        <v>128</v>
      </c>
      <c r="G449" s="1378" t="s">
        <v>1754</v>
      </c>
      <c r="H449" s="1374"/>
      <c r="I449" s="1374"/>
      <c r="J449" s="1374"/>
      <c r="K449" s="1374"/>
      <c r="L449" s="1374"/>
      <c r="M449" s="1374"/>
      <c r="N449" s="1374">
        <f>2400000+648000</f>
        <v>3048000</v>
      </c>
      <c r="O449" s="1374"/>
      <c r="P449" s="1375"/>
      <c r="Q449" s="1376"/>
      <c r="R449" s="1374"/>
      <c r="S449" s="1374"/>
      <c r="T449" s="1374"/>
      <c r="U449" s="1374"/>
      <c r="V449" s="1374"/>
      <c r="W449" s="1374"/>
      <c r="X449" s="1375"/>
    </row>
    <row r="450" spans="1:24" ht="22.5" customHeight="1" x14ac:dyDescent="0.25">
      <c r="A450" s="1989" t="s">
        <v>2160</v>
      </c>
      <c r="B450" s="1987" t="s">
        <v>2426</v>
      </c>
      <c r="C450" s="1985" t="s">
        <v>2095</v>
      </c>
      <c r="D450" s="1377" t="s">
        <v>194</v>
      </c>
      <c r="E450" s="1378" t="s">
        <v>641</v>
      </c>
      <c r="F450" s="1378" t="s">
        <v>66</v>
      </c>
      <c r="G450" s="1378" t="s">
        <v>1754</v>
      </c>
      <c r="H450" s="1374"/>
      <c r="I450" s="1374"/>
      <c r="J450" s="1374"/>
      <c r="K450" s="1374"/>
      <c r="L450" s="1374"/>
      <c r="M450" s="1374"/>
      <c r="N450" s="1374"/>
      <c r="O450" s="1374"/>
      <c r="P450" s="1375"/>
      <c r="Q450" s="1376"/>
      <c r="R450" s="1374"/>
      <c r="S450" s="1374"/>
      <c r="T450" s="1374">
        <f>78740+21260</f>
        <v>100000</v>
      </c>
      <c r="U450" s="1374"/>
      <c r="V450" s="1374"/>
      <c r="W450" s="1374"/>
      <c r="X450" s="1375"/>
    </row>
    <row r="451" spans="1:24" ht="22.5" customHeight="1" x14ac:dyDescent="0.25">
      <c r="A451" s="1990"/>
      <c r="B451" s="1988"/>
      <c r="C451" s="1986"/>
      <c r="D451" s="1377" t="s">
        <v>201</v>
      </c>
      <c r="E451" s="1378" t="s">
        <v>73</v>
      </c>
      <c r="F451" s="1378" t="s">
        <v>1785</v>
      </c>
      <c r="G451" s="1378" t="s">
        <v>1754</v>
      </c>
      <c r="H451" s="1374"/>
      <c r="I451" s="1374"/>
      <c r="J451" s="1374"/>
      <c r="K451" s="1374"/>
      <c r="L451" s="1374">
        <v>100000</v>
      </c>
      <c r="M451" s="1374"/>
      <c r="N451" s="1374"/>
      <c r="O451" s="1374"/>
      <c r="P451" s="1375"/>
      <c r="Q451" s="1376"/>
      <c r="R451" s="1374"/>
      <c r="S451" s="1374"/>
      <c r="T451" s="1374"/>
      <c r="U451" s="1374"/>
      <c r="V451" s="1374"/>
      <c r="W451" s="1374"/>
      <c r="X451" s="1375"/>
    </row>
    <row r="452" spans="1:24" ht="30" customHeight="1" x14ac:dyDescent="0.25">
      <c r="A452" s="1480" t="s">
        <v>2162</v>
      </c>
      <c r="B452" s="1478" t="s">
        <v>2427</v>
      </c>
      <c r="C452" s="1476" t="s">
        <v>2428</v>
      </c>
      <c r="D452" s="1377" t="s">
        <v>204</v>
      </c>
      <c r="E452" s="1378" t="s">
        <v>1753</v>
      </c>
      <c r="F452" s="1378" t="s">
        <v>1784</v>
      </c>
      <c r="G452" s="1378" t="s">
        <v>1754</v>
      </c>
      <c r="H452" s="1374"/>
      <c r="I452" s="1374"/>
      <c r="J452" s="1374"/>
      <c r="K452" s="1374"/>
      <c r="L452" s="1374"/>
      <c r="M452" s="1374"/>
      <c r="N452" s="1374"/>
      <c r="O452" s="1374"/>
      <c r="P452" s="1375">
        <v>41633326</v>
      </c>
      <c r="Q452" s="1376"/>
      <c r="R452" s="1374"/>
      <c r="S452" s="1374"/>
      <c r="T452" s="1374"/>
      <c r="U452" s="1374"/>
      <c r="V452" s="1374"/>
      <c r="W452" s="1374"/>
      <c r="X452" s="1375">
        <v>41633326</v>
      </c>
    </row>
    <row r="453" spans="1:24" ht="45.75" customHeight="1" x14ac:dyDescent="0.25">
      <c r="A453" s="1480" t="s">
        <v>2164</v>
      </c>
      <c r="B453" s="1478" t="s">
        <v>2429</v>
      </c>
      <c r="C453" s="1476" t="s">
        <v>2430</v>
      </c>
      <c r="D453" s="1377" t="s">
        <v>194</v>
      </c>
      <c r="E453" s="1378" t="s">
        <v>130</v>
      </c>
      <c r="F453" s="1378" t="s">
        <v>152</v>
      </c>
      <c r="G453" s="1378" t="s">
        <v>1766</v>
      </c>
      <c r="H453" s="1374"/>
      <c r="I453" s="1374"/>
      <c r="J453" s="1374">
        <f>-203923+203923</f>
        <v>0</v>
      </c>
      <c r="K453" s="1374"/>
      <c r="L453" s="1374"/>
      <c r="M453" s="1374"/>
      <c r="N453" s="1374"/>
      <c r="O453" s="1374"/>
      <c r="P453" s="1375"/>
      <c r="Q453" s="1376"/>
      <c r="R453" s="1374"/>
      <c r="S453" s="1374"/>
      <c r="T453" s="1374"/>
      <c r="U453" s="1374"/>
      <c r="V453" s="1374"/>
      <c r="W453" s="1374"/>
      <c r="X453" s="1375"/>
    </row>
    <row r="454" spans="1:24" ht="31.5" customHeight="1" x14ac:dyDescent="0.25">
      <c r="A454" s="1989" t="s">
        <v>2166</v>
      </c>
      <c r="B454" s="1987" t="s">
        <v>2434</v>
      </c>
      <c r="C454" s="1985" t="s">
        <v>2443</v>
      </c>
      <c r="D454" s="1377" t="s">
        <v>200</v>
      </c>
      <c r="E454" s="1378" t="s">
        <v>561</v>
      </c>
      <c r="F454" s="1378" t="s">
        <v>2271</v>
      </c>
      <c r="G454" s="1378" t="s">
        <v>1752</v>
      </c>
      <c r="H454" s="1374"/>
      <c r="I454" s="1374"/>
      <c r="J454" s="1374"/>
      <c r="K454" s="1374"/>
      <c r="L454" s="1374"/>
      <c r="M454" s="1374"/>
      <c r="N454" s="1374">
        <f>-376000-101520</f>
        <v>-477520</v>
      </c>
      <c r="O454" s="1374"/>
      <c r="P454" s="1375"/>
      <c r="Q454" s="1376"/>
      <c r="R454" s="1374"/>
      <c r="S454" s="1374"/>
      <c r="T454" s="1374"/>
      <c r="U454" s="1374"/>
      <c r="V454" s="1374"/>
      <c r="W454" s="1374"/>
      <c r="X454" s="1375"/>
    </row>
    <row r="455" spans="1:24" ht="31.5" customHeight="1" x14ac:dyDescent="0.25">
      <c r="A455" s="1990"/>
      <c r="B455" s="1988"/>
      <c r="C455" s="1986"/>
      <c r="D455" s="1377" t="s">
        <v>203</v>
      </c>
      <c r="E455" s="1378" t="s">
        <v>1297</v>
      </c>
      <c r="F455" s="1378" t="s">
        <v>550</v>
      </c>
      <c r="G455" s="1378" t="s">
        <v>1754</v>
      </c>
      <c r="H455" s="1374"/>
      <c r="I455" s="1374"/>
      <c r="J455" s="1374"/>
      <c r="K455" s="1374"/>
      <c r="L455" s="1374"/>
      <c r="M455" s="1374"/>
      <c r="N455" s="1374"/>
      <c r="O455" s="1374"/>
      <c r="P455" s="1375">
        <v>477520</v>
      </c>
      <c r="Q455" s="1376"/>
      <c r="R455" s="1374"/>
      <c r="S455" s="1374"/>
      <c r="T455" s="1374"/>
      <c r="U455" s="1374"/>
      <c r="V455" s="1374"/>
      <c r="W455" s="1374"/>
      <c r="X455" s="1375"/>
    </row>
    <row r="456" spans="1:24" ht="24.75" customHeight="1" x14ac:dyDescent="0.25">
      <c r="A456" s="1989" t="s">
        <v>2168</v>
      </c>
      <c r="B456" s="1987" t="s">
        <v>2435</v>
      </c>
      <c r="C456" s="1985" t="s">
        <v>2436</v>
      </c>
      <c r="D456" s="1377" t="s">
        <v>200</v>
      </c>
      <c r="E456" s="1378" t="s">
        <v>561</v>
      </c>
      <c r="F456" s="1378" t="s">
        <v>1448</v>
      </c>
      <c r="G456" s="1378" t="s">
        <v>1752</v>
      </c>
      <c r="H456" s="1374"/>
      <c r="I456" s="1374"/>
      <c r="J456" s="1374"/>
      <c r="K456" s="1374"/>
      <c r="L456" s="1374"/>
      <c r="M456" s="1374"/>
      <c r="N456" s="1374">
        <f>-92126-24874</f>
        <v>-117000</v>
      </c>
      <c r="O456" s="1374"/>
      <c r="P456" s="1375"/>
      <c r="Q456" s="1376"/>
      <c r="R456" s="1374"/>
      <c r="S456" s="1374"/>
      <c r="T456" s="1374"/>
      <c r="U456" s="1374"/>
      <c r="V456" s="1374"/>
      <c r="W456" s="1374"/>
      <c r="X456" s="1375"/>
    </row>
    <row r="457" spans="1:24" ht="24.75" customHeight="1" x14ac:dyDescent="0.25">
      <c r="A457" s="1990"/>
      <c r="B457" s="1988"/>
      <c r="C457" s="1986"/>
      <c r="D457" s="1377" t="s">
        <v>194</v>
      </c>
      <c r="E457" s="1378" t="s">
        <v>561</v>
      </c>
      <c r="F457" s="1378" t="s">
        <v>1448</v>
      </c>
      <c r="G457" s="1378" t="s">
        <v>1754</v>
      </c>
      <c r="H457" s="1374"/>
      <c r="I457" s="1374"/>
      <c r="J457" s="1374">
        <f>92126+24874</f>
        <v>117000</v>
      </c>
      <c r="K457" s="1374"/>
      <c r="L457" s="1374"/>
      <c r="M457" s="1374"/>
      <c r="N457" s="1374"/>
      <c r="O457" s="1374"/>
      <c r="P457" s="1375"/>
      <c r="Q457" s="1376"/>
      <c r="R457" s="1374"/>
      <c r="S457" s="1374"/>
      <c r="T457" s="1374"/>
      <c r="U457" s="1374"/>
      <c r="V457" s="1374"/>
      <c r="W457" s="1374"/>
      <c r="X457" s="1375"/>
    </row>
    <row r="458" spans="1:24" ht="23.25" customHeight="1" x14ac:dyDescent="0.25">
      <c r="A458" s="1989" t="s">
        <v>2170</v>
      </c>
      <c r="B458" s="1987" t="s">
        <v>2438</v>
      </c>
      <c r="C458" s="1996" t="s">
        <v>2439</v>
      </c>
      <c r="D458" s="1377" t="s">
        <v>201</v>
      </c>
      <c r="E458" s="1378" t="s">
        <v>73</v>
      </c>
      <c r="F458" s="1378" t="s">
        <v>1785</v>
      </c>
      <c r="G458" s="1378" t="s">
        <v>1752</v>
      </c>
      <c r="H458" s="1374"/>
      <c r="I458" s="1374"/>
      <c r="J458" s="1374"/>
      <c r="K458" s="1374"/>
      <c r="L458" s="1374">
        <v>-7619171</v>
      </c>
      <c r="M458" s="1374"/>
      <c r="N458" s="1374"/>
      <c r="O458" s="1374"/>
      <c r="P458" s="1375"/>
      <c r="Q458" s="1376"/>
      <c r="R458" s="1374"/>
      <c r="S458" s="1374"/>
      <c r="T458" s="1374"/>
      <c r="U458" s="1374"/>
      <c r="V458" s="1374"/>
      <c r="W458" s="1374"/>
      <c r="X458" s="1375"/>
    </row>
    <row r="459" spans="1:24" ht="23.25" customHeight="1" x14ac:dyDescent="0.25">
      <c r="A459" s="1990"/>
      <c r="B459" s="1988"/>
      <c r="C459" s="1996"/>
      <c r="D459" s="1377" t="s">
        <v>199</v>
      </c>
      <c r="E459" s="1378" t="s">
        <v>641</v>
      </c>
      <c r="F459" s="1378" t="s">
        <v>133</v>
      </c>
      <c r="G459" s="1378" t="s">
        <v>1754</v>
      </c>
      <c r="H459" s="1374"/>
      <c r="I459" s="1374"/>
      <c r="J459" s="1374"/>
      <c r="K459" s="1374"/>
      <c r="L459" s="1374"/>
      <c r="M459" s="1374">
        <f>5999347+1619824</f>
        <v>7619171</v>
      </c>
      <c r="N459" s="1374"/>
      <c r="O459" s="1374"/>
      <c r="P459" s="1375"/>
      <c r="Q459" s="1376"/>
      <c r="R459" s="1374"/>
      <c r="S459" s="1374"/>
      <c r="T459" s="1374"/>
      <c r="U459" s="1374"/>
      <c r="V459" s="1374"/>
      <c r="W459" s="1374"/>
      <c r="X459" s="1375"/>
    </row>
    <row r="460" spans="1:24" ht="23.25" customHeight="1" x14ac:dyDescent="0.25">
      <c r="A460" s="1989" t="s">
        <v>2172</v>
      </c>
      <c r="B460" s="1987" t="s">
        <v>2441</v>
      </c>
      <c r="C460" s="1985" t="s">
        <v>2442</v>
      </c>
      <c r="D460" s="1377" t="s">
        <v>204</v>
      </c>
      <c r="E460" s="1378" t="s">
        <v>1753</v>
      </c>
      <c r="F460" s="1378" t="s">
        <v>1784</v>
      </c>
      <c r="G460" s="1378" t="s">
        <v>1754</v>
      </c>
      <c r="H460" s="1374"/>
      <c r="I460" s="1374"/>
      <c r="J460" s="1374"/>
      <c r="K460" s="1374"/>
      <c r="L460" s="1374"/>
      <c r="M460" s="1374"/>
      <c r="N460" s="1374"/>
      <c r="O460" s="1374"/>
      <c r="P460" s="1375"/>
      <c r="Q460" s="1376">
        <v>7953135</v>
      </c>
      <c r="R460" s="1374"/>
      <c r="S460" s="1374"/>
      <c r="T460" s="1374"/>
      <c r="U460" s="1374"/>
      <c r="V460" s="1374"/>
      <c r="W460" s="1374"/>
      <c r="X460" s="1375"/>
    </row>
    <row r="461" spans="1:24" ht="23.25" customHeight="1" x14ac:dyDescent="0.25">
      <c r="A461" s="1990"/>
      <c r="B461" s="1988"/>
      <c r="C461" s="1986"/>
      <c r="D461" s="1377" t="s">
        <v>201</v>
      </c>
      <c r="E461" s="1378" t="s">
        <v>73</v>
      </c>
      <c r="F461" s="1378" t="s">
        <v>1785</v>
      </c>
      <c r="G461" s="1378" t="s">
        <v>1754</v>
      </c>
      <c r="H461" s="1374"/>
      <c r="I461" s="1374"/>
      <c r="J461" s="1374"/>
      <c r="K461" s="1374"/>
      <c r="L461" s="1374">
        <v>7953135</v>
      </c>
      <c r="M461" s="1374"/>
      <c r="N461" s="1374"/>
      <c r="O461" s="1374"/>
      <c r="P461" s="1375"/>
      <c r="Q461" s="1376"/>
      <c r="R461" s="1374"/>
      <c r="S461" s="1374"/>
      <c r="T461" s="1374"/>
      <c r="U461" s="1374"/>
      <c r="V461" s="1374"/>
      <c r="W461" s="1374"/>
      <c r="X461" s="1375"/>
    </row>
    <row r="462" spans="1:24" ht="23.25" customHeight="1" x14ac:dyDescent="0.25">
      <c r="A462" s="1989" t="s">
        <v>2174</v>
      </c>
      <c r="B462" s="1987" t="s">
        <v>2446</v>
      </c>
      <c r="C462" s="1996" t="s">
        <v>2447</v>
      </c>
      <c r="D462" s="1377" t="s">
        <v>201</v>
      </c>
      <c r="E462" s="1378" t="s">
        <v>73</v>
      </c>
      <c r="F462" s="1378" t="s">
        <v>1785</v>
      </c>
      <c r="G462" s="1378" t="s">
        <v>1752</v>
      </c>
      <c r="H462" s="1374"/>
      <c r="I462" s="1374"/>
      <c r="J462" s="1374"/>
      <c r="K462" s="1374"/>
      <c r="L462" s="1374">
        <v>-8047</v>
      </c>
      <c r="M462" s="1374"/>
      <c r="N462" s="1374"/>
      <c r="O462" s="1374"/>
      <c r="P462" s="1375"/>
      <c r="Q462" s="1376"/>
      <c r="R462" s="1374"/>
      <c r="S462" s="1374"/>
      <c r="T462" s="1374"/>
      <c r="U462" s="1374"/>
      <c r="V462" s="1374"/>
      <c r="W462" s="1374"/>
      <c r="X462" s="1375"/>
    </row>
    <row r="463" spans="1:24" ht="23.25" customHeight="1" x14ac:dyDescent="0.25">
      <c r="A463" s="1990"/>
      <c r="B463" s="1988"/>
      <c r="C463" s="1996"/>
      <c r="D463" s="1377">
        <v>6</v>
      </c>
      <c r="E463" s="1378" t="s">
        <v>1368</v>
      </c>
      <c r="F463" s="1378" t="s">
        <v>1412</v>
      </c>
      <c r="G463" s="1378" t="s">
        <v>1754</v>
      </c>
      <c r="H463" s="1374"/>
      <c r="I463" s="1374"/>
      <c r="J463" s="1374"/>
      <c r="K463" s="1374"/>
      <c r="L463" s="1374"/>
      <c r="M463" s="1374">
        <v>8047</v>
      </c>
      <c r="N463" s="1374"/>
      <c r="O463" s="1374"/>
      <c r="P463" s="1375"/>
      <c r="Q463" s="1376"/>
      <c r="R463" s="1374"/>
      <c r="S463" s="1374"/>
      <c r="T463" s="1374"/>
      <c r="U463" s="1374"/>
      <c r="V463" s="1374"/>
      <c r="W463" s="1374"/>
      <c r="X463" s="1375"/>
    </row>
    <row r="464" spans="1:24" ht="30.75" customHeight="1" x14ac:dyDescent="0.25">
      <c r="A464" s="1488" t="s">
        <v>2176</v>
      </c>
      <c r="B464" s="1489" t="s">
        <v>2448</v>
      </c>
      <c r="C464" s="1482" t="s">
        <v>2449</v>
      </c>
      <c r="D464" s="1377" t="s">
        <v>194</v>
      </c>
      <c r="E464" s="1378" t="s">
        <v>62</v>
      </c>
      <c r="F464" s="1378" t="s">
        <v>541</v>
      </c>
      <c r="G464" s="1378" t="s">
        <v>1754</v>
      </c>
      <c r="H464" s="1374"/>
      <c r="I464" s="1374"/>
      <c r="J464" s="1374">
        <v>3000000</v>
      </c>
      <c r="K464" s="1374"/>
      <c r="L464" s="1374"/>
      <c r="M464" s="1374"/>
      <c r="N464" s="1374"/>
      <c r="O464" s="1374"/>
      <c r="P464" s="1375"/>
      <c r="Q464" s="1376"/>
      <c r="R464" s="1374"/>
      <c r="S464" s="1374"/>
      <c r="T464" s="1374">
        <v>3000000</v>
      </c>
      <c r="U464" s="1374"/>
      <c r="V464" s="1374"/>
      <c r="W464" s="1374"/>
      <c r="X464" s="1375"/>
    </row>
    <row r="465" spans="1:24" ht="30.75" customHeight="1" x14ac:dyDescent="0.25">
      <c r="A465" s="1488" t="s">
        <v>2178</v>
      </c>
      <c r="B465" s="1489" t="s">
        <v>2450</v>
      </c>
      <c r="C465" s="1482" t="s">
        <v>2451</v>
      </c>
      <c r="D465" s="1377" t="s">
        <v>194</v>
      </c>
      <c r="E465" s="1378" t="s">
        <v>73</v>
      </c>
      <c r="F465" s="1378" t="s">
        <v>553</v>
      </c>
      <c r="G465" s="1378" t="s">
        <v>1766</v>
      </c>
      <c r="H465" s="1374"/>
      <c r="I465" s="1374"/>
      <c r="J465" s="1374">
        <f>-25200+25200</f>
        <v>0</v>
      </c>
      <c r="K465" s="1374"/>
      <c r="L465" s="1374"/>
      <c r="M465" s="1374"/>
      <c r="N465" s="1374"/>
      <c r="O465" s="1374"/>
      <c r="P465" s="1375"/>
      <c r="Q465" s="1376"/>
      <c r="R465" s="1374"/>
      <c r="S465" s="1374"/>
      <c r="T465" s="1374"/>
      <c r="U465" s="1374"/>
      <c r="V465" s="1374"/>
      <c r="W465" s="1374"/>
      <c r="X465" s="1375"/>
    </row>
    <row r="466" spans="1:24" ht="24" customHeight="1" x14ac:dyDescent="0.25">
      <c r="A466" s="1488"/>
      <c r="B466" s="1489"/>
      <c r="C466" s="1482" t="s">
        <v>2457</v>
      </c>
      <c r="D466" s="1377" t="s">
        <v>203</v>
      </c>
      <c r="E466" s="1378" t="s">
        <v>1297</v>
      </c>
      <c r="F466" s="1378" t="s">
        <v>550</v>
      </c>
      <c r="G466" s="1378" t="s">
        <v>1766</v>
      </c>
      <c r="H466" s="1374"/>
      <c r="I466" s="1374"/>
      <c r="J466" s="1374"/>
      <c r="K466" s="1374"/>
      <c r="L466" s="1374"/>
      <c r="M466" s="1374"/>
      <c r="N466" s="1374"/>
      <c r="O466" s="1374"/>
      <c r="P466" s="1375">
        <f>-296910+296910</f>
        <v>0</v>
      </c>
      <c r="Q466" s="1376"/>
      <c r="R466" s="1374"/>
      <c r="S466" s="1374"/>
      <c r="T466" s="1374"/>
      <c r="U466" s="1374"/>
      <c r="V466" s="1374"/>
      <c r="W466" s="1374"/>
      <c r="X466" s="1375"/>
    </row>
    <row r="467" spans="1:24" ht="38.25" customHeight="1" x14ac:dyDescent="0.25">
      <c r="A467" s="1989" t="s">
        <v>2180</v>
      </c>
      <c r="B467" s="1987" t="s">
        <v>2462</v>
      </c>
      <c r="C467" s="1996" t="s">
        <v>2464</v>
      </c>
      <c r="D467" s="1377" t="s">
        <v>201</v>
      </c>
      <c r="E467" s="1378" t="s">
        <v>73</v>
      </c>
      <c r="F467" s="1378" t="s">
        <v>1785</v>
      </c>
      <c r="G467" s="1378" t="s">
        <v>1752</v>
      </c>
      <c r="H467" s="1374"/>
      <c r="I467" s="1374"/>
      <c r="J467" s="1374"/>
      <c r="K467" s="1374"/>
      <c r="L467" s="1374">
        <v>-223520</v>
      </c>
      <c r="M467" s="1374"/>
      <c r="N467" s="1374"/>
      <c r="O467" s="1374"/>
      <c r="P467" s="1375"/>
      <c r="Q467" s="1376"/>
      <c r="R467" s="1374"/>
      <c r="S467" s="1374"/>
      <c r="T467" s="1374"/>
      <c r="U467" s="1374"/>
      <c r="V467" s="1374"/>
      <c r="W467" s="1374"/>
      <c r="X467" s="1375"/>
    </row>
    <row r="468" spans="1:24" ht="38.25" customHeight="1" x14ac:dyDescent="0.25">
      <c r="A468" s="1990"/>
      <c r="B468" s="1988"/>
      <c r="C468" s="1996"/>
      <c r="D468" s="1377" t="s">
        <v>194</v>
      </c>
      <c r="E468" s="1378" t="s">
        <v>62</v>
      </c>
      <c r="F468" s="1378" t="s">
        <v>541</v>
      </c>
      <c r="G468" s="1378" t="s">
        <v>1754</v>
      </c>
      <c r="H468" s="1374"/>
      <c r="I468" s="1374"/>
      <c r="J468" s="1374">
        <f>176000+47520</f>
        <v>223520</v>
      </c>
      <c r="K468" s="1374"/>
      <c r="L468" s="1374"/>
      <c r="M468" s="1374"/>
      <c r="N468" s="1374"/>
      <c r="O468" s="1374"/>
      <c r="P468" s="1375"/>
      <c r="Q468" s="1376"/>
      <c r="R468" s="1374"/>
      <c r="S468" s="1374"/>
      <c r="T468" s="1374"/>
      <c r="U468" s="1374"/>
      <c r="V468" s="1374"/>
      <c r="W468" s="1374"/>
      <c r="X468" s="1375"/>
    </row>
    <row r="469" spans="1:24" ht="24.75" customHeight="1" x14ac:dyDescent="0.25">
      <c r="A469" s="1989" t="s">
        <v>2182</v>
      </c>
      <c r="B469" s="1987" t="s">
        <v>2465</v>
      </c>
      <c r="C469" s="1996" t="s">
        <v>2466</v>
      </c>
      <c r="D469" s="1377" t="s">
        <v>201</v>
      </c>
      <c r="E469" s="1378" t="s">
        <v>73</v>
      </c>
      <c r="F469" s="1378" t="s">
        <v>1785</v>
      </c>
      <c r="G469" s="1378" t="s">
        <v>1752</v>
      </c>
      <c r="H469" s="1374"/>
      <c r="I469" s="1374"/>
      <c r="J469" s="1374"/>
      <c r="K469" s="1374"/>
      <c r="L469" s="1374">
        <v>-49149</v>
      </c>
      <c r="M469" s="1374"/>
      <c r="N469" s="1374"/>
      <c r="O469" s="1374"/>
      <c r="P469" s="1375"/>
      <c r="Q469" s="1376"/>
      <c r="R469" s="1374"/>
      <c r="S469" s="1374"/>
      <c r="T469" s="1374"/>
      <c r="U469" s="1374"/>
      <c r="V469" s="1374"/>
      <c r="W469" s="1374"/>
      <c r="X469" s="1375"/>
    </row>
    <row r="470" spans="1:24" ht="24.75" customHeight="1" x14ac:dyDescent="0.25">
      <c r="A470" s="1990"/>
      <c r="B470" s="1988"/>
      <c r="C470" s="1996"/>
      <c r="D470" s="1377" t="s">
        <v>199</v>
      </c>
      <c r="E470" s="1378" t="s">
        <v>62</v>
      </c>
      <c r="F470" s="1378" t="s">
        <v>541</v>
      </c>
      <c r="G470" s="1378" t="s">
        <v>1754</v>
      </c>
      <c r="H470" s="1374"/>
      <c r="I470" s="1374"/>
      <c r="J470" s="1374"/>
      <c r="K470" s="1374"/>
      <c r="L470" s="1374"/>
      <c r="M470" s="1374">
        <f>38700+10449</f>
        <v>49149</v>
      </c>
      <c r="N470" s="1374"/>
      <c r="O470" s="1374"/>
      <c r="P470" s="1375"/>
      <c r="Q470" s="1376"/>
      <c r="R470" s="1374"/>
      <c r="S470" s="1374"/>
      <c r="T470" s="1374"/>
      <c r="U470" s="1374"/>
      <c r="V470" s="1374"/>
      <c r="W470" s="1374"/>
      <c r="X470" s="1375"/>
    </row>
    <row r="471" spans="1:24" ht="24" customHeight="1" x14ac:dyDescent="0.25">
      <c r="A471" s="1989" t="s">
        <v>2184</v>
      </c>
      <c r="B471" s="1987" t="s">
        <v>2467</v>
      </c>
      <c r="C471" s="1996" t="s">
        <v>2468</v>
      </c>
      <c r="D471" s="1377" t="s">
        <v>201</v>
      </c>
      <c r="E471" s="1378" t="s">
        <v>73</v>
      </c>
      <c r="F471" s="1378" t="s">
        <v>1785</v>
      </c>
      <c r="G471" s="1378" t="s">
        <v>1752</v>
      </c>
      <c r="H471" s="1374"/>
      <c r="I471" s="1374"/>
      <c r="J471" s="1374"/>
      <c r="K471" s="1374"/>
      <c r="L471" s="1374">
        <v>-158560</v>
      </c>
      <c r="M471" s="1374"/>
      <c r="N471" s="1374"/>
      <c r="O471" s="1374"/>
      <c r="P471" s="1375"/>
      <c r="Q471" s="1376"/>
      <c r="R471" s="1374"/>
      <c r="S471" s="1374"/>
      <c r="T471" s="1374"/>
      <c r="U471" s="1374"/>
      <c r="V471" s="1374"/>
      <c r="W471" s="1374"/>
      <c r="X471" s="1375"/>
    </row>
    <row r="472" spans="1:24" ht="24" customHeight="1" x14ac:dyDescent="0.25">
      <c r="A472" s="1990"/>
      <c r="B472" s="1988"/>
      <c r="C472" s="1996"/>
      <c r="D472" s="1377" t="s">
        <v>194</v>
      </c>
      <c r="E472" s="1378" t="s">
        <v>62</v>
      </c>
      <c r="F472" s="1378" t="s">
        <v>541</v>
      </c>
      <c r="G472" s="1378" t="s">
        <v>1754</v>
      </c>
      <c r="H472" s="1374"/>
      <c r="I472" s="1374"/>
      <c r="J472" s="1374">
        <f>124850+33710</f>
        <v>158560</v>
      </c>
      <c r="K472" s="1374"/>
      <c r="L472" s="1374"/>
      <c r="M472" s="1374"/>
      <c r="N472" s="1374"/>
      <c r="O472" s="1374"/>
      <c r="P472" s="1375"/>
      <c r="Q472" s="1376"/>
      <c r="R472" s="1374"/>
      <c r="S472" s="1374"/>
      <c r="T472" s="1374"/>
      <c r="U472" s="1374"/>
      <c r="V472" s="1374"/>
      <c r="W472" s="1374"/>
      <c r="X472" s="1375"/>
    </row>
    <row r="473" spans="1:24" ht="33" customHeight="1" x14ac:dyDescent="0.25">
      <c r="A473" s="1480" t="s">
        <v>2187</v>
      </c>
      <c r="B473" s="1478" t="s">
        <v>2471</v>
      </c>
      <c r="C473" s="1476" t="s">
        <v>2472</v>
      </c>
      <c r="D473" s="1377" t="s">
        <v>194</v>
      </c>
      <c r="E473" s="1378" t="s">
        <v>2474</v>
      </c>
      <c r="F473" s="1378" t="s">
        <v>2473</v>
      </c>
      <c r="G473" s="1378" t="s">
        <v>1766</v>
      </c>
      <c r="H473" s="1374">
        <f>48126</f>
        <v>48126</v>
      </c>
      <c r="I473" s="1374"/>
      <c r="J473" s="1374">
        <f>-57340+9214</f>
        <v>-48126</v>
      </c>
      <c r="K473" s="1374"/>
      <c r="L473" s="1374"/>
      <c r="M473" s="1374"/>
      <c r="N473" s="1374"/>
      <c r="O473" s="1374"/>
      <c r="P473" s="1375"/>
      <c r="Q473" s="1376"/>
      <c r="R473" s="1374"/>
      <c r="S473" s="1374"/>
      <c r="T473" s="1374"/>
      <c r="U473" s="1374"/>
      <c r="V473" s="1374"/>
      <c r="W473" s="1374"/>
      <c r="X473" s="1375"/>
    </row>
    <row r="474" spans="1:24" ht="21.75" customHeight="1" x14ac:dyDescent="0.25">
      <c r="A474" s="1989" t="s">
        <v>2189</v>
      </c>
      <c r="B474" s="1987" t="s">
        <v>2475</v>
      </c>
      <c r="C474" s="1985" t="s">
        <v>2478</v>
      </c>
      <c r="D474" s="1377" t="s">
        <v>194</v>
      </c>
      <c r="E474" s="1378" t="s">
        <v>1838</v>
      </c>
      <c r="F474" s="1378" t="s">
        <v>1837</v>
      </c>
      <c r="G474" s="1378" t="s">
        <v>1752</v>
      </c>
      <c r="H474" s="1374"/>
      <c r="I474" s="1374"/>
      <c r="J474" s="1374">
        <f>-2244094-605906</f>
        <v>-2850000</v>
      </c>
      <c r="K474" s="1374"/>
      <c r="L474" s="1374"/>
      <c r="M474" s="1374"/>
      <c r="N474" s="1374"/>
      <c r="O474" s="1374"/>
      <c r="P474" s="1375"/>
      <c r="Q474" s="1376"/>
      <c r="R474" s="1374"/>
      <c r="S474" s="1374"/>
      <c r="T474" s="1374"/>
      <c r="U474" s="1374"/>
      <c r="V474" s="1374"/>
      <c r="W474" s="1374"/>
      <c r="X474" s="1375"/>
    </row>
    <row r="475" spans="1:24" ht="21.75" customHeight="1" x14ac:dyDescent="0.25">
      <c r="A475" s="1995"/>
      <c r="B475" s="2007"/>
      <c r="C475" s="1993"/>
      <c r="D475" s="1377" t="s">
        <v>199</v>
      </c>
      <c r="E475" s="1378" t="s">
        <v>129</v>
      </c>
      <c r="F475" s="1378" t="s">
        <v>90</v>
      </c>
      <c r="G475" s="1378" t="s">
        <v>1752</v>
      </c>
      <c r="H475" s="1374"/>
      <c r="I475" s="1374"/>
      <c r="J475" s="1374"/>
      <c r="K475" s="1374"/>
      <c r="L475" s="1374"/>
      <c r="M475" s="1374">
        <f>-4563165-1232054</f>
        <v>-5795219</v>
      </c>
      <c r="N475" s="1374"/>
      <c r="O475" s="1374"/>
      <c r="P475" s="1375"/>
      <c r="Q475" s="1376"/>
      <c r="R475" s="1374"/>
      <c r="S475" s="1374"/>
      <c r="T475" s="1374"/>
      <c r="U475" s="1374"/>
      <c r="V475" s="1374"/>
      <c r="W475" s="1374"/>
      <c r="X475" s="1375"/>
    </row>
    <row r="476" spans="1:24" ht="21.75" customHeight="1" x14ac:dyDescent="0.25">
      <c r="A476" s="1990"/>
      <c r="B476" s="1988"/>
      <c r="C476" s="1986"/>
      <c r="D476" s="1377" t="s">
        <v>194</v>
      </c>
      <c r="E476" s="1378" t="s">
        <v>2477</v>
      </c>
      <c r="F476" s="1378" t="s">
        <v>2476</v>
      </c>
      <c r="G476" s="1378" t="s">
        <v>1754</v>
      </c>
      <c r="H476" s="1374"/>
      <c r="I476" s="1374"/>
      <c r="J476" s="1374">
        <f>6807259+1837960</f>
        <v>8645219</v>
      </c>
      <c r="K476" s="1374"/>
      <c r="L476" s="1374"/>
      <c r="M476" s="1374"/>
      <c r="N476" s="1374"/>
      <c r="O476" s="1374"/>
      <c r="P476" s="1375"/>
      <c r="Q476" s="1376"/>
      <c r="R476" s="1374"/>
      <c r="S476" s="1374"/>
      <c r="T476" s="1374"/>
      <c r="U476" s="1374"/>
      <c r="V476" s="1374"/>
      <c r="W476" s="1374"/>
      <c r="X476" s="1375"/>
    </row>
    <row r="477" spans="1:24" ht="18" customHeight="1" x14ac:dyDescent="0.25">
      <c r="A477" s="1989" t="s">
        <v>2191</v>
      </c>
      <c r="B477" s="1987" t="s">
        <v>2479</v>
      </c>
      <c r="C477" s="1985" t="s">
        <v>2480</v>
      </c>
      <c r="D477" s="1377" t="s">
        <v>201</v>
      </c>
      <c r="E477" s="1378" t="s">
        <v>73</v>
      </c>
      <c r="F477" s="1378" t="s">
        <v>1785</v>
      </c>
      <c r="G477" s="1378" t="s">
        <v>1752</v>
      </c>
      <c r="H477" s="1374"/>
      <c r="I477" s="1374"/>
      <c r="J477" s="1374"/>
      <c r="K477" s="1374"/>
      <c r="L477" s="1374">
        <v>-712857</v>
      </c>
      <c r="M477" s="1374"/>
      <c r="N477" s="1374"/>
      <c r="O477" s="1374"/>
      <c r="P477" s="1375"/>
      <c r="Q477" s="1376"/>
      <c r="R477" s="1374"/>
      <c r="S477" s="1374"/>
      <c r="T477" s="1374"/>
      <c r="U477" s="1374"/>
      <c r="V477" s="1374"/>
      <c r="W477" s="1374"/>
      <c r="X477" s="1375"/>
    </row>
    <row r="478" spans="1:24" ht="18" customHeight="1" x14ac:dyDescent="0.25">
      <c r="A478" s="1990"/>
      <c r="B478" s="1988"/>
      <c r="C478" s="1986"/>
      <c r="D478" s="1377" t="s">
        <v>194</v>
      </c>
      <c r="E478" s="1378" t="s">
        <v>2477</v>
      </c>
      <c r="F478" s="1378" t="s">
        <v>2476</v>
      </c>
      <c r="G478" s="1378" t="s">
        <v>1754</v>
      </c>
      <c r="H478" s="1374"/>
      <c r="I478" s="1374"/>
      <c r="J478" s="1374">
        <f>561305+151552</f>
        <v>712857</v>
      </c>
      <c r="K478" s="1374"/>
      <c r="L478" s="1374"/>
      <c r="M478" s="1374"/>
      <c r="N478" s="1374"/>
      <c r="O478" s="1374"/>
      <c r="P478" s="1375"/>
      <c r="Q478" s="1376"/>
      <c r="R478" s="1374"/>
      <c r="S478" s="1374"/>
      <c r="T478" s="1374"/>
      <c r="U478" s="1374"/>
      <c r="V478" s="1374"/>
      <c r="W478" s="1374"/>
      <c r="X478" s="1375"/>
    </row>
    <row r="479" spans="1:24" ht="20.25" customHeight="1" x14ac:dyDescent="0.25">
      <c r="A479" s="1989" t="s">
        <v>2193</v>
      </c>
      <c r="B479" s="1987" t="s">
        <v>2499</v>
      </c>
      <c r="C479" s="1985" t="s">
        <v>2481</v>
      </c>
      <c r="D479" s="1377" t="s">
        <v>194</v>
      </c>
      <c r="E479" s="1378" t="s">
        <v>2483</v>
      </c>
      <c r="F479" s="1378" t="s">
        <v>2482</v>
      </c>
      <c r="G479" s="1378" t="s">
        <v>1752</v>
      </c>
      <c r="H479" s="1374"/>
      <c r="I479" s="1374"/>
      <c r="J479" s="1374">
        <f>-2874016-775984</f>
        <v>-3650000</v>
      </c>
      <c r="K479" s="1374"/>
      <c r="L479" s="1374"/>
      <c r="M479" s="1374"/>
      <c r="N479" s="1374"/>
      <c r="O479" s="1374"/>
      <c r="P479" s="1375"/>
      <c r="Q479" s="1376"/>
      <c r="R479" s="1374"/>
      <c r="S479" s="1374"/>
      <c r="T479" s="1374"/>
      <c r="U479" s="1374"/>
      <c r="V479" s="1374"/>
      <c r="W479" s="1374"/>
      <c r="X479" s="1375"/>
    </row>
    <row r="480" spans="1:24" ht="20.25" customHeight="1" x14ac:dyDescent="0.25">
      <c r="A480" s="1990"/>
      <c r="B480" s="1988"/>
      <c r="C480" s="1986"/>
      <c r="D480" s="1377" t="s">
        <v>194</v>
      </c>
      <c r="E480" s="1378" t="s">
        <v>2477</v>
      </c>
      <c r="F480" s="1378" t="s">
        <v>2476</v>
      </c>
      <c r="G480" s="1378" t="s">
        <v>1754</v>
      </c>
      <c r="H480" s="1374"/>
      <c r="I480" s="1374"/>
      <c r="J480" s="1374">
        <f>2874016+775984</f>
        <v>3650000</v>
      </c>
      <c r="K480" s="1374"/>
      <c r="L480" s="1374"/>
      <c r="M480" s="1374"/>
      <c r="N480" s="1374"/>
      <c r="O480" s="1374"/>
      <c r="P480" s="1375"/>
      <c r="Q480" s="1376"/>
      <c r="R480" s="1374"/>
      <c r="S480" s="1374"/>
      <c r="T480" s="1374"/>
      <c r="U480" s="1374"/>
      <c r="V480" s="1374"/>
      <c r="W480" s="1374"/>
      <c r="X480" s="1375"/>
    </row>
    <row r="481" spans="1:24" ht="23.25" customHeight="1" x14ac:dyDescent="0.25">
      <c r="A481" s="1989" t="s">
        <v>2195</v>
      </c>
      <c r="B481" s="1987" t="s">
        <v>2484</v>
      </c>
      <c r="C481" s="1996" t="s">
        <v>2485</v>
      </c>
      <c r="D481" s="953" t="s">
        <v>201</v>
      </c>
      <c r="E481" s="1378" t="s">
        <v>73</v>
      </c>
      <c r="F481" s="1378" t="s">
        <v>1785</v>
      </c>
      <c r="G481" s="1378" t="s">
        <v>1752</v>
      </c>
      <c r="H481" s="1374"/>
      <c r="I481" s="1374"/>
      <c r="J481" s="1374"/>
      <c r="K481" s="1374"/>
      <c r="L481" s="1374">
        <v>-138113</v>
      </c>
      <c r="M481" s="1374"/>
      <c r="N481" s="1374"/>
      <c r="O481" s="1374"/>
      <c r="P481" s="1375"/>
      <c r="Q481" s="1376"/>
      <c r="R481" s="1374"/>
      <c r="S481" s="1374"/>
      <c r="T481" s="1374"/>
      <c r="U481" s="1374"/>
      <c r="V481" s="1374"/>
      <c r="W481" s="1374"/>
      <c r="X481" s="1375"/>
    </row>
    <row r="482" spans="1:24" ht="23.25" customHeight="1" x14ac:dyDescent="0.25">
      <c r="A482" s="1990"/>
      <c r="B482" s="1988"/>
      <c r="C482" s="1996"/>
      <c r="D482" s="953" t="s">
        <v>199</v>
      </c>
      <c r="E482" s="1378" t="s">
        <v>1368</v>
      </c>
      <c r="F482" s="1378" t="s">
        <v>1412</v>
      </c>
      <c r="G482" s="1378" t="s">
        <v>1754</v>
      </c>
      <c r="H482" s="1374"/>
      <c r="I482" s="1374"/>
      <c r="J482" s="1374"/>
      <c r="K482" s="1374"/>
      <c r="L482" s="1374"/>
      <c r="M482" s="1374">
        <f>108750+29363</f>
        <v>138113</v>
      </c>
      <c r="N482" s="1374"/>
      <c r="O482" s="1374"/>
      <c r="P482" s="1375"/>
      <c r="Q482" s="1376"/>
      <c r="R482" s="1374"/>
      <c r="S482" s="1374"/>
      <c r="T482" s="1374"/>
      <c r="U482" s="1374"/>
      <c r="V482" s="1374"/>
      <c r="W482" s="1374"/>
      <c r="X482" s="1375"/>
    </row>
    <row r="483" spans="1:24" ht="23.25" customHeight="1" x14ac:dyDescent="0.25">
      <c r="A483" s="1989" t="s">
        <v>2197</v>
      </c>
      <c r="B483" s="1987" t="s">
        <v>2487</v>
      </c>
      <c r="C483" s="1996" t="s">
        <v>2532</v>
      </c>
      <c r="D483" s="953" t="s">
        <v>201</v>
      </c>
      <c r="E483" s="1378" t="s">
        <v>73</v>
      </c>
      <c r="F483" s="1378" t="s">
        <v>1785</v>
      </c>
      <c r="G483" s="1378" t="s">
        <v>1752</v>
      </c>
      <c r="H483" s="1374"/>
      <c r="I483" s="1374"/>
      <c r="J483" s="1374"/>
      <c r="K483" s="1374"/>
      <c r="L483" s="1374">
        <v>-402336</v>
      </c>
      <c r="M483" s="1374"/>
      <c r="N483" s="1374"/>
      <c r="O483" s="1374"/>
      <c r="P483" s="1375"/>
      <c r="Q483" s="1376"/>
      <c r="R483" s="1374"/>
      <c r="S483" s="1374"/>
      <c r="T483" s="1374"/>
      <c r="U483" s="1374"/>
      <c r="V483" s="1374"/>
      <c r="W483" s="1374"/>
      <c r="X483" s="1375"/>
    </row>
    <row r="484" spans="1:24" ht="23.25" customHeight="1" x14ac:dyDescent="0.25">
      <c r="A484" s="1990"/>
      <c r="B484" s="1988"/>
      <c r="C484" s="1996"/>
      <c r="D484" s="953" t="s">
        <v>203</v>
      </c>
      <c r="E484" s="1378" t="s">
        <v>1297</v>
      </c>
      <c r="F484" s="1378" t="s">
        <v>550</v>
      </c>
      <c r="G484" s="1378" t="s">
        <v>1754</v>
      </c>
      <c r="H484" s="1374"/>
      <c r="I484" s="1374"/>
      <c r="J484" s="1374"/>
      <c r="K484" s="1374"/>
      <c r="L484" s="1374"/>
      <c r="M484" s="1374"/>
      <c r="N484" s="1374"/>
      <c r="O484" s="1374"/>
      <c r="P484" s="1375">
        <v>402336</v>
      </c>
      <c r="Q484" s="1376"/>
      <c r="R484" s="1374"/>
      <c r="S484" s="1374"/>
      <c r="T484" s="1374"/>
      <c r="U484" s="1374"/>
      <c r="V484" s="1374"/>
      <c r="W484" s="1374"/>
      <c r="X484" s="1375"/>
    </row>
    <row r="485" spans="1:24" ht="33" customHeight="1" x14ac:dyDescent="0.25">
      <c r="A485" s="1989" t="s">
        <v>2199</v>
      </c>
      <c r="B485" s="1987" t="s">
        <v>2488</v>
      </c>
      <c r="C485" s="1985" t="s">
        <v>2489</v>
      </c>
      <c r="D485" s="953" t="s">
        <v>204</v>
      </c>
      <c r="E485" s="1378" t="s">
        <v>1753</v>
      </c>
      <c r="F485" s="1378" t="s">
        <v>1784</v>
      </c>
      <c r="G485" s="1378" t="s">
        <v>1754</v>
      </c>
      <c r="H485" s="1374"/>
      <c r="I485" s="1374"/>
      <c r="J485" s="1374"/>
      <c r="K485" s="1374"/>
      <c r="L485" s="1374"/>
      <c r="M485" s="1374"/>
      <c r="N485" s="1374"/>
      <c r="O485" s="1374"/>
      <c r="P485" s="1375"/>
      <c r="Q485" s="1376">
        <f>2612303+589000</f>
        <v>3201303</v>
      </c>
      <c r="R485" s="1374"/>
      <c r="S485" s="1374"/>
      <c r="T485" s="1374"/>
      <c r="U485" s="1374"/>
      <c r="V485" s="1374"/>
      <c r="W485" s="1374"/>
      <c r="X485" s="1375"/>
    </row>
    <row r="486" spans="1:24" ht="33" customHeight="1" x14ac:dyDescent="0.25">
      <c r="A486" s="1990"/>
      <c r="B486" s="1988"/>
      <c r="C486" s="1986"/>
      <c r="D486" s="953" t="s">
        <v>201</v>
      </c>
      <c r="E486" s="1378" t="s">
        <v>73</v>
      </c>
      <c r="F486" s="1378" t="s">
        <v>1785</v>
      </c>
      <c r="G486" s="1378" t="s">
        <v>1754</v>
      </c>
      <c r="H486" s="1374"/>
      <c r="I486" s="1374"/>
      <c r="J486" s="1374"/>
      <c r="K486" s="1374"/>
      <c r="L486" s="1374">
        <v>3201303</v>
      </c>
      <c r="M486" s="1374"/>
      <c r="N486" s="1374"/>
      <c r="O486" s="1374"/>
      <c r="P486" s="1375"/>
      <c r="Q486" s="1376"/>
      <c r="R486" s="1374"/>
      <c r="S486" s="1374"/>
      <c r="T486" s="1374"/>
      <c r="U486" s="1374"/>
      <c r="V486" s="1374"/>
      <c r="W486" s="1374"/>
      <c r="X486" s="1375"/>
    </row>
    <row r="487" spans="1:24" ht="27" customHeight="1" x14ac:dyDescent="0.25">
      <c r="A487" s="1481" t="s">
        <v>2200</v>
      </c>
      <c r="B487" s="1479" t="s">
        <v>2491</v>
      </c>
      <c r="C487" s="1477" t="s">
        <v>2492</v>
      </c>
      <c r="D487" s="953" t="s">
        <v>194</v>
      </c>
      <c r="E487" s="1378" t="s">
        <v>1781</v>
      </c>
      <c r="F487" s="1378" t="s">
        <v>1780</v>
      </c>
      <c r="G487" s="1378" t="s">
        <v>1754</v>
      </c>
      <c r="H487" s="1374"/>
      <c r="I487" s="1374"/>
      <c r="J487" s="1374">
        <v>978</v>
      </c>
      <c r="K487" s="1374"/>
      <c r="L487" s="1374"/>
      <c r="M487" s="1374"/>
      <c r="N487" s="1374"/>
      <c r="O487" s="1374"/>
      <c r="P487" s="1375"/>
      <c r="Q487" s="1376"/>
      <c r="R487" s="1374"/>
      <c r="S487" s="1374"/>
      <c r="T487" s="1374">
        <v>978</v>
      </c>
      <c r="U487" s="1374"/>
      <c r="V487" s="1374"/>
      <c r="W487" s="1374"/>
      <c r="X487" s="1375"/>
    </row>
    <row r="488" spans="1:24" ht="48" customHeight="1" x14ac:dyDescent="0.25">
      <c r="A488" s="1481" t="s">
        <v>2203</v>
      </c>
      <c r="B488" s="1479" t="s">
        <v>2493</v>
      </c>
      <c r="C488" s="1477" t="s">
        <v>2495</v>
      </c>
      <c r="D488" s="953" t="s">
        <v>201</v>
      </c>
      <c r="E488" s="1378" t="s">
        <v>73</v>
      </c>
      <c r="F488" s="1378" t="s">
        <v>1785</v>
      </c>
      <c r="G488" s="1378" t="s">
        <v>1766</v>
      </c>
      <c r="H488" s="1374"/>
      <c r="I488" s="1374"/>
      <c r="J488" s="1374"/>
      <c r="K488" s="1374"/>
      <c r="L488" s="1374">
        <f>-400000+400000</f>
        <v>0</v>
      </c>
      <c r="M488" s="1374"/>
      <c r="N488" s="1374"/>
      <c r="O488" s="1374"/>
      <c r="P488" s="1375"/>
      <c r="Q488" s="1376"/>
      <c r="R488" s="1374"/>
      <c r="S488" s="1374"/>
      <c r="T488" s="1374"/>
      <c r="U488" s="1374"/>
      <c r="V488" s="1374"/>
      <c r="W488" s="1374"/>
      <c r="X488" s="1375"/>
    </row>
    <row r="489" spans="1:24" ht="23.25" customHeight="1" x14ac:dyDescent="0.25">
      <c r="A489" s="1989" t="s">
        <v>2212</v>
      </c>
      <c r="B489" s="1987" t="s">
        <v>2496</v>
      </c>
      <c r="C489" s="1985" t="s">
        <v>2497</v>
      </c>
      <c r="D489" s="953" t="s">
        <v>194</v>
      </c>
      <c r="E489" s="1378" t="s">
        <v>130</v>
      </c>
      <c r="F489" s="1378" t="s">
        <v>153</v>
      </c>
      <c r="G489" s="1378" t="s">
        <v>1754</v>
      </c>
      <c r="H489" s="1374"/>
      <c r="I489" s="1374"/>
      <c r="J489" s="1374"/>
      <c r="K489" s="1374"/>
      <c r="L489" s="1374"/>
      <c r="M489" s="1374"/>
      <c r="N489" s="1374"/>
      <c r="O489" s="1374"/>
      <c r="P489" s="1375"/>
      <c r="Q489" s="1376"/>
      <c r="R489" s="1374"/>
      <c r="S489" s="1374"/>
      <c r="T489" s="1374">
        <v>529583</v>
      </c>
      <c r="U489" s="1374"/>
      <c r="V489" s="1374"/>
      <c r="W489" s="1374"/>
      <c r="X489" s="1375"/>
    </row>
    <row r="490" spans="1:24" ht="23.25" customHeight="1" x14ac:dyDescent="0.25">
      <c r="A490" s="1990"/>
      <c r="B490" s="1988"/>
      <c r="C490" s="1986"/>
      <c r="D490" s="953" t="s">
        <v>194</v>
      </c>
      <c r="E490" s="1378" t="s">
        <v>602</v>
      </c>
      <c r="F490" s="1378" t="s">
        <v>857</v>
      </c>
      <c r="G490" s="1378" t="s">
        <v>1754</v>
      </c>
      <c r="H490" s="1374"/>
      <c r="I490" s="1374"/>
      <c r="J490" s="1374">
        <f>416994+112589</f>
        <v>529583</v>
      </c>
      <c r="K490" s="1374"/>
      <c r="L490" s="1374"/>
      <c r="M490" s="1374"/>
      <c r="N490" s="1374"/>
      <c r="O490" s="1374"/>
      <c r="P490" s="1375"/>
      <c r="Q490" s="1376"/>
      <c r="R490" s="1374"/>
      <c r="S490" s="1374"/>
      <c r="T490" s="1374"/>
      <c r="U490" s="1374"/>
      <c r="V490" s="1374"/>
      <c r="W490" s="1374"/>
      <c r="X490" s="1375"/>
    </row>
    <row r="491" spans="1:24" ht="16.5" customHeight="1" x14ac:dyDescent="0.25">
      <c r="A491" s="1989" t="s">
        <v>2213</v>
      </c>
      <c r="B491" s="1987" t="s">
        <v>2498</v>
      </c>
      <c r="C491" s="1985" t="s">
        <v>2500</v>
      </c>
      <c r="D491" s="953" t="s">
        <v>201</v>
      </c>
      <c r="E491" s="1378" t="s">
        <v>73</v>
      </c>
      <c r="F491" s="1378" t="s">
        <v>1785</v>
      </c>
      <c r="G491" s="1378" t="s">
        <v>1752</v>
      </c>
      <c r="H491" s="1374"/>
      <c r="I491" s="1374"/>
      <c r="J491" s="1374"/>
      <c r="K491" s="1374"/>
      <c r="L491" s="1374">
        <v>-4445000</v>
      </c>
      <c r="M491" s="1374"/>
      <c r="N491" s="1374"/>
      <c r="O491" s="1374"/>
      <c r="P491" s="1375"/>
      <c r="Q491" s="1376"/>
      <c r="R491" s="1374"/>
      <c r="S491" s="1374"/>
      <c r="T491" s="1374"/>
      <c r="U491" s="1374"/>
      <c r="V491" s="1374"/>
      <c r="W491" s="1374"/>
      <c r="X491" s="1375"/>
    </row>
    <row r="492" spans="1:24" ht="16.5" customHeight="1" x14ac:dyDescent="0.25">
      <c r="A492" s="1995"/>
      <c r="B492" s="2007"/>
      <c r="C492" s="1993"/>
      <c r="D492" s="953" t="s">
        <v>194</v>
      </c>
      <c r="E492" s="1378" t="s">
        <v>130</v>
      </c>
      <c r="F492" s="1378" t="s">
        <v>1812</v>
      </c>
      <c r="G492" s="1378" t="s">
        <v>1754</v>
      </c>
      <c r="H492" s="1374"/>
      <c r="I492" s="1374"/>
      <c r="J492" s="1374">
        <f>1000000+270000</f>
        <v>1270000</v>
      </c>
      <c r="K492" s="1374"/>
      <c r="L492" s="1374"/>
      <c r="M492" s="1374"/>
      <c r="N492" s="1374"/>
      <c r="O492" s="1374"/>
      <c r="P492" s="1375"/>
      <c r="Q492" s="1376"/>
      <c r="R492" s="1374"/>
      <c r="S492" s="1374"/>
      <c r="T492" s="1374"/>
      <c r="U492" s="1374"/>
      <c r="V492" s="1374"/>
      <c r="W492" s="1374"/>
      <c r="X492" s="1375"/>
    </row>
    <row r="493" spans="1:24" ht="16.5" customHeight="1" x14ac:dyDescent="0.25">
      <c r="A493" s="1990"/>
      <c r="B493" s="1988"/>
      <c r="C493" s="1986"/>
      <c r="D493" s="953" t="s">
        <v>194</v>
      </c>
      <c r="E493" s="1378" t="s">
        <v>648</v>
      </c>
      <c r="F493" s="1378" t="s">
        <v>135</v>
      </c>
      <c r="G493" s="1378" t="s">
        <v>1754</v>
      </c>
      <c r="H493" s="1374"/>
      <c r="I493" s="1374"/>
      <c r="J493" s="1374">
        <f>2500000+675000</f>
        <v>3175000</v>
      </c>
      <c r="K493" s="1374"/>
      <c r="L493" s="1374"/>
      <c r="M493" s="1374"/>
      <c r="N493" s="1374"/>
      <c r="O493" s="1374"/>
      <c r="P493" s="1375"/>
      <c r="Q493" s="1376"/>
      <c r="R493" s="1374"/>
      <c r="S493" s="1374"/>
      <c r="T493" s="1374"/>
      <c r="U493" s="1374"/>
      <c r="V493" s="1374"/>
      <c r="W493" s="1374"/>
      <c r="X493" s="1375"/>
    </row>
    <row r="494" spans="1:24" ht="24.75" customHeight="1" x14ac:dyDescent="0.25">
      <c r="A494" s="1989" t="s">
        <v>2215</v>
      </c>
      <c r="B494" s="1987" t="s">
        <v>2501</v>
      </c>
      <c r="C494" s="1996" t="s">
        <v>2947</v>
      </c>
      <c r="D494" s="953" t="s">
        <v>201</v>
      </c>
      <c r="E494" s="1378" t="s">
        <v>73</v>
      </c>
      <c r="F494" s="1378" t="s">
        <v>1785</v>
      </c>
      <c r="G494" s="1378" t="s">
        <v>1752</v>
      </c>
      <c r="H494" s="1374"/>
      <c r="I494" s="1374"/>
      <c r="J494" s="1374"/>
      <c r="K494" s="1374"/>
      <c r="L494" s="1374">
        <v>-3556000</v>
      </c>
      <c r="M494" s="1374"/>
      <c r="N494" s="1374"/>
      <c r="O494" s="1374"/>
      <c r="P494" s="1375"/>
      <c r="Q494" s="1376"/>
      <c r="R494" s="1374"/>
      <c r="S494" s="1374"/>
      <c r="T494" s="1374"/>
      <c r="U494" s="1374"/>
      <c r="V494" s="1374"/>
      <c r="W494" s="1374"/>
      <c r="X494" s="1375"/>
    </row>
    <row r="495" spans="1:24" ht="24.75" customHeight="1" x14ac:dyDescent="0.25">
      <c r="A495" s="1990"/>
      <c r="B495" s="1988"/>
      <c r="C495" s="1996"/>
      <c r="D495" s="953" t="s">
        <v>203</v>
      </c>
      <c r="E495" s="1378" t="s">
        <v>1297</v>
      </c>
      <c r="F495" s="1378" t="s">
        <v>550</v>
      </c>
      <c r="G495" s="1378" t="s">
        <v>1754</v>
      </c>
      <c r="H495" s="1374"/>
      <c r="I495" s="1374"/>
      <c r="J495" s="1374"/>
      <c r="K495" s="1374"/>
      <c r="L495" s="1374"/>
      <c r="M495" s="1374"/>
      <c r="N495" s="1374"/>
      <c r="O495" s="1374"/>
      <c r="P495" s="1375">
        <v>3556000</v>
      </c>
      <c r="Q495" s="1376"/>
      <c r="R495" s="1374"/>
      <c r="S495" s="1374"/>
      <c r="T495" s="1374"/>
      <c r="U495" s="1374"/>
      <c r="V495" s="1374"/>
      <c r="W495" s="1374"/>
      <c r="X495" s="1375"/>
    </row>
    <row r="496" spans="1:24" ht="23.25" customHeight="1" x14ac:dyDescent="0.25">
      <c r="A496" s="1989" t="s">
        <v>2216</v>
      </c>
      <c r="B496" s="1987" t="s">
        <v>2506</v>
      </c>
      <c r="C496" s="1985" t="s">
        <v>2507</v>
      </c>
      <c r="D496" s="953" t="s">
        <v>201</v>
      </c>
      <c r="E496" s="1378" t="s">
        <v>73</v>
      </c>
      <c r="F496" s="1378" t="s">
        <v>1785</v>
      </c>
      <c r="G496" s="1378" t="s">
        <v>1752</v>
      </c>
      <c r="H496" s="1374"/>
      <c r="I496" s="1374"/>
      <c r="J496" s="1374"/>
      <c r="K496" s="1374"/>
      <c r="L496" s="1374">
        <v>-600000</v>
      </c>
      <c r="M496" s="1374"/>
      <c r="N496" s="1374"/>
      <c r="O496" s="1374"/>
      <c r="P496" s="1375"/>
      <c r="Q496" s="1376"/>
      <c r="R496" s="1374"/>
      <c r="S496" s="1374"/>
      <c r="T496" s="1374"/>
      <c r="U496" s="1374"/>
      <c r="V496" s="1374"/>
      <c r="W496" s="1374"/>
      <c r="X496" s="1375"/>
    </row>
    <row r="497" spans="1:24" ht="23.25" customHeight="1" x14ac:dyDescent="0.25">
      <c r="A497" s="1990"/>
      <c r="B497" s="1988"/>
      <c r="C497" s="1986"/>
      <c r="D497" s="953" t="s">
        <v>198</v>
      </c>
      <c r="E497" s="1378" t="s">
        <v>130</v>
      </c>
      <c r="F497" s="1378" t="s">
        <v>1865</v>
      </c>
      <c r="G497" s="1378" t="s">
        <v>1754</v>
      </c>
      <c r="H497" s="1374"/>
      <c r="I497" s="1374"/>
      <c r="J497" s="1374"/>
      <c r="K497" s="1374"/>
      <c r="L497" s="1374">
        <v>600000</v>
      </c>
      <c r="M497" s="1374"/>
      <c r="N497" s="1374"/>
      <c r="O497" s="1374"/>
      <c r="P497" s="1375"/>
      <c r="Q497" s="1376"/>
      <c r="R497" s="1374"/>
      <c r="S497" s="1374"/>
      <c r="T497" s="1374"/>
      <c r="U497" s="1374"/>
      <c r="V497" s="1374"/>
      <c r="W497" s="1374"/>
      <c r="X497" s="1375"/>
    </row>
    <row r="498" spans="1:24" ht="24" customHeight="1" x14ac:dyDescent="0.25">
      <c r="A498" s="1989" t="s">
        <v>2219</v>
      </c>
      <c r="B498" s="1987" t="s">
        <v>2508</v>
      </c>
      <c r="C498" s="1985" t="s">
        <v>2509</v>
      </c>
      <c r="D498" s="953" t="s">
        <v>194</v>
      </c>
      <c r="E498" s="1378" t="s">
        <v>130</v>
      </c>
      <c r="F498" s="1378" t="s">
        <v>153</v>
      </c>
      <c r="G498" s="1378" t="s">
        <v>1754</v>
      </c>
      <c r="H498" s="1374"/>
      <c r="I498" s="1374"/>
      <c r="J498" s="1374"/>
      <c r="K498" s="1374"/>
      <c r="L498" s="1374"/>
      <c r="M498" s="1374"/>
      <c r="N498" s="1374"/>
      <c r="O498" s="1374"/>
      <c r="P498" s="1375"/>
      <c r="Q498" s="1376"/>
      <c r="R498" s="1374"/>
      <c r="S498" s="1374"/>
      <c r="T498" s="1374">
        <f>49739+13429</f>
        <v>63168</v>
      </c>
      <c r="U498" s="1374"/>
      <c r="V498" s="1374"/>
      <c r="W498" s="1374"/>
      <c r="X498" s="1375"/>
    </row>
    <row r="499" spans="1:24" ht="24" customHeight="1" x14ac:dyDescent="0.25">
      <c r="A499" s="1990"/>
      <c r="B499" s="1988"/>
      <c r="C499" s="1986"/>
      <c r="D499" s="953" t="s">
        <v>194</v>
      </c>
      <c r="E499" s="1378" t="s">
        <v>602</v>
      </c>
      <c r="F499" s="1378" t="s">
        <v>857</v>
      </c>
      <c r="G499" s="1378" t="s">
        <v>1754</v>
      </c>
      <c r="H499" s="1374"/>
      <c r="I499" s="1374"/>
      <c r="J499" s="1374">
        <f>49739+13429</f>
        <v>63168</v>
      </c>
      <c r="K499" s="1374"/>
      <c r="L499" s="1374"/>
      <c r="M499" s="1374"/>
      <c r="N499" s="1374"/>
      <c r="O499" s="1374"/>
      <c r="P499" s="1375"/>
      <c r="Q499" s="1376"/>
      <c r="R499" s="1374"/>
      <c r="S499" s="1374"/>
      <c r="T499" s="1374"/>
      <c r="U499" s="1374"/>
      <c r="V499" s="1374"/>
      <c r="W499" s="1374"/>
      <c r="X499" s="1375"/>
    </row>
    <row r="500" spans="1:24" ht="19.5" customHeight="1" x14ac:dyDescent="0.25">
      <c r="A500" s="1989" t="s">
        <v>2221</v>
      </c>
      <c r="B500" s="1987" t="s">
        <v>2510</v>
      </c>
      <c r="C500" s="1985" t="s">
        <v>2511</v>
      </c>
      <c r="D500" s="1377" t="s">
        <v>201</v>
      </c>
      <c r="E500" s="1378" t="s">
        <v>73</v>
      </c>
      <c r="F500" s="1378" t="s">
        <v>1785</v>
      </c>
      <c r="G500" s="1378" t="s">
        <v>1752</v>
      </c>
      <c r="H500" s="1374"/>
      <c r="I500" s="1374"/>
      <c r="J500" s="1374"/>
      <c r="K500" s="1374"/>
      <c r="L500" s="1374">
        <v>-1845444</v>
      </c>
      <c r="M500" s="1374"/>
      <c r="N500" s="1374"/>
      <c r="O500" s="1374"/>
      <c r="P500" s="1375"/>
      <c r="Q500" s="1376"/>
      <c r="R500" s="1374"/>
      <c r="S500" s="1374"/>
      <c r="T500" s="1374"/>
      <c r="U500" s="1374"/>
      <c r="V500" s="1374"/>
      <c r="W500" s="1374"/>
      <c r="X500" s="1375"/>
    </row>
    <row r="501" spans="1:24" ht="19.5" customHeight="1" x14ac:dyDescent="0.25">
      <c r="A501" s="1990"/>
      <c r="B501" s="1988"/>
      <c r="C501" s="1986"/>
      <c r="D501" s="1377" t="s">
        <v>194</v>
      </c>
      <c r="E501" s="1378" t="s">
        <v>2054</v>
      </c>
      <c r="F501" s="1378" t="s">
        <v>2053</v>
      </c>
      <c r="G501" s="1378" t="s">
        <v>1754</v>
      </c>
      <c r="H501" s="1374"/>
      <c r="I501" s="1374"/>
      <c r="J501" s="1374">
        <f>1453106+392338</f>
        <v>1845444</v>
      </c>
      <c r="K501" s="1374"/>
      <c r="L501" s="1374"/>
      <c r="M501" s="1374"/>
      <c r="N501" s="1374"/>
      <c r="O501" s="1374"/>
      <c r="P501" s="1375"/>
      <c r="Q501" s="1376"/>
      <c r="R501" s="1374"/>
      <c r="S501" s="1374"/>
      <c r="T501" s="1374"/>
      <c r="U501" s="1374"/>
      <c r="V501" s="1374"/>
      <c r="W501" s="1374"/>
      <c r="X501" s="1375"/>
    </row>
    <row r="502" spans="1:24" ht="30.75" customHeight="1" x14ac:dyDescent="0.25">
      <c r="A502" s="1989" t="s">
        <v>2223</v>
      </c>
      <c r="B502" s="1987" t="s">
        <v>2512</v>
      </c>
      <c r="C502" s="1996" t="s">
        <v>2514</v>
      </c>
      <c r="D502" s="1377" t="s">
        <v>201</v>
      </c>
      <c r="E502" s="1378" t="s">
        <v>73</v>
      </c>
      <c r="F502" s="1378" t="s">
        <v>1785</v>
      </c>
      <c r="G502" s="1378" t="s">
        <v>1752</v>
      </c>
      <c r="H502" s="1374"/>
      <c r="I502" s="1374"/>
      <c r="J502" s="1374"/>
      <c r="K502" s="1374"/>
      <c r="L502" s="1374">
        <v>-125047</v>
      </c>
      <c r="M502" s="1374"/>
      <c r="N502" s="1374"/>
      <c r="O502" s="1374"/>
      <c r="P502" s="1375"/>
      <c r="Q502" s="1376"/>
      <c r="R502" s="1374"/>
      <c r="S502" s="1374"/>
      <c r="T502" s="1374"/>
      <c r="U502" s="1374"/>
      <c r="V502" s="1374"/>
      <c r="W502" s="1374"/>
      <c r="X502" s="1375"/>
    </row>
    <row r="503" spans="1:24" ht="30.75" customHeight="1" x14ac:dyDescent="0.25">
      <c r="A503" s="1990"/>
      <c r="B503" s="1988"/>
      <c r="C503" s="1996"/>
      <c r="D503" s="1377" t="s">
        <v>200</v>
      </c>
      <c r="E503" s="1378" t="s">
        <v>641</v>
      </c>
      <c r="F503" s="1378" t="s">
        <v>133</v>
      </c>
      <c r="G503" s="1378" t="s">
        <v>1754</v>
      </c>
      <c r="H503" s="1374"/>
      <c r="I503" s="1374"/>
      <c r="J503" s="1374"/>
      <c r="K503" s="1374"/>
      <c r="L503" s="1374"/>
      <c r="M503" s="1374"/>
      <c r="N503" s="1374">
        <f>98462+26585</f>
        <v>125047</v>
      </c>
      <c r="O503" s="1374"/>
      <c r="P503" s="1375"/>
      <c r="Q503" s="1376"/>
      <c r="R503" s="1374"/>
      <c r="S503" s="1374"/>
      <c r="T503" s="1374"/>
      <c r="U503" s="1374"/>
      <c r="V503" s="1374"/>
      <c r="W503" s="1374"/>
      <c r="X503" s="1375"/>
    </row>
    <row r="504" spans="1:24" ht="25.5" customHeight="1" x14ac:dyDescent="0.25">
      <c r="A504" s="1989" t="s">
        <v>2225</v>
      </c>
      <c r="B504" s="1987" t="s">
        <v>2515</v>
      </c>
      <c r="C504" s="1985" t="s">
        <v>2516</v>
      </c>
      <c r="D504" s="1377" t="s">
        <v>199</v>
      </c>
      <c r="E504" s="1378" t="s">
        <v>129</v>
      </c>
      <c r="F504" s="1378" t="s">
        <v>90</v>
      </c>
      <c r="G504" s="1378" t="s">
        <v>1752</v>
      </c>
      <c r="H504" s="1374"/>
      <c r="I504" s="1374"/>
      <c r="J504" s="1374"/>
      <c r="K504" s="1374"/>
      <c r="L504" s="1374"/>
      <c r="M504" s="1374">
        <f>-3920000-1058400</f>
        <v>-4978400</v>
      </c>
      <c r="N504" s="1374"/>
      <c r="O504" s="1374"/>
      <c r="P504" s="1375"/>
      <c r="Q504" s="1376"/>
      <c r="R504" s="1374"/>
      <c r="S504" s="1374"/>
      <c r="T504" s="1374"/>
      <c r="U504" s="1374"/>
      <c r="V504" s="1374"/>
      <c r="W504" s="1374"/>
      <c r="X504" s="1375"/>
    </row>
    <row r="505" spans="1:24" ht="25.5" customHeight="1" x14ac:dyDescent="0.25">
      <c r="A505" s="1990"/>
      <c r="B505" s="1988"/>
      <c r="C505" s="1986"/>
      <c r="D505" s="1377" t="s">
        <v>194</v>
      </c>
      <c r="E505" s="1378" t="s">
        <v>2477</v>
      </c>
      <c r="F505" s="1378" t="s">
        <v>2476</v>
      </c>
      <c r="G505" s="1378" t="s">
        <v>1754</v>
      </c>
      <c r="H505" s="1374"/>
      <c r="I505" s="1374"/>
      <c r="J505" s="1374">
        <f>3920000+1058400</f>
        <v>4978400</v>
      </c>
      <c r="K505" s="1374"/>
      <c r="L505" s="1374"/>
      <c r="M505" s="1374"/>
      <c r="N505" s="1374"/>
      <c r="O505" s="1374"/>
      <c r="P505" s="1375"/>
      <c r="Q505" s="1376"/>
      <c r="R505" s="1374"/>
      <c r="S505" s="1374"/>
      <c r="T505" s="1374"/>
      <c r="U505" s="1374"/>
      <c r="V505" s="1374"/>
      <c r="W505" s="1374"/>
      <c r="X505" s="1375"/>
    </row>
    <row r="506" spans="1:24" ht="22.5" customHeight="1" x14ac:dyDescent="0.25">
      <c r="A506" s="1989" t="s">
        <v>2227</v>
      </c>
      <c r="B506" s="1987" t="s">
        <v>2520</v>
      </c>
      <c r="C506" s="1985" t="s">
        <v>2521</v>
      </c>
      <c r="D506" s="1377" t="s">
        <v>204</v>
      </c>
      <c r="E506" s="1378" t="s">
        <v>1753</v>
      </c>
      <c r="F506" s="1378" t="s">
        <v>1761</v>
      </c>
      <c r="G506" s="1378" t="s">
        <v>1754</v>
      </c>
      <c r="H506" s="1374"/>
      <c r="I506" s="1374"/>
      <c r="J506" s="1374"/>
      <c r="K506" s="1374"/>
      <c r="L506" s="1374"/>
      <c r="M506" s="1374"/>
      <c r="N506" s="1374"/>
      <c r="O506" s="1374"/>
      <c r="P506" s="1375"/>
      <c r="Q506" s="1376"/>
      <c r="R506" s="1374"/>
      <c r="S506" s="1374">
        <v>6185301</v>
      </c>
      <c r="T506" s="1374"/>
      <c r="U506" s="1374"/>
      <c r="V506" s="1374"/>
      <c r="W506" s="1374"/>
      <c r="X506" s="1375"/>
    </row>
    <row r="507" spans="1:24" ht="22.5" customHeight="1" x14ac:dyDescent="0.25">
      <c r="A507" s="1990"/>
      <c r="B507" s="1988"/>
      <c r="C507" s="1986"/>
      <c r="D507" s="1377" t="s">
        <v>201</v>
      </c>
      <c r="E507" s="1378" t="s">
        <v>73</v>
      </c>
      <c r="F507" s="1378" t="s">
        <v>1785</v>
      </c>
      <c r="G507" s="1378" t="s">
        <v>1754</v>
      </c>
      <c r="H507" s="1374"/>
      <c r="I507" s="1374"/>
      <c r="J507" s="1374"/>
      <c r="K507" s="1374"/>
      <c r="L507" s="1374">
        <v>6185301</v>
      </c>
      <c r="M507" s="1374"/>
      <c r="N507" s="1374"/>
      <c r="O507" s="1374"/>
      <c r="P507" s="1375"/>
      <c r="Q507" s="1376"/>
      <c r="R507" s="1374"/>
      <c r="S507" s="1374"/>
      <c r="T507" s="1374"/>
      <c r="U507" s="1374"/>
      <c r="V507" s="1374"/>
      <c r="W507" s="1374"/>
      <c r="X507" s="1375"/>
    </row>
    <row r="508" spans="1:24" ht="33" customHeight="1" x14ac:dyDescent="0.25">
      <c r="A508" s="1481" t="s">
        <v>2229</v>
      </c>
      <c r="B508" s="1479" t="s">
        <v>2522</v>
      </c>
      <c r="C508" s="1477" t="s">
        <v>2523</v>
      </c>
      <c r="D508" s="1377" t="s">
        <v>194</v>
      </c>
      <c r="E508" s="1378" t="s">
        <v>1940</v>
      </c>
      <c r="F508" s="1378" t="s">
        <v>1939</v>
      </c>
      <c r="G508" s="1378" t="s">
        <v>1766</v>
      </c>
      <c r="H508" s="1374"/>
      <c r="I508" s="1374"/>
      <c r="J508" s="1374">
        <f>-2000000+2000000</f>
        <v>0</v>
      </c>
      <c r="K508" s="1374"/>
      <c r="L508" s="1374"/>
      <c r="M508" s="1374"/>
      <c r="N508" s="1374"/>
      <c r="O508" s="1374"/>
      <c r="P508" s="1375"/>
      <c r="Q508" s="1376"/>
      <c r="R508" s="1374"/>
      <c r="S508" s="1374"/>
      <c r="T508" s="1374"/>
      <c r="U508" s="1374"/>
      <c r="V508" s="1374"/>
      <c r="W508" s="1374"/>
      <c r="X508" s="1375"/>
    </row>
    <row r="509" spans="1:24" ht="30.75" customHeight="1" x14ac:dyDescent="0.25">
      <c r="A509" s="1481" t="s">
        <v>2231</v>
      </c>
      <c r="B509" s="1479" t="s">
        <v>2524</v>
      </c>
      <c r="C509" s="1477" t="s">
        <v>2259</v>
      </c>
      <c r="D509" s="1377" t="s">
        <v>194</v>
      </c>
      <c r="E509" s="1378" t="s">
        <v>130</v>
      </c>
      <c r="F509" s="1378" t="s">
        <v>65</v>
      </c>
      <c r="G509" s="1378" t="s">
        <v>1754</v>
      </c>
      <c r="H509" s="1374"/>
      <c r="I509" s="1374"/>
      <c r="J509" s="1374"/>
      <c r="K509" s="1374"/>
      <c r="L509" s="1374"/>
      <c r="M509" s="1374"/>
      <c r="N509" s="1374"/>
      <c r="O509" s="1374">
        <v>156250</v>
      </c>
      <c r="P509" s="1375"/>
      <c r="Q509" s="1376"/>
      <c r="R509" s="1374"/>
      <c r="S509" s="1374"/>
      <c r="T509" s="1374"/>
      <c r="U509" s="1374"/>
      <c r="V509" s="1374"/>
      <c r="W509" s="1374">
        <v>156250</v>
      </c>
      <c r="X509" s="1375"/>
    </row>
    <row r="510" spans="1:24" ht="24.75" customHeight="1" x14ac:dyDescent="0.25">
      <c r="A510" s="1989" t="s">
        <v>2253</v>
      </c>
      <c r="B510" s="1987" t="s">
        <v>2525</v>
      </c>
      <c r="C510" s="1985" t="s">
        <v>2526</v>
      </c>
      <c r="D510" s="1377" t="s">
        <v>194</v>
      </c>
      <c r="E510" s="1378" t="s">
        <v>130</v>
      </c>
      <c r="F510" s="1378" t="s">
        <v>2098</v>
      </c>
      <c r="G510" s="1378" t="s">
        <v>1754</v>
      </c>
      <c r="H510" s="1374"/>
      <c r="I510" s="1374"/>
      <c r="J510" s="1374"/>
      <c r="K510" s="1374"/>
      <c r="L510" s="1374"/>
      <c r="M510" s="1374"/>
      <c r="N510" s="1374"/>
      <c r="O510" s="1374"/>
      <c r="P510" s="1375"/>
      <c r="Q510" s="1376"/>
      <c r="R510" s="1374"/>
      <c r="S510" s="1374"/>
      <c r="T510" s="1374">
        <v>1379900</v>
      </c>
      <c r="U510" s="1374"/>
      <c r="V510" s="1374"/>
      <c r="W510" s="1374"/>
      <c r="X510" s="1375"/>
    </row>
    <row r="511" spans="1:24" ht="24.75" customHeight="1" x14ac:dyDescent="0.25">
      <c r="A511" s="1990"/>
      <c r="B511" s="1988"/>
      <c r="C511" s="1986"/>
      <c r="D511" s="1377" t="s">
        <v>201</v>
      </c>
      <c r="E511" s="1378" t="s">
        <v>73</v>
      </c>
      <c r="F511" s="1378" t="s">
        <v>1785</v>
      </c>
      <c r="G511" s="1378" t="s">
        <v>1754</v>
      </c>
      <c r="H511" s="1374"/>
      <c r="I511" s="1374"/>
      <c r="J511" s="1374"/>
      <c r="K511" s="1374"/>
      <c r="L511" s="1374">
        <v>1379900</v>
      </c>
      <c r="M511" s="1374"/>
      <c r="N511" s="1374"/>
      <c r="O511" s="1374"/>
      <c r="P511" s="1375"/>
      <c r="Q511" s="1376"/>
      <c r="R511" s="1374"/>
      <c r="S511" s="1374"/>
      <c r="T511" s="1374"/>
      <c r="U511" s="1374"/>
      <c r="V511" s="1374"/>
      <c r="W511" s="1374"/>
      <c r="X511" s="1375"/>
    </row>
    <row r="512" spans="1:24" ht="26.25" customHeight="1" x14ac:dyDescent="0.25">
      <c r="A512" s="1989" t="s">
        <v>2256</v>
      </c>
      <c r="B512" s="1987" t="s">
        <v>2527</v>
      </c>
      <c r="C512" s="1996" t="s">
        <v>2533</v>
      </c>
      <c r="D512" s="1377" t="s">
        <v>201</v>
      </c>
      <c r="E512" s="1378" t="s">
        <v>73</v>
      </c>
      <c r="F512" s="1378" t="s">
        <v>1785</v>
      </c>
      <c r="G512" s="1378" t="s">
        <v>1752</v>
      </c>
      <c r="H512" s="1374"/>
      <c r="I512" s="1374"/>
      <c r="J512" s="1374"/>
      <c r="K512" s="1374"/>
      <c r="L512" s="1374">
        <v>-747046</v>
      </c>
      <c r="M512" s="1374"/>
      <c r="N512" s="1374"/>
      <c r="O512" s="1374"/>
      <c r="P512" s="1375"/>
      <c r="Q512" s="1376"/>
      <c r="R512" s="1374"/>
      <c r="S512" s="1374"/>
      <c r="T512" s="1374"/>
      <c r="U512" s="1374"/>
      <c r="V512" s="1374"/>
      <c r="W512" s="1374"/>
      <c r="X512" s="1375"/>
    </row>
    <row r="513" spans="1:24" ht="26.25" customHeight="1" x14ac:dyDescent="0.25">
      <c r="A513" s="1990"/>
      <c r="B513" s="1988"/>
      <c r="C513" s="1996"/>
      <c r="D513" s="1377" t="s">
        <v>199</v>
      </c>
      <c r="E513" s="1378" t="s">
        <v>561</v>
      </c>
      <c r="F513" s="1378" t="s">
        <v>867</v>
      </c>
      <c r="G513" s="1378" t="s">
        <v>1754</v>
      </c>
      <c r="H513" s="1374"/>
      <c r="I513" s="1374"/>
      <c r="J513" s="1374"/>
      <c r="K513" s="1374"/>
      <c r="L513" s="1374"/>
      <c r="M513" s="1374">
        <f>725575+21471</f>
        <v>747046</v>
      </c>
      <c r="N513" s="1374"/>
      <c r="O513" s="1374"/>
      <c r="P513" s="1375"/>
      <c r="Q513" s="1376"/>
      <c r="R513" s="1374"/>
      <c r="S513" s="1374"/>
      <c r="T513" s="1374"/>
      <c r="U513" s="1374"/>
      <c r="V513" s="1374"/>
      <c r="W513" s="1374"/>
      <c r="X513" s="1375"/>
    </row>
    <row r="514" spans="1:24" ht="46.5" customHeight="1" x14ac:dyDescent="0.25">
      <c r="A514" s="1989" t="s">
        <v>2258</v>
      </c>
      <c r="B514" s="1987" t="s">
        <v>2542</v>
      </c>
      <c r="C514" s="1985" t="s">
        <v>2543</v>
      </c>
      <c r="D514" s="1377" t="s">
        <v>204</v>
      </c>
      <c r="E514" s="1378" t="s">
        <v>1753</v>
      </c>
      <c r="F514" s="1378" t="s">
        <v>1784</v>
      </c>
      <c r="G514" s="1378" t="s">
        <v>1754</v>
      </c>
      <c r="H514" s="1374"/>
      <c r="I514" s="1374"/>
      <c r="J514" s="1374"/>
      <c r="K514" s="1374"/>
      <c r="L514" s="1374"/>
      <c r="M514" s="1374"/>
      <c r="N514" s="1374"/>
      <c r="O514" s="1374"/>
      <c r="P514" s="1375"/>
      <c r="Q514" s="1376">
        <v>189906276</v>
      </c>
      <c r="R514" s="1374"/>
      <c r="S514" s="1374"/>
      <c r="T514" s="1374"/>
      <c r="U514" s="1374"/>
      <c r="V514" s="1374"/>
      <c r="W514" s="1374"/>
      <c r="X514" s="1375"/>
    </row>
    <row r="515" spans="1:24" ht="46.5" customHeight="1" x14ac:dyDescent="0.25">
      <c r="A515" s="1990"/>
      <c r="B515" s="1988"/>
      <c r="C515" s="1986"/>
      <c r="D515" s="1377" t="s">
        <v>201</v>
      </c>
      <c r="E515" s="1378" t="s">
        <v>73</v>
      </c>
      <c r="F515" s="1378" t="s">
        <v>1785</v>
      </c>
      <c r="G515" s="1378" t="s">
        <v>1754</v>
      </c>
      <c r="H515" s="1374"/>
      <c r="I515" s="1374"/>
      <c r="J515" s="1374"/>
      <c r="K515" s="1374"/>
      <c r="L515" s="1374">
        <v>189906276</v>
      </c>
      <c r="M515" s="1374"/>
      <c r="N515" s="1374"/>
      <c r="O515" s="1374"/>
      <c r="P515" s="1375"/>
      <c r="Q515" s="1376"/>
      <c r="R515" s="1374"/>
      <c r="S515" s="1374"/>
      <c r="T515" s="1374"/>
      <c r="U515" s="1374"/>
      <c r="V515" s="1374"/>
      <c r="W515" s="1374"/>
      <c r="X515" s="1375"/>
    </row>
    <row r="516" spans="1:24" ht="27" customHeight="1" x14ac:dyDescent="0.25">
      <c r="A516" s="1989" t="s">
        <v>2589</v>
      </c>
      <c r="B516" s="1987" t="s">
        <v>2590</v>
      </c>
      <c r="C516" s="1985" t="s">
        <v>2591</v>
      </c>
      <c r="D516" s="1377" t="s">
        <v>198</v>
      </c>
      <c r="E516" s="1378" t="s">
        <v>129</v>
      </c>
      <c r="F516" s="1378" t="s">
        <v>2592</v>
      </c>
      <c r="G516" s="1378" t="s">
        <v>1752</v>
      </c>
      <c r="H516" s="1374"/>
      <c r="I516" s="1374"/>
      <c r="J516" s="1374"/>
      <c r="K516" s="1374"/>
      <c r="L516" s="1374">
        <v>-1811551</v>
      </c>
      <c r="M516" s="1374"/>
      <c r="N516" s="1374"/>
      <c r="O516" s="1374"/>
      <c r="P516" s="1375"/>
      <c r="Q516" s="1376"/>
      <c r="R516" s="1374"/>
      <c r="S516" s="1374"/>
      <c r="T516" s="1374"/>
      <c r="U516" s="1374"/>
      <c r="V516" s="1374"/>
      <c r="W516" s="1374"/>
      <c r="X516" s="1375"/>
    </row>
    <row r="517" spans="1:24" ht="27" customHeight="1" x14ac:dyDescent="0.25">
      <c r="A517" s="1990"/>
      <c r="B517" s="1988"/>
      <c r="C517" s="1986"/>
      <c r="D517" s="1377" t="s">
        <v>197</v>
      </c>
      <c r="E517" s="1378" t="s">
        <v>129</v>
      </c>
      <c r="F517" s="1378" t="s">
        <v>2592</v>
      </c>
      <c r="G517" s="1378" t="s">
        <v>1754</v>
      </c>
      <c r="H517" s="1374"/>
      <c r="I517" s="1374"/>
      <c r="J517" s="1374"/>
      <c r="K517" s="1374"/>
      <c r="L517" s="1374"/>
      <c r="M517" s="1374"/>
      <c r="N517" s="1374"/>
      <c r="O517" s="1374">
        <v>1811551</v>
      </c>
      <c r="P517" s="1375"/>
      <c r="Q517" s="1376"/>
      <c r="R517" s="1374"/>
      <c r="S517" s="1374"/>
      <c r="T517" s="1374"/>
      <c r="U517" s="1374"/>
      <c r="V517" s="1374"/>
      <c r="W517" s="1374"/>
      <c r="X517" s="1375"/>
    </row>
    <row r="518" spans="1:24" ht="25.5" customHeight="1" x14ac:dyDescent="0.25">
      <c r="A518" s="1989" t="s">
        <v>2260</v>
      </c>
      <c r="B518" s="1987" t="s">
        <v>2557</v>
      </c>
      <c r="C518" s="1996" t="s">
        <v>2558</v>
      </c>
      <c r="D518" s="953" t="s">
        <v>201</v>
      </c>
      <c r="E518" s="1378" t="s">
        <v>73</v>
      </c>
      <c r="F518" s="1378" t="s">
        <v>1785</v>
      </c>
      <c r="G518" s="1378" t="s">
        <v>1752</v>
      </c>
      <c r="H518" s="1374"/>
      <c r="I518" s="1374"/>
      <c r="J518" s="1374"/>
      <c r="K518" s="1374"/>
      <c r="L518" s="1374">
        <v>-5905500</v>
      </c>
      <c r="M518" s="1374"/>
      <c r="N518" s="1374"/>
      <c r="O518" s="1374"/>
      <c r="P518" s="1375"/>
      <c r="Q518" s="1376"/>
      <c r="R518" s="1374"/>
      <c r="S518" s="1374"/>
      <c r="T518" s="1374"/>
      <c r="U518" s="1374"/>
      <c r="V518" s="1374"/>
      <c r="W518" s="1374"/>
      <c r="X518" s="1375"/>
    </row>
    <row r="519" spans="1:24" ht="25.5" customHeight="1" x14ac:dyDescent="0.25">
      <c r="A519" s="1990"/>
      <c r="B519" s="1988"/>
      <c r="C519" s="1996"/>
      <c r="D519" s="953" t="s">
        <v>199</v>
      </c>
      <c r="E519" s="1378" t="s">
        <v>62</v>
      </c>
      <c r="F519" s="1378" t="s">
        <v>541</v>
      </c>
      <c r="G519" s="1378" t="s">
        <v>1754</v>
      </c>
      <c r="H519" s="1374"/>
      <c r="I519" s="1374"/>
      <c r="J519" s="1374"/>
      <c r="K519" s="1374"/>
      <c r="L519" s="1374"/>
      <c r="M519" s="1374">
        <f>4650000+1255500</f>
        <v>5905500</v>
      </c>
      <c r="N519" s="1374"/>
      <c r="O519" s="1374"/>
      <c r="P519" s="1375"/>
      <c r="Q519" s="1376"/>
      <c r="R519" s="1374"/>
      <c r="S519" s="1374"/>
      <c r="T519" s="1374"/>
      <c r="U519" s="1374"/>
      <c r="V519" s="1374"/>
      <c r="W519" s="1374"/>
      <c r="X519" s="1375"/>
    </row>
    <row r="520" spans="1:24" ht="23.25" customHeight="1" x14ac:dyDescent="0.25">
      <c r="A520" s="1989" t="s">
        <v>2262</v>
      </c>
      <c r="B520" s="1987" t="s">
        <v>2559</v>
      </c>
      <c r="C520" s="1985" t="s">
        <v>2560</v>
      </c>
      <c r="D520" s="953" t="s">
        <v>201</v>
      </c>
      <c r="E520" s="1378" t="s">
        <v>73</v>
      </c>
      <c r="F520" s="1378" t="s">
        <v>1785</v>
      </c>
      <c r="G520" s="1378" t="s">
        <v>1752</v>
      </c>
      <c r="H520" s="1374"/>
      <c r="I520" s="1374"/>
      <c r="J520" s="1374"/>
      <c r="K520" s="1374"/>
      <c r="L520" s="1374">
        <v>-500000</v>
      </c>
      <c r="M520" s="1374"/>
      <c r="N520" s="1374"/>
      <c r="O520" s="1374"/>
      <c r="P520" s="1375"/>
      <c r="Q520" s="1376"/>
      <c r="R520" s="1374"/>
      <c r="S520" s="1374"/>
      <c r="T520" s="1374"/>
      <c r="U520" s="1374"/>
      <c r="V520" s="1374"/>
      <c r="W520" s="1374"/>
      <c r="X520" s="1375"/>
    </row>
    <row r="521" spans="1:24" ht="23.25" customHeight="1" x14ac:dyDescent="0.25">
      <c r="A521" s="1990"/>
      <c r="B521" s="1988"/>
      <c r="C521" s="1986"/>
      <c r="D521" s="953" t="s">
        <v>198</v>
      </c>
      <c r="E521" s="1378" t="s">
        <v>620</v>
      </c>
      <c r="F521" s="1378" t="s">
        <v>1830</v>
      </c>
      <c r="G521" s="1378" t="s">
        <v>1754</v>
      </c>
      <c r="H521" s="1374"/>
      <c r="I521" s="1374"/>
      <c r="J521" s="1374"/>
      <c r="K521" s="1374"/>
      <c r="L521" s="1374">
        <v>500000</v>
      </c>
      <c r="M521" s="1374"/>
      <c r="N521" s="1374"/>
      <c r="O521" s="1374"/>
      <c r="P521" s="1375"/>
      <c r="Q521" s="1376"/>
      <c r="R521" s="1374"/>
      <c r="S521" s="1374"/>
      <c r="T521" s="1374"/>
      <c r="U521" s="1374"/>
      <c r="V521" s="1374"/>
      <c r="W521" s="1374"/>
      <c r="X521" s="1375"/>
    </row>
    <row r="522" spans="1:24" ht="24" customHeight="1" x14ac:dyDescent="0.25">
      <c r="A522" s="1989" t="s">
        <v>2265</v>
      </c>
      <c r="B522" s="1987" t="s">
        <v>2562</v>
      </c>
      <c r="C522" s="1996" t="s">
        <v>2563</v>
      </c>
      <c r="D522" s="953" t="s">
        <v>201</v>
      </c>
      <c r="E522" s="1378" t="s">
        <v>73</v>
      </c>
      <c r="F522" s="1378" t="s">
        <v>1785</v>
      </c>
      <c r="G522" s="1378" t="s">
        <v>1752</v>
      </c>
      <c r="H522" s="1374"/>
      <c r="I522" s="1374"/>
      <c r="J522" s="1374"/>
      <c r="K522" s="1374"/>
      <c r="L522" s="1374">
        <v>-3556000</v>
      </c>
      <c r="M522" s="1374"/>
      <c r="N522" s="1374"/>
      <c r="O522" s="1374"/>
      <c r="P522" s="1375"/>
      <c r="Q522" s="1376"/>
      <c r="R522" s="1374"/>
      <c r="S522" s="1374"/>
      <c r="T522" s="1374"/>
      <c r="U522" s="1374"/>
      <c r="V522" s="1374"/>
      <c r="W522" s="1374"/>
      <c r="X522" s="1375"/>
    </row>
    <row r="523" spans="1:24" ht="24" customHeight="1" x14ac:dyDescent="0.25">
      <c r="A523" s="1990"/>
      <c r="B523" s="1988"/>
      <c r="C523" s="1996"/>
      <c r="D523" s="953" t="s">
        <v>199</v>
      </c>
      <c r="E523" s="1378" t="s">
        <v>844</v>
      </c>
      <c r="F523" s="1378" t="s">
        <v>541</v>
      </c>
      <c r="G523" s="1378" t="s">
        <v>1754</v>
      </c>
      <c r="H523" s="1374"/>
      <c r="I523" s="1374"/>
      <c r="J523" s="1374"/>
      <c r="K523" s="1374"/>
      <c r="L523" s="1374"/>
      <c r="M523" s="1374">
        <f>2800000+756000</f>
        <v>3556000</v>
      </c>
      <c r="N523" s="1374"/>
      <c r="O523" s="1374"/>
      <c r="P523" s="1375"/>
      <c r="Q523" s="1376"/>
      <c r="R523" s="1374"/>
      <c r="S523" s="1374"/>
      <c r="T523" s="1374"/>
      <c r="U523" s="1374"/>
      <c r="V523" s="1374"/>
      <c r="W523" s="1374"/>
      <c r="X523" s="1375"/>
    </row>
    <row r="524" spans="1:24" ht="24" customHeight="1" x14ac:dyDescent="0.25">
      <c r="A524" s="1989" t="s">
        <v>2267</v>
      </c>
      <c r="B524" s="1987" t="s">
        <v>2565</v>
      </c>
      <c r="C524" s="1996" t="s">
        <v>2944</v>
      </c>
      <c r="D524" s="953" t="s">
        <v>201</v>
      </c>
      <c r="E524" s="1378" t="s">
        <v>73</v>
      </c>
      <c r="F524" s="1378" t="s">
        <v>1785</v>
      </c>
      <c r="G524" s="1378" t="s">
        <v>1752</v>
      </c>
      <c r="H524" s="1374"/>
      <c r="I524" s="1374"/>
      <c r="J524" s="1374"/>
      <c r="K524" s="1374"/>
      <c r="L524" s="1374">
        <v>-772160</v>
      </c>
      <c r="M524" s="1374"/>
      <c r="N524" s="1374"/>
      <c r="O524" s="1374"/>
      <c r="P524" s="1375"/>
      <c r="Q524" s="1376"/>
      <c r="R524" s="1374"/>
      <c r="S524" s="1374"/>
      <c r="T524" s="1374"/>
      <c r="U524" s="1374"/>
      <c r="V524" s="1374"/>
      <c r="W524" s="1374"/>
      <c r="X524" s="1375"/>
    </row>
    <row r="525" spans="1:24" ht="24" customHeight="1" x14ac:dyDescent="0.25">
      <c r="A525" s="1990"/>
      <c r="B525" s="1988"/>
      <c r="C525" s="1996"/>
      <c r="D525" s="953" t="s">
        <v>199</v>
      </c>
      <c r="E525" s="1378" t="s">
        <v>167</v>
      </c>
      <c r="F525" s="1378" t="s">
        <v>2566</v>
      </c>
      <c r="G525" s="1378" t="s">
        <v>1754</v>
      </c>
      <c r="H525" s="1374"/>
      <c r="I525" s="1374"/>
      <c r="J525" s="1374"/>
      <c r="K525" s="1374"/>
      <c r="L525" s="1374"/>
      <c r="M525" s="1374">
        <f>608000+164160</f>
        <v>772160</v>
      </c>
      <c r="N525" s="1374"/>
      <c r="O525" s="1374"/>
      <c r="P525" s="1375"/>
      <c r="Q525" s="1376"/>
      <c r="R525" s="1374"/>
      <c r="S525" s="1374"/>
      <c r="T525" s="1374"/>
      <c r="U525" s="1374"/>
      <c r="V525" s="1374"/>
      <c r="W525" s="1374"/>
      <c r="X525" s="1375"/>
    </row>
    <row r="526" spans="1:24" ht="31.5" customHeight="1" x14ac:dyDescent="0.25">
      <c r="A526" s="1989" t="s">
        <v>2269</v>
      </c>
      <c r="B526" s="1987" t="s">
        <v>2569</v>
      </c>
      <c r="C526" s="1996" t="s">
        <v>2570</v>
      </c>
      <c r="D526" s="953" t="s">
        <v>201</v>
      </c>
      <c r="E526" s="1378" t="s">
        <v>73</v>
      </c>
      <c r="F526" s="1378" t="s">
        <v>1785</v>
      </c>
      <c r="G526" s="1378" t="s">
        <v>1752</v>
      </c>
      <c r="H526" s="1374"/>
      <c r="I526" s="1374"/>
      <c r="J526" s="1374"/>
      <c r="K526" s="1374"/>
      <c r="L526" s="1374">
        <v>-75000</v>
      </c>
      <c r="M526" s="1374"/>
      <c r="N526" s="1374"/>
      <c r="O526" s="1374"/>
      <c r="P526" s="1375"/>
      <c r="Q526" s="1376"/>
      <c r="R526" s="1374"/>
      <c r="S526" s="1374"/>
      <c r="T526" s="1374"/>
      <c r="U526" s="1374"/>
      <c r="V526" s="1374"/>
      <c r="W526" s="1374"/>
      <c r="X526" s="1375"/>
    </row>
    <row r="527" spans="1:24" ht="31.5" customHeight="1" x14ac:dyDescent="0.25">
      <c r="A527" s="1990"/>
      <c r="B527" s="1988"/>
      <c r="C527" s="1996"/>
      <c r="D527" s="953" t="s">
        <v>194</v>
      </c>
      <c r="E527" s="1378" t="s">
        <v>130</v>
      </c>
      <c r="F527" s="1378" t="s">
        <v>1865</v>
      </c>
      <c r="G527" s="1378" t="s">
        <v>1754</v>
      </c>
      <c r="H527" s="1374"/>
      <c r="I527" s="1374"/>
      <c r="J527" s="1374">
        <f>59055+15945</f>
        <v>75000</v>
      </c>
      <c r="K527" s="1374"/>
      <c r="L527" s="1374"/>
      <c r="M527" s="1374"/>
      <c r="N527" s="1374"/>
      <c r="O527" s="1374"/>
      <c r="P527" s="1375"/>
      <c r="Q527" s="1376"/>
      <c r="R527" s="1374"/>
      <c r="S527" s="1374"/>
      <c r="T527" s="1374"/>
      <c r="U527" s="1374"/>
      <c r="V527" s="1374"/>
      <c r="W527" s="1374"/>
      <c r="X527" s="1375"/>
    </row>
    <row r="528" spans="1:24" ht="24" customHeight="1" x14ac:dyDescent="0.25">
      <c r="A528" s="1989" t="s">
        <v>2273</v>
      </c>
      <c r="B528" s="1987" t="s">
        <v>2571</v>
      </c>
      <c r="C528" s="1985" t="s">
        <v>2572</v>
      </c>
      <c r="D528" s="953" t="s">
        <v>199</v>
      </c>
      <c r="E528" s="1378" t="s">
        <v>601</v>
      </c>
      <c r="F528" s="1378" t="s">
        <v>127</v>
      </c>
      <c r="G528" s="1378" t="s">
        <v>1752</v>
      </c>
      <c r="H528" s="1374"/>
      <c r="I528" s="1374"/>
      <c r="J528" s="1374"/>
      <c r="K528" s="1374"/>
      <c r="L528" s="1374"/>
      <c r="M528" s="1374">
        <f>-1313592-489669-1380109-372630</f>
        <v>-3556000</v>
      </c>
      <c r="N528" s="1374"/>
      <c r="O528" s="1374"/>
      <c r="P528" s="1375"/>
      <c r="Q528" s="1376"/>
      <c r="R528" s="1374"/>
      <c r="S528" s="1374"/>
      <c r="T528" s="1374"/>
      <c r="U528" s="1374"/>
      <c r="V528" s="1374"/>
      <c r="W528" s="1374"/>
      <c r="X528" s="1375"/>
    </row>
    <row r="529" spans="1:24" ht="24" customHeight="1" x14ac:dyDescent="0.25">
      <c r="A529" s="1990"/>
      <c r="B529" s="1988"/>
      <c r="C529" s="1986"/>
      <c r="D529" s="953" t="s">
        <v>194</v>
      </c>
      <c r="E529" s="1378" t="s">
        <v>2054</v>
      </c>
      <c r="F529" s="1378" t="s">
        <v>2053</v>
      </c>
      <c r="G529" s="1378" t="s">
        <v>1754</v>
      </c>
      <c r="H529" s="1374"/>
      <c r="I529" s="1374"/>
      <c r="J529" s="1374">
        <f>2800000+756000</f>
        <v>3556000</v>
      </c>
      <c r="K529" s="1374"/>
      <c r="L529" s="1374"/>
      <c r="M529" s="1374"/>
      <c r="N529" s="1374"/>
      <c r="O529" s="1374"/>
      <c r="P529" s="1375"/>
      <c r="Q529" s="1376"/>
      <c r="R529" s="1374"/>
      <c r="S529" s="1374"/>
      <c r="T529" s="1374"/>
      <c r="U529" s="1374"/>
      <c r="V529" s="1374"/>
      <c r="W529" s="1374"/>
      <c r="X529" s="1375"/>
    </row>
    <row r="530" spans="1:24" ht="27" customHeight="1" x14ac:dyDescent="0.25">
      <c r="A530" s="1481" t="s">
        <v>2274</v>
      </c>
      <c r="B530" s="1479" t="s">
        <v>2573</v>
      </c>
      <c r="C530" s="1482" t="s">
        <v>2574</v>
      </c>
      <c r="D530" s="953" t="s">
        <v>194</v>
      </c>
      <c r="E530" s="1378" t="s">
        <v>2054</v>
      </c>
      <c r="F530" s="1378" t="s">
        <v>2053</v>
      </c>
      <c r="G530" s="1378" t="s">
        <v>1766</v>
      </c>
      <c r="H530" s="1374"/>
      <c r="I530" s="1374"/>
      <c r="J530" s="1374">
        <f>-6527121+6527121</f>
        <v>0</v>
      </c>
      <c r="K530" s="1374"/>
      <c r="L530" s="1374"/>
      <c r="M530" s="1374"/>
      <c r="N530" s="1374"/>
      <c r="O530" s="1374"/>
      <c r="P530" s="1375"/>
      <c r="Q530" s="1376"/>
      <c r="R530" s="1374"/>
      <c r="S530" s="1374"/>
      <c r="T530" s="1374"/>
      <c r="U530" s="1374"/>
      <c r="V530" s="1374"/>
      <c r="W530" s="1374"/>
      <c r="X530" s="1375"/>
    </row>
    <row r="531" spans="1:24" ht="24" customHeight="1" x14ac:dyDescent="0.25">
      <c r="A531" s="1989" t="s">
        <v>2277</v>
      </c>
      <c r="B531" s="1987" t="s">
        <v>2575</v>
      </c>
      <c r="C531" s="1996" t="s">
        <v>2576</v>
      </c>
      <c r="D531" s="953" t="s">
        <v>201</v>
      </c>
      <c r="E531" s="1378" t="s">
        <v>73</v>
      </c>
      <c r="F531" s="1378" t="s">
        <v>1785</v>
      </c>
      <c r="G531" s="1378" t="s">
        <v>1752</v>
      </c>
      <c r="H531" s="1374"/>
      <c r="I531" s="1374"/>
      <c r="J531" s="1374"/>
      <c r="K531" s="1374"/>
      <c r="L531" s="1374">
        <v>-708660</v>
      </c>
      <c r="M531" s="1374"/>
      <c r="N531" s="1374"/>
      <c r="O531" s="1374"/>
      <c r="P531" s="1375"/>
      <c r="Q531" s="1376"/>
      <c r="R531" s="1374"/>
      <c r="S531" s="1374"/>
      <c r="T531" s="1374"/>
      <c r="U531" s="1374"/>
      <c r="V531" s="1374"/>
      <c r="W531" s="1374"/>
      <c r="X531" s="1375"/>
    </row>
    <row r="532" spans="1:24" ht="24" customHeight="1" x14ac:dyDescent="0.25">
      <c r="A532" s="1990"/>
      <c r="B532" s="1988"/>
      <c r="C532" s="1996"/>
      <c r="D532" s="953" t="s">
        <v>203</v>
      </c>
      <c r="E532" s="1378" t="s">
        <v>1297</v>
      </c>
      <c r="F532" s="1378" t="s">
        <v>550</v>
      </c>
      <c r="G532" s="1378" t="s">
        <v>1754</v>
      </c>
      <c r="H532" s="1374"/>
      <c r="I532" s="1374"/>
      <c r="J532" s="1374"/>
      <c r="K532" s="1374"/>
      <c r="L532" s="1374"/>
      <c r="M532" s="1374"/>
      <c r="N532" s="1374"/>
      <c r="O532" s="1374"/>
      <c r="P532" s="1375">
        <v>708660</v>
      </c>
      <c r="Q532" s="1376"/>
      <c r="R532" s="1374"/>
      <c r="S532" s="1374"/>
      <c r="T532" s="1374"/>
      <c r="U532" s="1374"/>
      <c r="V532" s="1374"/>
      <c r="W532" s="1374"/>
      <c r="X532" s="1375"/>
    </row>
    <row r="533" spans="1:24" ht="24" customHeight="1" x14ac:dyDescent="0.25">
      <c r="A533" s="1989" t="s">
        <v>2279</v>
      </c>
      <c r="B533" s="1987" t="s">
        <v>2577</v>
      </c>
      <c r="C533" s="1996" t="s">
        <v>2580</v>
      </c>
      <c r="D533" s="953" t="s">
        <v>201</v>
      </c>
      <c r="E533" s="1378" t="s">
        <v>73</v>
      </c>
      <c r="F533" s="1378" t="s">
        <v>1785</v>
      </c>
      <c r="G533" s="1378" t="s">
        <v>1752</v>
      </c>
      <c r="H533" s="1374"/>
      <c r="I533" s="1374"/>
      <c r="J533" s="1374"/>
      <c r="K533" s="1374"/>
      <c r="L533" s="1374">
        <v>-239848</v>
      </c>
      <c r="M533" s="1374"/>
      <c r="N533" s="1374"/>
      <c r="O533" s="1374"/>
      <c r="P533" s="1375"/>
      <c r="Q533" s="1376"/>
      <c r="R533" s="1374"/>
      <c r="S533" s="1374"/>
      <c r="T533" s="1374"/>
      <c r="U533" s="1374"/>
      <c r="V533" s="1374"/>
      <c r="W533" s="1374"/>
      <c r="X533" s="1375"/>
    </row>
    <row r="534" spans="1:24" ht="24" customHeight="1" x14ac:dyDescent="0.25">
      <c r="A534" s="1990"/>
      <c r="B534" s="1988"/>
      <c r="C534" s="1996"/>
      <c r="D534" s="953" t="s">
        <v>203</v>
      </c>
      <c r="E534" s="1378" t="s">
        <v>1297</v>
      </c>
      <c r="F534" s="1378" t="s">
        <v>550</v>
      </c>
      <c r="G534" s="1378" t="s">
        <v>1754</v>
      </c>
      <c r="H534" s="1374"/>
      <c r="I534" s="1374"/>
      <c r="J534" s="1374"/>
      <c r="K534" s="1374"/>
      <c r="L534" s="1374"/>
      <c r="M534" s="1374"/>
      <c r="N534" s="1374"/>
      <c r="O534" s="1374"/>
      <c r="P534" s="1375">
        <v>239848</v>
      </c>
      <c r="Q534" s="1376"/>
      <c r="R534" s="1374"/>
      <c r="S534" s="1374"/>
      <c r="T534" s="1374"/>
      <c r="U534" s="1374"/>
      <c r="V534" s="1374"/>
      <c r="W534" s="1374"/>
      <c r="X534" s="1375"/>
    </row>
    <row r="535" spans="1:24" ht="23.25" customHeight="1" x14ac:dyDescent="0.25">
      <c r="A535" s="1989" t="s">
        <v>2283</v>
      </c>
      <c r="B535" s="1987" t="s">
        <v>2578</v>
      </c>
      <c r="C535" s="1996" t="s">
        <v>2579</v>
      </c>
      <c r="D535" s="953" t="s">
        <v>201</v>
      </c>
      <c r="E535" s="1378" t="s">
        <v>73</v>
      </c>
      <c r="F535" s="1378" t="s">
        <v>1785</v>
      </c>
      <c r="G535" s="1378" t="s">
        <v>1752</v>
      </c>
      <c r="H535" s="1374"/>
      <c r="I535" s="1374"/>
      <c r="J535" s="1374"/>
      <c r="K535" s="1374"/>
      <c r="L535" s="1374">
        <v>-243382</v>
      </c>
      <c r="M535" s="1374"/>
      <c r="N535" s="1374"/>
      <c r="O535" s="1374"/>
      <c r="P535" s="1375"/>
      <c r="Q535" s="1376"/>
      <c r="R535" s="1374"/>
      <c r="S535" s="1374"/>
      <c r="T535" s="1374"/>
      <c r="U535" s="1374"/>
      <c r="V535" s="1374"/>
      <c r="W535" s="1374"/>
      <c r="X535" s="1375"/>
    </row>
    <row r="536" spans="1:24" ht="23.25" customHeight="1" x14ac:dyDescent="0.25">
      <c r="A536" s="1990"/>
      <c r="B536" s="1988"/>
      <c r="C536" s="1996"/>
      <c r="D536" s="953" t="s">
        <v>203</v>
      </c>
      <c r="E536" s="1378" t="s">
        <v>1297</v>
      </c>
      <c r="F536" s="1378" t="s">
        <v>550</v>
      </c>
      <c r="G536" s="1378" t="s">
        <v>1754</v>
      </c>
      <c r="H536" s="1374"/>
      <c r="I536" s="1374"/>
      <c r="J536" s="1374"/>
      <c r="K536" s="1374"/>
      <c r="L536" s="1374"/>
      <c r="M536" s="1374"/>
      <c r="N536" s="1374"/>
      <c r="O536" s="1374"/>
      <c r="P536" s="1375">
        <v>243382</v>
      </c>
      <c r="Q536" s="1376"/>
      <c r="R536" s="1374"/>
      <c r="S536" s="1374"/>
      <c r="T536" s="1374"/>
      <c r="U536" s="1374"/>
      <c r="V536" s="1374"/>
      <c r="W536" s="1374"/>
      <c r="X536" s="1375"/>
    </row>
    <row r="537" spans="1:24" ht="23.25" customHeight="1" x14ac:dyDescent="0.25">
      <c r="A537" s="1989" t="s">
        <v>2285</v>
      </c>
      <c r="B537" s="1987" t="s">
        <v>2581</v>
      </c>
      <c r="C537" s="1996" t="s">
        <v>2582</v>
      </c>
      <c r="D537" s="953" t="s">
        <v>201</v>
      </c>
      <c r="E537" s="1378" t="s">
        <v>73</v>
      </c>
      <c r="F537" s="1378" t="s">
        <v>1785</v>
      </c>
      <c r="G537" s="1378" t="s">
        <v>1752</v>
      </c>
      <c r="H537" s="1374"/>
      <c r="I537" s="1374"/>
      <c r="J537" s="1374"/>
      <c r="K537" s="1374"/>
      <c r="L537" s="1374">
        <v>-2080500</v>
      </c>
      <c r="M537" s="1374"/>
      <c r="N537" s="1374"/>
      <c r="O537" s="1374"/>
      <c r="P537" s="1375"/>
      <c r="Q537" s="1376"/>
      <c r="R537" s="1374"/>
      <c r="S537" s="1374"/>
      <c r="T537" s="1374"/>
      <c r="U537" s="1374"/>
      <c r="V537" s="1374"/>
      <c r="W537" s="1374"/>
      <c r="X537" s="1375"/>
    </row>
    <row r="538" spans="1:24" ht="23.25" customHeight="1" x14ac:dyDescent="0.25">
      <c r="A538" s="1990"/>
      <c r="B538" s="1988"/>
      <c r="C538" s="1996"/>
      <c r="D538" s="953" t="s">
        <v>203</v>
      </c>
      <c r="E538" s="1378" t="s">
        <v>1297</v>
      </c>
      <c r="F538" s="1378" t="s">
        <v>550</v>
      </c>
      <c r="G538" s="1378" t="s">
        <v>1754</v>
      </c>
      <c r="H538" s="1374"/>
      <c r="I538" s="1374"/>
      <c r="J538" s="1374"/>
      <c r="K538" s="1374"/>
      <c r="L538" s="1374"/>
      <c r="M538" s="1374"/>
      <c r="N538" s="1374"/>
      <c r="O538" s="1374"/>
      <c r="P538" s="1375">
        <v>2080500</v>
      </c>
      <c r="Q538" s="1376"/>
      <c r="R538" s="1374"/>
      <c r="S538" s="1374"/>
      <c r="T538" s="1374"/>
      <c r="U538" s="1374"/>
      <c r="V538" s="1374"/>
      <c r="W538" s="1374"/>
      <c r="X538" s="1375"/>
    </row>
    <row r="539" spans="1:24" ht="24.75" customHeight="1" x14ac:dyDescent="0.25">
      <c r="A539" s="1989" t="s">
        <v>2287</v>
      </c>
      <c r="B539" s="1987" t="s">
        <v>2583</v>
      </c>
      <c r="C539" s="1996" t="s">
        <v>2584</v>
      </c>
      <c r="D539" s="953" t="s">
        <v>201</v>
      </c>
      <c r="E539" s="1378" t="s">
        <v>73</v>
      </c>
      <c r="F539" s="1378" t="s">
        <v>1785</v>
      </c>
      <c r="G539" s="1378" t="s">
        <v>1752</v>
      </c>
      <c r="H539" s="1374"/>
      <c r="I539" s="1374"/>
      <c r="J539" s="1374"/>
      <c r="K539" s="1374"/>
      <c r="L539" s="1374">
        <v>-1030262</v>
      </c>
      <c r="M539" s="1374"/>
      <c r="N539" s="1374"/>
      <c r="O539" s="1374"/>
      <c r="P539" s="1375"/>
      <c r="Q539" s="1376"/>
      <c r="R539" s="1374"/>
      <c r="S539" s="1374"/>
      <c r="T539" s="1374"/>
      <c r="U539" s="1374"/>
      <c r="V539" s="1374"/>
      <c r="W539" s="1374"/>
      <c r="X539" s="1375"/>
    </row>
    <row r="540" spans="1:24" ht="24.75" customHeight="1" x14ac:dyDescent="0.25">
      <c r="A540" s="1990"/>
      <c r="B540" s="1988"/>
      <c r="C540" s="1996"/>
      <c r="D540" s="953" t="s">
        <v>200</v>
      </c>
      <c r="E540" s="1378" t="s">
        <v>575</v>
      </c>
      <c r="F540" s="1378" t="s">
        <v>739</v>
      </c>
      <c r="G540" s="1378" t="s">
        <v>1754</v>
      </c>
      <c r="H540" s="1374"/>
      <c r="I540" s="1374"/>
      <c r="J540" s="1374"/>
      <c r="K540" s="1374"/>
      <c r="L540" s="1374"/>
      <c r="M540" s="1374"/>
      <c r="N540" s="1374">
        <f>811230+219032</f>
        <v>1030262</v>
      </c>
      <c r="O540" s="1374"/>
      <c r="P540" s="1375"/>
      <c r="Q540" s="1376"/>
      <c r="R540" s="1374"/>
      <c r="S540" s="1374"/>
      <c r="T540" s="1374"/>
      <c r="U540" s="1374"/>
      <c r="V540" s="1374"/>
      <c r="W540" s="1374"/>
      <c r="X540" s="1375"/>
    </row>
    <row r="541" spans="1:24" ht="24" customHeight="1" x14ac:dyDescent="0.25">
      <c r="A541" s="1989" t="s">
        <v>2292</v>
      </c>
      <c r="B541" s="1987" t="s">
        <v>2586</v>
      </c>
      <c r="C541" s="1996" t="s">
        <v>2587</v>
      </c>
      <c r="D541" s="953" t="s">
        <v>201</v>
      </c>
      <c r="E541" s="1378" t="s">
        <v>73</v>
      </c>
      <c r="F541" s="1378" t="s">
        <v>1785</v>
      </c>
      <c r="G541" s="1378" t="s">
        <v>1752</v>
      </c>
      <c r="H541" s="1374"/>
      <c r="I541" s="1374"/>
      <c r="J541" s="1374"/>
      <c r="K541" s="1374"/>
      <c r="L541" s="1374">
        <v>-660400</v>
      </c>
      <c r="M541" s="1374"/>
      <c r="N541" s="1374"/>
      <c r="O541" s="1374"/>
      <c r="P541" s="1375"/>
      <c r="Q541" s="1376"/>
      <c r="R541" s="1374"/>
      <c r="S541" s="1374"/>
      <c r="T541" s="1374"/>
      <c r="U541" s="1374"/>
      <c r="V541" s="1374"/>
      <c r="W541" s="1374"/>
      <c r="X541" s="1375"/>
    </row>
    <row r="542" spans="1:24" ht="24" customHeight="1" x14ac:dyDescent="0.25">
      <c r="A542" s="1990"/>
      <c r="B542" s="1988"/>
      <c r="C542" s="1996"/>
      <c r="D542" s="953" t="s">
        <v>203</v>
      </c>
      <c r="E542" s="1378" t="s">
        <v>1297</v>
      </c>
      <c r="F542" s="1378" t="s">
        <v>550</v>
      </c>
      <c r="G542" s="1378" t="s">
        <v>1754</v>
      </c>
      <c r="H542" s="1374"/>
      <c r="I542" s="1374"/>
      <c r="J542" s="1374"/>
      <c r="K542" s="1374"/>
      <c r="L542" s="1374"/>
      <c r="M542" s="1374"/>
      <c r="N542" s="1374"/>
      <c r="O542" s="1374"/>
      <c r="P542" s="1375">
        <v>660400</v>
      </c>
      <c r="Q542" s="1376"/>
      <c r="R542" s="1374"/>
      <c r="S542" s="1374"/>
      <c r="T542" s="1374"/>
      <c r="U542" s="1374"/>
      <c r="V542" s="1374"/>
      <c r="W542" s="1374"/>
      <c r="X542" s="1375"/>
    </row>
    <row r="543" spans="1:24" ht="18.75" customHeight="1" x14ac:dyDescent="0.25">
      <c r="A543" s="1989" t="s">
        <v>2294</v>
      </c>
      <c r="B543" s="1987" t="s">
        <v>2588</v>
      </c>
      <c r="C543" s="1985" t="s">
        <v>2275</v>
      </c>
      <c r="D543" s="953" t="s">
        <v>201</v>
      </c>
      <c r="E543" s="1378" t="s">
        <v>73</v>
      </c>
      <c r="F543" s="1378" t="s">
        <v>1785</v>
      </c>
      <c r="G543" s="1378" t="s">
        <v>1752</v>
      </c>
      <c r="H543" s="1374"/>
      <c r="I543" s="1374"/>
      <c r="J543" s="1374"/>
      <c r="K543" s="1374"/>
      <c r="L543" s="1374">
        <v>-15043838</v>
      </c>
      <c r="M543" s="1374"/>
      <c r="N543" s="1374"/>
      <c r="O543" s="1374"/>
      <c r="P543" s="1375"/>
      <c r="Q543" s="1376"/>
      <c r="R543" s="1374"/>
      <c r="S543" s="1374"/>
      <c r="T543" s="1374"/>
      <c r="U543" s="1374"/>
      <c r="V543" s="1374"/>
      <c r="W543" s="1374"/>
      <c r="X543" s="1375"/>
    </row>
    <row r="544" spans="1:24" ht="18.75" customHeight="1" x14ac:dyDescent="0.25">
      <c r="A544" s="1990"/>
      <c r="B544" s="1988"/>
      <c r="C544" s="1986"/>
      <c r="D544" s="953" t="s">
        <v>199</v>
      </c>
      <c r="E544" s="1378" t="s">
        <v>602</v>
      </c>
      <c r="F544" s="1378" t="s">
        <v>134</v>
      </c>
      <c r="G544" s="1378" t="s">
        <v>1754</v>
      </c>
      <c r="H544" s="1374"/>
      <c r="I544" s="1374"/>
      <c r="J544" s="1374"/>
      <c r="K544" s="1374"/>
      <c r="L544" s="1374"/>
      <c r="M544" s="1374">
        <f>11845542+3198296</f>
        <v>15043838</v>
      </c>
      <c r="N544" s="1374"/>
      <c r="O544" s="1374"/>
      <c r="P544" s="1375"/>
      <c r="Q544" s="1376"/>
      <c r="R544" s="1374"/>
      <c r="S544" s="1374"/>
      <c r="T544" s="1374"/>
      <c r="U544" s="1374"/>
      <c r="V544" s="1374"/>
      <c r="W544" s="1374"/>
      <c r="X544" s="1375"/>
    </row>
    <row r="545" spans="1:24" ht="31.5" customHeight="1" x14ac:dyDescent="0.25">
      <c r="A545" s="1989" t="s">
        <v>2297</v>
      </c>
      <c r="B545" s="1987" t="s">
        <v>2594</v>
      </c>
      <c r="C545" s="1996" t="s">
        <v>2595</v>
      </c>
      <c r="D545" s="953" t="s">
        <v>201</v>
      </c>
      <c r="E545" s="1378" t="s">
        <v>73</v>
      </c>
      <c r="F545" s="1378" t="s">
        <v>1785</v>
      </c>
      <c r="G545" s="1378" t="s">
        <v>1752</v>
      </c>
      <c r="H545" s="1374"/>
      <c r="I545" s="1374"/>
      <c r="J545" s="1374"/>
      <c r="K545" s="1374"/>
      <c r="L545" s="1374">
        <v>-850900</v>
      </c>
      <c r="M545" s="1374"/>
      <c r="N545" s="1374"/>
      <c r="O545" s="1374"/>
      <c r="P545" s="1375"/>
      <c r="Q545" s="1376"/>
      <c r="R545" s="1374"/>
      <c r="S545" s="1374"/>
      <c r="T545" s="1374"/>
      <c r="U545" s="1374"/>
      <c r="V545" s="1374"/>
      <c r="W545" s="1374"/>
      <c r="X545" s="1375"/>
    </row>
    <row r="546" spans="1:24" ht="31.5" customHeight="1" x14ac:dyDescent="0.25">
      <c r="A546" s="1990"/>
      <c r="B546" s="1988"/>
      <c r="C546" s="1996"/>
      <c r="D546" s="953" t="s">
        <v>199</v>
      </c>
      <c r="E546" s="1378" t="s">
        <v>561</v>
      </c>
      <c r="F546" s="1378" t="s">
        <v>2204</v>
      </c>
      <c r="G546" s="1378" t="s">
        <v>1754</v>
      </c>
      <c r="H546" s="1374"/>
      <c r="I546" s="1374"/>
      <c r="J546" s="1374"/>
      <c r="K546" s="1374"/>
      <c r="L546" s="1374"/>
      <c r="M546" s="1374">
        <f>670000+180900</f>
        <v>850900</v>
      </c>
      <c r="N546" s="1374"/>
      <c r="O546" s="1374"/>
      <c r="P546" s="1375"/>
      <c r="Q546" s="1376"/>
      <c r="R546" s="1374"/>
      <c r="S546" s="1374"/>
      <c r="T546" s="1374"/>
      <c r="U546" s="1374"/>
      <c r="V546" s="1374"/>
      <c r="W546" s="1374"/>
      <c r="X546" s="1375"/>
    </row>
    <row r="547" spans="1:24" ht="27.75" customHeight="1" x14ac:dyDescent="0.25">
      <c r="A547" s="1989" t="s">
        <v>2299</v>
      </c>
      <c r="B547" s="1987" t="s">
        <v>2596</v>
      </c>
      <c r="C547" s="1996" t="s">
        <v>2597</v>
      </c>
      <c r="D547" s="953" t="s">
        <v>201</v>
      </c>
      <c r="E547" s="1378" t="s">
        <v>73</v>
      </c>
      <c r="F547" s="1378" t="s">
        <v>1785</v>
      </c>
      <c r="G547" s="1378" t="s">
        <v>1752</v>
      </c>
      <c r="H547" s="1374"/>
      <c r="I547" s="1374"/>
      <c r="J547" s="1374"/>
      <c r="K547" s="1374"/>
      <c r="L547" s="1374">
        <v>-1330200</v>
      </c>
      <c r="M547" s="1374"/>
      <c r="N547" s="1374"/>
      <c r="O547" s="1374"/>
      <c r="P547" s="1375"/>
      <c r="Q547" s="1376"/>
      <c r="R547" s="1374"/>
      <c r="S547" s="1374"/>
      <c r="T547" s="1374"/>
      <c r="U547" s="1374"/>
      <c r="V547" s="1374"/>
      <c r="W547" s="1374"/>
      <c r="X547" s="1375"/>
    </row>
    <row r="548" spans="1:24" ht="27.75" customHeight="1" x14ac:dyDescent="0.25">
      <c r="A548" s="1990"/>
      <c r="B548" s="1988"/>
      <c r="C548" s="1996"/>
      <c r="D548" s="953" t="s">
        <v>203</v>
      </c>
      <c r="E548" s="1378" t="s">
        <v>1297</v>
      </c>
      <c r="F548" s="1378" t="s">
        <v>550</v>
      </c>
      <c r="G548" s="1378" t="s">
        <v>1754</v>
      </c>
      <c r="H548" s="1374"/>
      <c r="I548" s="1374"/>
      <c r="J548" s="1374"/>
      <c r="K548" s="1374"/>
      <c r="L548" s="1374"/>
      <c r="M548" s="1374"/>
      <c r="N548" s="1374"/>
      <c r="O548" s="1374"/>
      <c r="P548" s="1375">
        <v>1330200</v>
      </c>
      <c r="Q548" s="1376"/>
      <c r="R548" s="1374"/>
      <c r="S548" s="1374"/>
      <c r="T548" s="1374"/>
      <c r="U548" s="1374"/>
      <c r="V548" s="1374"/>
      <c r="W548" s="1374"/>
      <c r="X548" s="1375"/>
    </row>
    <row r="549" spans="1:24" ht="26.25" customHeight="1" x14ac:dyDescent="0.25">
      <c r="A549" s="1989" t="s">
        <v>2306</v>
      </c>
      <c r="B549" s="1987" t="s">
        <v>2598</v>
      </c>
      <c r="C549" s="1996" t="s">
        <v>2945</v>
      </c>
      <c r="D549" s="953" t="s">
        <v>201</v>
      </c>
      <c r="E549" s="1378" t="s">
        <v>73</v>
      </c>
      <c r="F549" s="1378" t="s">
        <v>1785</v>
      </c>
      <c r="G549" s="1378" t="s">
        <v>1752</v>
      </c>
      <c r="H549" s="1374"/>
      <c r="I549" s="1374"/>
      <c r="J549" s="1374"/>
      <c r="K549" s="1374"/>
      <c r="L549" s="1374">
        <v>-75311</v>
      </c>
      <c r="M549" s="1374"/>
      <c r="N549" s="1374"/>
      <c r="O549" s="1374"/>
      <c r="P549" s="1375"/>
      <c r="Q549" s="1376"/>
      <c r="R549" s="1374"/>
      <c r="S549" s="1374"/>
      <c r="T549" s="1374"/>
      <c r="U549" s="1374"/>
      <c r="V549" s="1374"/>
      <c r="W549" s="1374"/>
      <c r="X549" s="1375"/>
    </row>
    <row r="550" spans="1:24" ht="26.25" customHeight="1" x14ac:dyDescent="0.25">
      <c r="A550" s="1990"/>
      <c r="B550" s="1988"/>
      <c r="C550" s="1996"/>
      <c r="D550" s="953" t="s">
        <v>199</v>
      </c>
      <c r="E550" s="1378" t="s">
        <v>167</v>
      </c>
      <c r="F550" s="1378" t="s">
        <v>2566</v>
      </c>
      <c r="G550" s="1378" t="s">
        <v>1754</v>
      </c>
      <c r="H550" s="1374"/>
      <c r="I550" s="1374"/>
      <c r="J550" s="1374"/>
      <c r="K550" s="1374"/>
      <c r="L550" s="1374"/>
      <c r="M550" s="1374">
        <f>59300+16011</f>
        <v>75311</v>
      </c>
      <c r="N550" s="1374"/>
      <c r="O550" s="1374"/>
      <c r="P550" s="1375"/>
      <c r="Q550" s="1376"/>
      <c r="R550" s="1374"/>
      <c r="S550" s="1374"/>
      <c r="T550" s="1374"/>
      <c r="U550" s="1374"/>
      <c r="V550" s="1374"/>
      <c r="W550" s="1374"/>
      <c r="X550" s="1375"/>
    </row>
    <row r="551" spans="1:24" ht="26.25" customHeight="1" x14ac:dyDescent="0.25">
      <c r="A551" s="1989" t="s">
        <v>2308</v>
      </c>
      <c r="B551" s="1987" t="s">
        <v>2601</v>
      </c>
      <c r="C551" s="1996" t="s">
        <v>2602</v>
      </c>
      <c r="D551" s="953" t="s">
        <v>201</v>
      </c>
      <c r="E551" s="1378" t="s">
        <v>73</v>
      </c>
      <c r="F551" s="1378" t="s">
        <v>1785</v>
      </c>
      <c r="G551" s="1378" t="s">
        <v>1752</v>
      </c>
      <c r="H551" s="1374"/>
      <c r="I551" s="1374"/>
      <c r="J551" s="1374"/>
      <c r="K551" s="1374"/>
      <c r="L551" s="1374">
        <v>-519500</v>
      </c>
      <c r="M551" s="1374"/>
      <c r="N551" s="1374"/>
      <c r="O551" s="1374"/>
      <c r="P551" s="1375"/>
      <c r="Q551" s="1376"/>
      <c r="R551" s="1374"/>
      <c r="S551" s="1374"/>
      <c r="T551" s="1374"/>
      <c r="U551" s="1374"/>
      <c r="V551" s="1374"/>
      <c r="W551" s="1374"/>
      <c r="X551" s="1375"/>
    </row>
    <row r="552" spans="1:24" ht="26.25" customHeight="1" x14ac:dyDescent="0.25">
      <c r="A552" s="1990"/>
      <c r="B552" s="1988"/>
      <c r="C552" s="1996"/>
      <c r="D552" s="953" t="s">
        <v>203</v>
      </c>
      <c r="E552" s="1378" t="s">
        <v>1297</v>
      </c>
      <c r="F552" s="1378" t="s">
        <v>550</v>
      </c>
      <c r="G552" s="1378" t="s">
        <v>1754</v>
      </c>
      <c r="H552" s="1374"/>
      <c r="I552" s="1374"/>
      <c r="J552" s="1374"/>
      <c r="K552" s="1374"/>
      <c r="L552" s="1374"/>
      <c r="M552" s="1374"/>
      <c r="N552" s="1374"/>
      <c r="O552" s="1374"/>
      <c r="P552" s="1375">
        <v>519500</v>
      </c>
      <c r="Q552" s="1376"/>
      <c r="R552" s="1374"/>
      <c r="S552" s="1374"/>
      <c r="T552" s="1374"/>
      <c r="U552" s="1374"/>
      <c r="V552" s="1374"/>
      <c r="W552" s="1374"/>
      <c r="X552" s="1375"/>
    </row>
    <row r="553" spans="1:24" ht="47.25" customHeight="1" x14ac:dyDescent="0.25">
      <c r="A553" s="1481" t="s">
        <v>2332</v>
      </c>
      <c r="B553" s="1479" t="s">
        <v>2603</v>
      </c>
      <c r="C553" s="1482" t="s">
        <v>2604</v>
      </c>
      <c r="D553" s="953" t="s">
        <v>200</v>
      </c>
      <c r="E553" s="1378" t="s">
        <v>561</v>
      </c>
      <c r="F553" s="1378" t="s">
        <v>1448</v>
      </c>
      <c r="G553" s="1378" t="s">
        <v>1766</v>
      </c>
      <c r="H553" s="1374"/>
      <c r="I553" s="1374"/>
      <c r="J553" s="1374">
        <f>-49748+49748</f>
        <v>0</v>
      </c>
      <c r="K553" s="1374"/>
      <c r="L553" s="1374"/>
      <c r="M553" s="1374"/>
      <c r="N553" s="1374"/>
      <c r="O553" s="1374"/>
      <c r="P553" s="1375"/>
      <c r="Q553" s="1376"/>
      <c r="R553" s="1374"/>
      <c r="S553" s="1374"/>
      <c r="T553" s="1374"/>
      <c r="U553" s="1374"/>
      <c r="V553" s="1374"/>
      <c r="W553" s="1374"/>
      <c r="X553" s="1375"/>
    </row>
    <row r="554" spans="1:24" ht="23.25" customHeight="1" x14ac:dyDescent="0.25">
      <c r="A554" s="1989" t="s">
        <v>2334</v>
      </c>
      <c r="B554" s="1987" t="s">
        <v>2605</v>
      </c>
      <c r="C554" s="1996" t="s">
        <v>2606</v>
      </c>
      <c r="D554" s="953" t="s">
        <v>201</v>
      </c>
      <c r="E554" s="1378" t="s">
        <v>73</v>
      </c>
      <c r="F554" s="1378" t="s">
        <v>1785</v>
      </c>
      <c r="G554" s="1378" t="s">
        <v>1752</v>
      </c>
      <c r="H554" s="1374"/>
      <c r="I554" s="1374"/>
      <c r="J554" s="1374"/>
      <c r="K554" s="1374"/>
      <c r="L554" s="1374">
        <v>-1270000</v>
      </c>
      <c r="M554" s="1374"/>
      <c r="N554" s="1374"/>
      <c r="O554" s="1374"/>
      <c r="P554" s="1375"/>
      <c r="Q554" s="1376"/>
      <c r="R554" s="1374"/>
      <c r="S554" s="1374"/>
      <c r="T554" s="1374"/>
      <c r="U554" s="1374"/>
      <c r="V554" s="1374"/>
      <c r="W554" s="1374"/>
      <c r="X554" s="1375"/>
    </row>
    <row r="555" spans="1:24" ht="23.25" customHeight="1" x14ac:dyDescent="0.25">
      <c r="A555" s="1990"/>
      <c r="B555" s="1988"/>
      <c r="C555" s="1996"/>
      <c r="D555" s="953" t="s">
        <v>200</v>
      </c>
      <c r="E555" s="1378" t="s">
        <v>1368</v>
      </c>
      <c r="F555" s="1378" t="s">
        <v>1412</v>
      </c>
      <c r="G555" s="1378" t="s">
        <v>1754</v>
      </c>
      <c r="H555" s="1374"/>
      <c r="I555" s="1374"/>
      <c r="J555" s="1374"/>
      <c r="K555" s="1374"/>
      <c r="L555" s="1374"/>
      <c r="M555" s="1374"/>
      <c r="N555" s="1374">
        <f>1000000+270000</f>
        <v>1270000</v>
      </c>
      <c r="O555" s="1374"/>
      <c r="P555" s="1375"/>
      <c r="Q555" s="1376"/>
      <c r="R555" s="1374"/>
      <c r="S555" s="1374"/>
      <c r="T555" s="1374"/>
      <c r="U555" s="1374"/>
      <c r="V555" s="1374"/>
      <c r="W555" s="1374"/>
      <c r="X555" s="1375"/>
    </row>
    <row r="556" spans="1:24" ht="27.75" customHeight="1" x14ac:dyDescent="0.25">
      <c r="A556" s="1989" t="s">
        <v>2339</v>
      </c>
      <c r="B556" s="1987" t="s">
        <v>2608</v>
      </c>
      <c r="C556" s="1996" t="s">
        <v>2609</v>
      </c>
      <c r="D556" s="953" t="s">
        <v>201</v>
      </c>
      <c r="E556" s="1378" t="s">
        <v>73</v>
      </c>
      <c r="F556" s="1378" t="s">
        <v>1785</v>
      </c>
      <c r="G556" s="1378" t="s">
        <v>1752</v>
      </c>
      <c r="H556" s="1374"/>
      <c r="I556" s="1374"/>
      <c r="J556" s="1374"/>
      <c r="K556" s="1374"/>
      <c r="L556" s="1374">
        <v>-1399794</v>
      </c>
      <c r="M556" s="1374"/>
      <c r="N556" s="1374"/>
      <c r="O556" s="1374"/>
      <c r="P556" s="1375"/>
      <c r="Q556" s="1376"/>
      <c r="R556" s="1374"/>
      <c r="S556" s="1374"/>
      <c r="T556" s="1374"/>
      <c r="U556" s="1374"/>
      <c r="V556" s="1374"/>
      <c r="W556" s="1374"/>
      <c r="X556" s="1375"/>
    </row>
    <row r="557" spans="1:24" ht="27.75" customHeight="1" x14ac:dyDescent="0.25">
      <c r="A557" s="1990"/>
      <c r="B557" s="1988"/>
      <c r="C557" s="1996"/>
      <c r="D557" s="953" t="s">
        <v>199</v>
      </c>
      <c r="E557" s="1378" t="s">
        <v>1368</v>
      </c>
      <c r="F557" s="1378" t="s">
        <v>1412</v>
      </c>
      <c r="G557" s="1378" t="s">
        <v>1754</v>
      </c>
      <c r="H557" s="1374"/>
      <c r="I557" s="1374"/>
      <c r="J557" s="1374"/>
      <c r="K557" s="1374"/>
      <c r="L557" s="1374"/>
      <c r="M557" s="1374">
        <f>1102200+297594</f>
        <v>1399794</v>
      </c>
      <c r="N557" s="1374"/>
      <c r="O557" s="1374"/>
      <c r="P557" s="1375"/>
      <c r="Q557" s="1376"/>
      <c r="R557" s="1374"/>
      <c r="S557" s="1374"/>
      <c r="T557" s="1374"/>
      <c r="U557" s="1374"/>
      <c r="V557" s="1374"/>
      <c r="W557" s="1374"/>
      <c r="X557" s="1375"/>
    </row>
    <row r="558" spans="1:24" ht="24" customHeight="1" x14ac:dyDescent="0.25">
      <c r="A558" s="1989" t="s">
        <v>2348</v>
      </c>
      <c r="B558" s="1987" t="s">
        <v>2611</v>
      </c>
      <c r="C558" s="1996" t="s">
        <v>2612</v>
      </c>
      <c r="D558" s="953" t="s">
        <v>201</v>
      </c>
      <c r="E558" s="1378" t="s">
        <v>73</v>
      </c>
      <c r="F558" s="1378" t="s">
        <v>1785</v>
      </c>
      <c r="G558" s="1378" t="s">
        <v>1752</v>
      </c>
      <c r="H558" s="1374"/>
      <c r="I558" s="1374"/>
      <c r="J558" s="1374"/>
      <c r="K558" s="1374"/>
      <c r="L558" s="1374">
        <v>-2843700</v>
      </c>
      <c r="M558" s="1374"/>
      <c r="N558" s="1374"/>
      <c r="O558" s="1374"/>
      <c r="P558" s="1375"/>
      <c r="Q558" s="1376"/>
      <c r="R558" s="1374"/>
      <c r="S558" s="1374"/>
      <c r="T558" s="1374"/>
      <c r="U558" s="1374"/>
      <c r="V558" s="1374"/>
      <c r="W558" s="1374"/>
      <c r="X558" s="1375"/>
    </row>
    <row r="559" spans="1:24" ht="24" customHeight="1" x14ac:dyDescent="0.25">
      <c r="A559" s="1990"/>
      <c r="B559" s="1988"/>
      <c r="C559" s="1996"/>
      <c r="D559" s="953" t="s">
        <v>203</v>
      </c>
      <c r="E559" s="1378" t="s">
        <v>1297</v>
      </c>
      <c r="F559" s="1378" t="s">
        <v>550</v>
      </c>
      <c r="G559" s="1378" t="s">
        <v>1754</v>
      </c>
      <c r="H559" s="1374"/>
      <c r="I559" s="1374"/>
      <c r="J559" s="1374"/>
      <c r="K559" s="1374"/>
      <c r="L559" s="1374"/>
      <c r="M559" s="1374"/>
      <c r="N559" s="1374"/>
      <c r="O559" s="1374"/>
      <c r="P559" s="1375">
        <v>2843700</v>
      </c>
      <c r="Q559" s="1376"/>
      <c r="R559" s="1374"/>
      <c r="S559" s="1374"/>
      <c r="T559" s="1374"/>
      <c r="U559" s="1374"/>
      <c r="V559" s="1374"/>
      <c r="W559" s="1374"/>
      <c r="X559" s="1375"/>
    </row>
    <row r="560" spans="1:24" ht="23.25" customHeight="1" x14ac:dyDescent="0.25">
      <c r="A560" s="1989" t="s">
        <v>2346</v>
      </c>
      <c r="B560" s="1987" t="s">
        <v>2613</v>
      </c>
      <c r="C560" s="1996" t="s">
        <v>2614</v>
      </c>
      <c r="D560" s="953" t="s">
        <v>201</v>
      </c>
      <c r="E560" s="1378" t="s">
        <v>73</v>
      </c>
      <c r="F560" s="1378" t="s">
        <v>1785</v>
      </c>
      <c r="G560" s="1378" t="s">
        <v>1752</v>
      </c>
      <c r="H560" s="1374"/>
      <c r="I560" s="1374"/>
      <c r="J560" s="1374"/>
      <c r="K560" s="1374"/>
      <c r="L560" s="1374">
        <v>-2534552</v>
      </c>
      <c r="M560" s="1374"/>
      <c r="N560" s="1374"/>
      <c r="O560" s="1374"/>
      <c r="P560" s="1375"/>
      <c r="Q560" s="1376"/>
      <c r="R560" s="1374"/>
      <c r="S560" s="1374"/>
      <c r="T560" s="1374"/>
      <c r="U560" s="1374"/>
      <c r="V560" s="1374"/>
      <c r="W560" s="1374"/>
      <c r="X560" s="1375"/>
    </row>
    <row r="561" spans="1:24" ht="23.25" customHeight="1" x14ac:dyDescent="0.25">
      <c r="A561" s="1990"/>
      <c r="B561" s="1988"/>
      <c r="C561" s="1996"/>
      <c r="D561" s="953" t="s">
        <v>203</v>
      </c>
      <c r="E561" s="1378" t="s">
        <v>1297</v>
      </c>
      <c r="F561" s="1378" t="s">
        <v>550</v>
      </c>
      <c r="G561" s="1378" t="s">
        <v>1754</v>
      </c>
      <c r="H561" s="1374"/>
      <c r="I561" s="1374"/>
      <c r="J561" s="1374"/>
      <c r="K561" s="1374"/>
      <c r="L561" s="1374"/>
      <c r="M561" s="1374"/>
      <c r="N561" s="1374"/>
      <c r="O561" s="1374"/>
      <c r="P561" s="1375">
        <v>2534552</v>
      </c>
      <c r="Q561" s="1376"/>
      <c r="R561" s="1374"/>
      <c r="S561" s="1374"/>
      <c r="T561" s="1374"/>
      <c r="U561" s="1374"/>
      <c r="V561" s="1374"/>
      <c r="W561" s="1374"/>
      <c r="X561" s="1375"/>
    </row>
    <row r="562" spans="1:24" ht="21.75" customHeight="1" x14ac:dyDescent="0.25">
      <c r="A562" s="1989" t="s">
        <v>2350</v>
      </c>
      <c r="B562" s="1987" t="s">
        <v>2615</v>
      </c>
      <c r="C562" s="1985" t="s">
        <v>2616</v>
      </c>
      <c r="D562" s="953" t="s">
        <v>194</v>
      </c>
      <c r="E562" s="1378" t="s">
        <v>73</v>
      </c>
      <c r="F562" s="1378" t="s">
        <v>453</v>
      </c>
      <c r="G562" s="1378" t="s">
        <v>1766</v>
      </c>
      <c r="H562" s="1374">
        <f>-750000+750000</f>
        <v>0</v>
      </c>
      <c r="I562" s="1374">
        <v>-1157127</v>
      </c>
      <c r="J562" s="1374"/>
      <c r="K562" s="1374"/>
      <c r="L562" s="1374"/>
      <c r="M562" s="1374"/>
      <c r="N562" s="1374"/>
      <c r="O562" s="1374"/>
      <c r="P562" s="1375"/>
      <c r="Q562" s="1376"/>
      <c r="R562" s="1374"/>
      <c r="S562" s="1374"/>
      <c r="T562" s="1374"/>
      <c r="U562" s="1374"/>
      <c r="V562" s="1374"/>
      <c r="W562" s="1374"/>
      <c r="X562" s="1375"/>
    </row>
    <row r="563" spans="1:24" ht="21.75" customHeight="1" x14ac:dyDescent="0.25">
      <c r="A563" s="1995"/>
      <c r="B563" s="2007"/>
      <c r="C563" s="1993"/>
      <c r="D563" s="953" t="s">
        <v>194</v>
      </c>
      <c r="E563" s="1378" t="s">
        <v>73</v>
      </c>
      <c r="F563" s="1378" t="s">
        <v>553</v>
      </c>
      <c r="G563" s="1378" t="s">
        <v>1766</v>
      </c>
      <c r="H563" s="1374">
        <f>-885000+500000+32500+352500</f>
        <v>0</v>
      </c>
      <c r="I563" s="1374"/>
      <c r="J563" s="1374"/>
      <c r="K563" s="1374"/>
      <c r="L563" s="1374"/>
      <c r="M563" s="1374"/>
      <c r="N563" s="1374"/>
      <c r="O563" s="1374"/>
      <c r="P563" s="1375"/>
      <c r="Q563" s="1376"/>
      <c r="R563" s="1374"/>
      <c r="S563" s="1374"/>
      <c r="T563" s="1374"/>
      <c r="U563" s="1374"/>
      <c r="V563" s="1374"/>
      <c r="W563" s="1374"/>
      <c r="X563" s="1375"/>
    </row>
    <row r="564" spans="1:24" ht="21.75" customHeight="1" x14ac:dyDescent="0.25">
      <c r="A564" s="1995"/>
      <c r="B564" s="2007"/>
      <c r="C564" s="1993"/>
      <c r="D564" s="953" t="s">
        <v>194</v>
      </c>
      <c r="E564" s="1378" t="s">
        <v>609</v>
      </c>
      <c r="F564" s="1378" t="s">
        <v>455</v>
      </c>
      <c r="G564" s="1378" t="s">
        <v>1766</v>
      </c>
      <c r="H564" s="1374">
        <f>-113376+15600+97776</f>
        <v>0</v>
      </c>
      <c r="I564" s="1374"/>
      <c r="J564" s="1374"/>
      <c r="K564" s="1374"/>
      <c r="L564" s="1374"/>
      <c r="M564" s="1374"/>
      <c r="N564" s="1374"/>
      <c r="O564" s="1374"/>
      <c r="P564" s="1375"/>
      <c r="Q564" s="1376"/>
      <c r="R564" s="1374"/>
      <c r="S564" s="1374"/>
      <c r="T564" s="1374"/>
      <c r="U564" s="1374"/>
      <c r="V564" s="1374"/>
      <c r="W564" s="1374"/>
      <c r="X564" s="1375"/>
    </row>
    <row r="565" spans="1:24" ht="21.75" customHeight="1" x14ac:dyDescent="0.25">
      <c r="A565" s="1995"/>
      <c r="B565" s="2007"/>
      <c r="C565" s="1993"/>
      <c r="D565" s="953" t="s">
        <v>194</v>
      </c>
      <c r="E565" s="1378" t="s">
        <v>130</v>
      </c>
      <c r="F565" s="1378" t="s">
        <v>457</v>
      </c>
      <c r="G565" s="1378" t="s">
        <v>1766</v>
      </c>
      <c r="H565" s="1374">
        <f>-591724+500000+91724</f>
        <v>0</v>
      </c>
      <c r="I565" s="1374"/>
      <c r="J565" s="1374"/>
      <c r="K565" s="1374"/>
      <c r="L565" s="1374"/>
      <c r="M565" s="1374"/>
      <c r="N565" s="1374"/>
      <c r="O565" s="1374"/>
      <c r="P565" s="1375"/>
      <c r="Q565" s="1376"/>
      <c r="R565" s="1374"/>
      <c r="S565" s="1374"/>
      <c r="T565" s="1374"/>
      <c r="U565" s="1374"/>
      <c r="V565" s="1374"/>
      <c r="W565" s="1374"/>
      <c r="X565" s="1375"/>
    </row>
    <row r="566" spans="1:24" ht="21.75" customHeight="1" x14ac:dyDescent="0.25">
      <c r="A566" s="1995"/>
      <c r="B566" s="2007"/>
      <c r="C566" s="1993"/>
      <c r="D566" s="953" t="s">
        <v>194</v>
      </c>
      <c r="E566" s="1378" t="s">
        <v>557</v>
      </c>
      <c r="F566" s="1378" t="s">
        <v>460</v>
      </c>
      <c r="G566" s="1378" t="s">
        <v>1766</v>
      </c>
      <c r="H566" s="1374">
        <f>-45000+45000</f>
        <v>0</v>
      </c>
      <c r="I566" s="1374"/>
      <c r="J566" s="1374"/>
      <c r="K566" s="1374"/>
      <c r="L566" s="1374"/>
      <c r="M566" s="1374"/>
      <c r="N566" s="1374"/>
      <c r="O566" s="1374"/>
      <c r="P566" s="1375"/>
      <c r="Q566" s="1376"/>
      <c r="R566" s="1374"/>
      <c r="S566" s="1374"/>
      <c r="T566" s="1374"/>
      <c r="U566" s="1374"/>
      <c r="V566" s="1374"/>
      <c r="W566" s="1374"/>
      <c r="X566" s="1375"/>
    </row>
    <row r="567" spans="1:24" ht="21.75" customHeight="1" x14ac:dyDescent="0.25">
      <c r="A567" s="1995"/>
      <c r="B567" s="2007"/>
      <c r="C567" s="1993"/>
      <c r="D567" s="953" t="s">
        <v>194</v>
      </c>
      <c r="E567" s="1378" t="s">
        <v>557</v>
      </c>
      <c r="F567" s="1378" t="s">
        <v>462</v>
      </c>
      <c r="G567" s="1378" t="s">
        <v>1766</v>
      </c>
      <c r="H567" s="1374">
        <f>-112571+54000+58571</f>
        <v>0</v>
      </c>
      <c r="I567" s="1374"/>
      <c r="J567" s="1374"/>
      <c r="K567" s="1374"/>
      <c r="L567" s="1374"/>
      <c r="M567" s="1374"/>
      <c r="N567" s="1374"/>
      <c r="O567" s="1374"/>
      <c r="P567" s="1375"/>
      <c r="Q567" s="1376"/>
      <c r="R567" s="1374"/>
      <c r="S567" s="1374"/>
      <c r="T567" s="1374"/>
      <c r="U567" s="1374"/>
      <c r="V567" s="1374"/>
      <c r="W567" s="1374"/>
      <c r="X567" s="1375"/>
    </row>
    <row r="568" spans="1:24" ht="21.75" customHeight="1" x14ac:dyDescent="0.25">
      <c r="A568" s="1995"/>
      <c r="B568" s="2007"/>
      <c r="C568" s="1993"/>
      <c r="D568" s="953" t="s">
        <v>194</v>
      </c>
      <c r="E568" s="1378" t="s">
        <v>1940</v>
      </c>
      <c r="F568" s="1378" t="s">
        <v>1939</v>
      </c>
      <c r="G568" s="1378" t="s">
        <v>1754</v>
      </c>
      <c r="H568" s="1374"/>
      <c r="I568" s="1374">
        <v>1138182</v>
      </c>
      <c r="J568" s="1374"/>
      <c r="K568" s="1374"/>
      <c r="L568" s="1374"/>
      <c r="M568" s="1374"/>
      <c r="N568" s="1374"/>
      <c r="O568" s="1374"/>
      <c r="P568" s="1375"/>
      <c r="Q568" s="1376"/>
      <c r="R568" s="1374"/>
      <c r="S568" s="1374"/>
      <c r="T568" s="1374"/>
      <c r="U568" s="1374"/>
      <c r="V568" s="1374"/>
      <c r="W568" s="1374"/>
      <c r="X568" s="1375"/>
    </row>
    <row r="569" spans="1:24" ht="21.75" customHeight="1" x14ac:dyDescent="0.25">
      <c r="A569" s="1995"/>
      <c r="B569" s="2007"/>
      <c r="C569" s="1993"/>
      <c r="D569" s="953" t="s">
        <v>194</v>
      </c>
      <c r="E569" s="1378" t="s">
        <v>2474</v>
      </c>
      <c r="F569" s="1378" t="s">
        <v>2473</v>
      </c>
      <c r="G569" s="1378" t="s">
        <v>1754</v>
      </c>
      <c r="H569" s="1374"/>
      <c r="I569" s="1374">
        <v>18945</v>
      </c>
      <c r="J569" s="1374"/>
      <c r="K569" s="1374"/>
      <c r="L569" s="1374"/>
      <c r="M569" s="1374"/>
      <c r="N569" s="1374"/>
      <c r="O569" s="1374"/>
      <c r="P569" s="1375"/>
      <c r="Q569" s="1376"/>
      <c r="R569" s="1374"/>
      <c r="S569" s="1374"/>
      <c r="T569" s="1374"/>
      <c r="U569" s="1374"/>
      <c r="V569" s="1374"/>
      <c r="W569" s="1374"/>
      <c r="X569" s="1375"/>
    </row>
    <row r="570" spans="1:24" ht="21.75" customHeight="1" x14ac:dyDescent="0.25">
      <c r="A570" s="1990"/>
      <c r="B570" s="1988"/>
      <c r="C570" s="1986"/>
      <c r="D570" s="953" t="s">
        <v>194</v>
      </c>
      <c r="E570" s="1378" t="s">
        <v>62</v>
      </c>
      <c r="F570" s="1378" t="s">
        <v>541</v>
      </c>
      <c r="G570" s="1378" t="s">
        <v>1766</v>
      </c>
      <c r="H570" s="1374">
        <f>-57488+57488</f>
        <v>0</v>
      </c>
      <c r="I570" s="1374"/>
      <c r="J570" s="1374"/>
      <c r="K570" s="1374"/>
      <c r="L570" s="1374"/>
      <c r="M570" s="1374"/>
      <c r="N570" s="1374"/>
      <c r="O570" s="1374"/>
      <c r="P570" s="1375"/>
      <c r="Q570" s="1376"/>
      <c r="R570" s="1374"/>
      <c r="S570" s="1374"/>
      <c r="T570" s="1374"/>
      <c r="U570" s="1374"/>
      <c r="V570" s="1374"/>
      <c r="W570" s="1374"/>
      <c r="X570" s="1375"/>
    </row>
    <row r="571" spans="1:24" ht="45.75" customHeight="1" x14ac:dyDescent="0.25">
      <c r="A571" s="1481" t="s">
        <v>2617</v>
      </c>
      <c r="B571" s="1479" t="s">
        <v>2618</v>
      </c>
      <c r="C571" s="1477" t="s">
        <v>2619</v>
      </c>
      <c r="D571" s="953" t="s">
        <v>194</v>
      </c>
      <c r="E571" s="1378" t="s">
        <v>2054</v>
      </c>
      <c r="F571" s="1378" t="s">
        <v>2053</v>
      </c>
      <c r="G571" s="1378" t="s">
        <v>1766</v>
      </c>
      <c r="H571" s="1374"/>
      <c r="I571" s="1374"/>
      <c r="J571" s="1374">
        <f>-1472879+1346894+125985</f>
        <v>0</v>
      </c>
      <c r="K571" s="1374"/>
      <c r="L571" s="1374"/>
      <c r="M571" s="1374"/>
      <c r="N571" s="1374"/>
      <c r="O571" s="1374"/>
      <c r="P571" s="1375"/>
      <c r="Q571" s="1376"/>
      <c r="R571" s="1374"/>
      <c r="S571" s="1374"/>
      <c r="T571" s="1374"/>
      <c r="U571" s="1374"/>
      <c r="V571" s="1374"/>
      <c r="W571" s="1374"/>
      <c r="X571" s="1375"/>
    </row>
    <row r="572" spans="1:24" ht="48.75" customHeight="1" x14ac:dyDescent="0.25">
      <c r="A572" s="1481" t="s">
        <v>2356</v>
      </c>
      <c r="B572" s="1479" t="s">
        <v>2620</v>
      </c>
      <c r="C572" s="1477" t="s">
        <v>2621</v>
      </c>
      <c r="D572" s="953" t="s">
        <v>194</v>
      </c>
      <c r="E572" s="1378" t="s">
        <v>2477</v>
      </c>
      <c r="F572" s="1378" t="s">
        <v>2476</v>
      </c>
      <c r="G572" s="1378" t="s">
        <v>1766</v>
      </c>
      <c r="H572" s="1374"/>
      <c r="I572" s="1374"/>
      <c r="J572" s="1374">
        <f>-95669+95669</f>
        <v>0</v>
      </c>
      <c r="K572" s="1374"/>
      <c r="L572" s="1374"/>
      <c r="M572" s="1374"/>
      <c r="N572" s="1374"/>
      <c r="O572" s="1374"/>
      <c r="P572" s="1375"/>
      <c r="Q572" s="1376"/>
      <c r="R572" s="1374"/>
      <c r="S572" s="1374"/>
      <c r="T572" s="1374"/>
      <c r="U572" s="1374"/>
      <c r="V572" s="1374"/>
      <c r="W572" s="1374"/>
      <c r="X572" s="1375"/>
    </row>
    <row r="573" spans="1:24" ht="20.25" customHeight="1" x14ac:dyDescent="0.25">
      <c r="A573" s="1989" t="s">
        <v>2358</v>
      </c>
      <c r="B573" s="1987" t="s">
        <v>2622</v>
      </c>
      <c r="C573" s="1985" t="s">
        <v>2623</v>
      </c>
      <c r="D573" s="953" t="s">
        <v>194</v>
      </c>
      <c r="E573" s="1378" t="s">
        <v>557</v>
      </c>
      <c r="F573" s="1378" t="s">
        <v>460</v>
      </c>
      <c r="G573" s="1378" t="s">
        <v>1752</v>
      </c>
      <c r="H573" s="1374"/>
      <c r="I573" s="1374"/>
      <c r="J573" s="1374">
        <f>-200000-54000</f>
        <v>-254000</v>
      </c>
      <c r="K573" s="1374"/>
      <c r="L573" s="1374"/>
      <c r="M573" s="1374"/>
      <c r="N573" s="1374"/>
      <c r="O573" s="1374"/>
      <c r="P573" s="1375"/>
      <c r="Q573" s="1376"/>
      <c r="R573" s="1374"/>
      <c r="S573" s="1374"/>
      <c r="T573" s="1374"/>
      <c r="U573" s="1374"/>
      <c r="V573" s="1374"/>
      <c r="W573" s="1374"/>
      <c r="X573" s="1375"/>
    </row>
    <row r="574" spans="1:24" ht="20.25" customHeight="1" x14ac:dyDescent="0.25">
      <c r="A574" s="1995"/>
      <c r="B574" s="2007"/>
      <c r="C574" s="1993"/>
      <c r="D574" s="953" t="s">
        <v>199</v>
      </c>
      <c r="E574" s="1378" t="s">
        <v>557</v>
      </c>
      <c r="F574" s="1378" t="s">
        <v>460</v>
      </c>
      <c r="G574" s="1378" t="s">
        <v>1754</v>
      </c>
      <c r="H574" s="1374"/>
      <c r="I574" s="1374"/>
      <c r="J574" s="1374"/>
      <c r="K574" s="1374"/>
      <c r="L574" s="1374"/>
      <c r="M574" s="1374">
        <f>200000+54000</f>
        <v>254000</v>
      </c>
      <c r="N574" s="1374"/>
      <c r="O574" s="1374"/>
      <c r="P574" s="1375"/>
      <c r="Q574" s="1376"/>
      <c r="R574" s="1374"/>
      <c r="S574" s="1374"/>
      <c r="T574" s="1374"/>
      <c r="U574" s="1374"/>
      <c r="V574" s="1374"/>
      <c r="W574" s="1374"/>
      <c r="X574" s="1375"/>
    </row>
    <row r="575" spans="1:24" ht="20.25" customHeight="1" x14ac:dyDescent="0.25">
      <c r="A575" s="1995"/>
      <c r="B575" s="2007"/>
      <c r="C575" s="1993"/>
      <c r="D575" s="953" t="s">
        <v>2624</v>
      </c>
      <c r="E575" s="1378" t="s">
        <v>557</v>
      </c>
      <c r="F575" s="1378" t="s">
        <v>462</v>
      </c>
      <c r="G575" s="1378" t="s">
        <v>1752</v>
      </c>
      <c r="H575" s="1374"/>
      <c r="I575" s="1374"/>
      <c r="J575" s="1374">
        <f>-443000-119610</f>
        <v>-562610</v>
      </c>
      <c r="K575" s="1374"/>
      <c r="L575" s="1374"/>
      <c r="M575" s="1374"/>
      <c r="N575" s="1374"/>
      <c r="O575" s="1374"/>
      <c r="P575" s="1375"/>
      <c r="Q575" s="1376"/>
      <c r="R575" s="1374"/>
      <c r="S575" s="1374"/>
      <c r="T575" s="1374"/>
      <c r="U575" s="1374"/>
      <c r="V575" s="1374"/>
      <c r="W575" s="1374"/>
      <c r="X575" s="1375"/>
    </row>
    <row r="576" spans="1:24" ht="20.25" customHeight="1" x14ac:dyDescent="0.25">
      <c r="A576" s="1990"/>
      <c r="B576" s="1988"/>
      <c r="C576" s="1986"/>
      <c r="D576" s="953" t="s">
        <v>199</v>
      </c>
      <c r="E576" s="1378" t="s">
        <v>557</v>
      </c>
      <c r="F576" s="1378" t="s">
        <v>462</v>
      </c>
      <c r="G576" s="1378" t="s">
        <v>1754</v>
      </c>
      <c r="H576" s="1374"/>
      <c r="I576" s="1374"/>
      <c r="J576" s="1374"/>
      <c r="K576" s="1374"/>
      <c r="L576" s="1374"/>
      <c r="M576" s="1374">
        <f>443000+119610</f>
        <v>562610</v>
      </c>
      <c r="N576" s="1374"/>
      <c r="O576" s="1374"/>
      <c r="P576" s="1375"/>
      <c r="Q576" s="1376"/>
      <c r="R576" s="1374"/>
      <c r="S576" s="1374"/>
      <c r="T576" s="1374"/>
      <c r="U576" s="1374"/>
      <c r="V576" s="1374"/>
      <c r="W576" s="1374"/>
      <c r="X576" s="1375"/>
    </row>
    <row r="577" spans="1:24" ht="46.5" customHeight="1" x14ac:dyDescent="0.25">
      <c r="A577" s="1488" t="s">
        <v>2359</v>
      </c>
      <c r="B577" s="1489" t="s">
        <v>2627</v>
      </c>
      <c r="C577" s="1482" t="s">
        <v>2709</v>
      </c>
      <c r="D577" s="1377" t="s">
        <v>199</v>
      </c>
      <c r="E577" s="1378" t="s">
        <v>601</v>
      </c>
      <c r="F577" s="1378" t="s">
        <v>1391</v>
      </c>
      <c r="G577" s="1378" t="s">
        <v>1754</v>
      </c>
      <c r="H577" s="1374"/>
      <c r="I577" s="1374"/>
      <c r="J577" s="1374"/>
      <c r="K577" s="1374"/>
      <c r="L577" s="1374"/>
      <c r="M577" s="1374">
        <f>39027721+10537485</f>
        <v>49565206</v>
      </c>
      <c r="N577" s="1374"/>
      <c r="O577" s="1374"/>
      <c r="P577" s="1375"/>
      <c r="Q577" s="1376"/>
      <c r="R577" s="1374">
        <v>49565206</v>
      </c>
      <c r="S577" s="1374"/>
      <c r="T577" s="1374"/>
      <c r="U577" s="1374"/>
      <c r="V577" s="1374"/>
      <c r="W577" s="1374"/>
      <c r="X577" s="1375"/>
    </row>
    <row r="578" spans="1:24" ht="23.25" customHeight="1" x14ac:dyDescent="0.25">
      <c r="A578" s="1989" t="s">
        <v>2630</v>
      </c>
      <c r="B578" s="1987" t="s">
        <v>2631</v>
      </c>
      <c r="C578" s="1985" t="s">
        <v>2632</v>
      </c>
      <c r="D578" s="1377" t="s">
        <v>200</v>
      </c>
      <c r="E578" s="1378" t="s">
        <v>129</v>
      </c>
      <c r="F578" s="1378" t="s">
        <v>128</v>
      </c>
      <c r="G578" s="1378" t="s">
        <v>1752</v>
      </c>
      <c r="H578" s="1374"/>
      <c r="I578" s="1374"/>
      <c r="J578" s="1374"/>
      <c r="K578" s="1374"/>
      <c r="L578" s="1374"/>
      <c r="M578" s="1374"/>
      <c r="N578" s="1374">
        <f>-2400000-648000</f>
        <v>-3048000</v>
      </c>
      <c r="O578" s="1374"/>
      <c r="P578" s="1375"/>
      <c r="Q578" s="1376"/>
      <c r="R578" s="1374"/>
      <c r="S578" s="1374"/>
      <c r="T578" s="1374"/>
      <c r="U578" s="1374"/>
      <c r="V578" s="1374"/>
      <c r="W578" s="1374"/>
      <c r="X578" s="1375"/>
    </row>
    <row r="579" spans="1:24" ht="23.25" customHeight="1" x14ac:dyDescent="0.25">
      <c r="A579" s="1990"/>
      <c r="B579" s="1988"/>
      <c r="C579" s="1986"/>
      <c r="D579" s="1377" t="s">
        <v>199</v>
      </c>
      <c r="E579" s="1378" t="s">
        <v>129</v>
      </c>
      <c r="F579" s="1378" t="s">
        <v>151</v>
      </c>
      <c r="G579" s="1378" t="s">
        <v>1754</v>
      </c>
      <c r="H579" s="1374"/>
      <c r="I579" s="1374"/>
      <c r="J579" s="1374"/>
      <c r="K579" s="1374"/>
      <c r="L579" s="1374"/>
      <c r="M579" s="1374">
        <f>2400000+648000</f>
        <v>3048000</v>
      </c>
      <c r="N579" s="1374"/>
      <c r="O579" s="1374"/>
      <c r="P579" s="1375"/>
      <c r="Q579" s="1376"/>
      <c r="R579" s="1374"/>
      <c r="S579" s="1374"/>
      <c r="T579" s="1374"/>
      <c r="U579" s="1374"/>
      <c r="V579" s="1374"/>
      <c r="W579" s="1374"/>
      <c r="X579" s="1375"/>
    </row>
    <row r="580" spans="1:24" ht="23.25" customHeight="1" x14ac:dyDescent="0.25">
      <c r="A580" s="1989" t="s">
        <v>2363</v>
      </c>
      <c r="B580" s="1987" t="s">
        <v>2634</v>
      </c>
      <c r="C580" s="1985" t="s">
        <v>2635</v>
      </c>
      <c r="D580" s="1377" t="s">
        <v>201</v>
      </c>
      <c r="E580" s="1378" t="s">
        <v>73</v>
      </c>
      <c r="F580" s="1378" t="s">
        <v>1785</v>
      </c>
      <c r="G580" s="1378" t="s">
        <v>1752</v>
      </c>
      <c r="H580" s="1374"/>
      <c r="I580" s="1374"/>
      <c r="J580" s="1374"/>
      <c r="K580" s="1374"/>
      <c r="L580" s="1374">
        <v>-1270000</v>
      </c>
      <c r="M580" s="1374"/>
      <c r="N580" s="1374"/>
      <c r="O580" s="1374"/>
      <c r="P580" s="1375"/>
      <c r="Q580" s="1376"/>
      <c r="R580" s="1374"/>
      <c r="S580" s="1374"/>
      <c r="T580" s="1374"/>
      <c r="U580" s="1374"/>
      <c r="V580" s="1374"/>
      <c r="W580" s="1374"/>
      <c r="X580" s="1375"/>
    </row>
    <row r="581" spans="1:24" ht="23.25" customHeight="1" x14ac:dyDescent="0.25">
      <c r="A581" s="1990"/>
      <c r="B581" s="1988"/>
      <c r="C581" s="1986"/>
      <c r="D581" s="1377" t="s">
        <v>203</v>
      </c>
      <c r="E581" s="1378" t="s">
        <v>1297</v>
      </c>
      <c r="F581" s="1378" t="s">
        <v>550</v>
      </c>
      <c r="G581" s="1378" t="s">
        <v>1754</v>
      </c>
      <c r="H581" s="1374"/>
      <c r="I581" s="1374"/>
      <c r="J581" s="1374"/>
      <c r="K581" s="1374"/>
      <c r="L581" s="1374"/>
      <c r="M581" s="1374"/>
      <c r="N581" s="1374"/>
      <c r="O581" s="1374"/>
      <c r="P581" s="1375">
        <v>1270000</v>
      </c>
      <c r="Q581" s="1376"/>
      <c r="R581" s="1374"/>
      <c r="S581" s="1374"/>
      <c r="T581" s="1374"/>
      <c r="U581" s="1374"/>
      <c r="V581" s="1374"/>
      <c r="W581" s="1374"/>
      <c r="X581" s="1375"/>
    </row>
    <row r="582" spans="1:24" ht="63.75" customHeight="1" x14ac:dyDescent="0.25">
      <c r="A582" s="1481" t="s">
        <v>2367</v>
      </c>
      <c r="B582" s="1479" t="s">
        <v>2636</v>
      </c>
      <c r="C582" s="1477" t="s">
        <v>2710</v>
      </c>
      <c r="D582" s="1377" t="s">
        <v>201</v>
      </c>
      <c r="E582" s="1378" t="s">
        <v>73</v>
      </c>
      <c r="F582" s="1378" t="s">
        <v>1785</v>
      </c>
      <c r="G582" s="1378" t="s">
        <v>1766</v>
      </c>
      <c r="H582" s="1374"/>
      <c r="I582" s="1374"/>
      <c r="J582" s="1374"/>
      <c r="K582" s="1374"/>
      <c r="L582" s="1374">
        <f>-3048000+3048000</f>
        <v>0</v>
      </c>
      <c r="M582" s="1374"/>
      <c r="N582" s="1374"/>
      <c r="O582" s="1374"/>
      <c r="P582" s="1375"/>
      <c r="Q582" s="1376"/>
      <c r="R582" s="1374"/>
      <c r="S582" s="1374"/>
      <c r="T582" s="1374"/>
      <c r="U582" s="1374"/>
      <c r="V582" s="1374"/>
      <c r="W582" s="1374"/>
      <c r="X582" s="1375"/>
    </row>
    <row r="583" spans="1:24" ht="35.25" customHeight="1" x14ac:dyDescent="0.25">
      <c r="A583" s="1481" t="s">
        <v>2347</v>
      </c>
      <c r="B583" s="1479" t="s">
        <v>2638</v>
      </c>
      <c r="C583" s="1477" t="s">
        <v>2639</v>
      </c>
      <c r="D583" s="1377" t="s">
        <v>199</v>
      </c>
      <c r="E583" s="1378" t="s">
        <v>129</v>
      </c>
      <c r="F583" s="1378" t="s">
        <v>90</v>
      </c>
      <c r="G583" s="1378" t="s">
        <v>1766</v>
      </c>
      <c r="H583" s="1374"/>
      <c r="I583" s="1374"/>
      <c r="J583" s="1374"/>
      <c r="K583" s="1374"/>
      <c r="L583" s="1374"/>
      <c r="M583" s="1374">
        <f>-4001300-1080351+4001300+1080351</f>
        <v>0</v>
      </c>
      <c r="N583" s="1374"/>
      <c r="O583" s="1374"/>
      <c r="P583" s="1375"/>
      <c r="Q583" s="1376"/>
      <c r="R583" s="1374"/>
      <c r="S583" s="1374"/>
      <c r="T583" s="1374"/>
      <c r="U583" s="1374"/>
      <c r="V583" s="1374"/>
      <c r="W583" s="1374"/>
      <c r="X583" s="1375"/>
    </row>
    <row r="584" spans="1:24" ht="23.25" customHeight="1" x14ac:dyDescent="0.25">
      <c r="A584" s="1989" t="s">
        <v>2642</v>
      </c>
      <c r="B584" s="1987" t="s">
        <v>2643</v>
      </c>
      <c r="C584" s="1985" t="s">
        <v>2644</v>
      </c>
      <c r="D584" s="1377" t="s">
        <v>199</v>
      </c>
      <c r="E584" s="1378" t="s">
        <v>129</v>
      </c>
      <c r="F584" s="1378" t="s">
        <v>90</v>
      </c>
      <c r="G584" s="1378" t="s">
        <v>1752</v>
      </c>
      <c r="H584" s="1374"/>
      <c r="I584" s="1374"/>
      <c r="J584" s="1374"/>
      <c r="K584" s="1374"/>
      <c r="L584" s="1374"/>
      <c r="M584" s="1374">
        <f>-227110-61320</f>
        <v>-288430</v>
      </c>
      <c r="N584" s="1374"/>
      <c r="O584" s="1374"/>
      <c r="P584" s="1375"/>
      <c r="Q584" s="1376"/>
      <c r="R584" s="1374"/>
      <c r="S584" s="1374"/>
      <c r="T584" s="1374"/>
      <c r="U584" s="1374"/>
      <c r="V584" s="1374"/>
      <c r="W584" s="1374"/>
      <c r="X584" s="1375"/>
    </row>
    <row r="585" spans="1:24" ht="23.25" customHeight="1" x14ac:dyDescent="0.25">
      <c r="A585" s="1990"/>
      <c r="B585" s="1988"/>
      <c r="C585" s="1986"/>
      <c r="D585" s="1377" t="s">
        <v>199</v>
      </c>
      <c r="E585" s="1378" t="s">
        <v>844</v>
      </c>
      <c r="F585" s="1378" t="s">
        <v>1802</v>
      </c>
      <c r="G585" s="1378" t="s">
        <v>1754</v>
      </c>
      <c r="H585" s="1374"/>
      <c r="I585" s="1374"/>
      <c r="J585" s="1374"/>
      <c r="K585" s="1374"/>
      <c r="L585" s="1374"/>
      <c r="M585" s="1374">
        <f>227110+61320</f>
        <v>288430</v>
      </c>
      <c r="N585" s="1374"/>
      <c r="O585" s="1374"/>
      <c r="P585" s="1375"/>
      <c r="Q585" s="1376"/>
      <c r="R585" s="1374"/>
      <c r="S585" s="1374"/>
      <c r="T585" s="1374"/>
      <c r="U585" s="1374"/>
      <c r="V585" s="1374"/>
      <c r="W585" s="1374"/>
      <c r="X585" s="1375"/>
    </row>
    <row r="586" spans="1:24" ht="23.25" customHeight="1" x14ac:dyDescent="0.25">
      <c r="A586" s="1989" t="s">
        <v>2645</v>
      </c>
      <c r="B586" s="1987" t="s">
        <v>2646</v>
      </c>
      <c r="C586" s="1985" t="s">
        <v>2713</v>
      </c>
      <c r="D586" s="1377" t="s">
        <v>194</v>
      </c>
      <c r="E586" s="1378" t="s">
        <v>1838</v>
      </c>
      <c r="F586" s="1378" t="s">
        <v>1837</v>
      </c>
      <c r="G586" s="1378" t="s">
        <v>1752</v>
      </c>
      <c r="H586" s="1374"/>
      <c r="I586" s="1374"/>
      <c r="J586" s="1374">
        <f>-420000-113400</f>
        <v>-533400</v>
      </c>
      <c r="K586" s="1374"/>
      <c r="L586" s="1374"/>
      <c r="M586" s="1374"/>
      <c r="N586" s="1374"/>
      <c r="O586" s="1374"/>
      <c r="P586" s="1375"/>
      <c r="Q586" s="1376"/>
      <c r="R586" s="1374"/>
      <c r="S586" s="1374"/>
      <c r="T586" s="1374"/>
      <c r="U586" s="1374"/>
      <c r="V586" s="1374"/>
      <c r="W586" s="1374"/>
      <c r="X586" s="1375"/>
    </row>
    <row r="587" spans="1:24" ht="23.25" customHeight="1" x14ac:dyDescent="0.25">
      <c r="A587" s="1990"/>
      <c r="B587" s="1988"/>
      <c r="C587" s="1986"/>
      <c r="D587" s="1377" t="s">
        <v>203</v>
      </c>
      <c r="E587" s="1378" t="s">
        <v>1297</v>
      </c>
      <c r="F587" s="1378" t="s">
        <v>550</v>
      </c>
      <c r="G587" s="1378" t="s">
        <v>1754</v>
      </c>
      <c r="H587" s="1374"/>
      <c r="I587" s="1374"/>
      <c r="J587" s="1374"/>
      <c r="K587" s="1374"/>
      <c r="L587" s="1374"/>
      <c r="M587" s="1374"/>
      <c r="N587" s="1374"/>
      <c r="O587" s="1374"/>
      <c r="P587" s="1375">
        <v>533400</v>
      </c>
      <c r="Q587" s="1376"/>
      <c r="R587" s="1374"/>
      <c r="S587" s="1374"/>
      <c r="T587" s="1374"/>
      <c r="U587" s="1374"/>
      <c r="V587" s="1374"/>
      <c r="W587" s="1374"/>
      <c r="X587" s="1375"/>
    </row>
    <row r="588" spans="1:24" ht="19.5" customHeight="1" x14ac:dyDescent="0.25">
      <c r="A588" s="1989" t="s">
        <v>2374</v>
      </c>
      <c r="B588" s="1987" t="s">
        <v>2647</v>
      </c>
      <c r="C588" s="1985" t="s">
        <v>2648</v>
      </c>
      <c r="D588" s="1377" t="s">
        <v>194</v>
      </c>
      <c r="E588" s="1378" t="s">
        <v>648</v>
      </c>
      <c r="F588" s="1378" t="s">
        <v>2649</v>
      </c>
      <c r="G588" s="1378" t="s">
        <v>1752</v>
      </c>
      <c r="H588" s="1374"/>
      <c r="I588" s="1374"/>
      <c r="J588" s="1374">
        <f>-43299-11691</f>
        <v>-54990</v>
      </c>
      <c r="K588" s="1374"/>
      <c r="L588" s="1374"/>
      <c r="M588" s="1374"/>
      <c r="N588" s="1374"/>
      <c r="O588" s="1374"/>
      <c r="P588" s="1375"/>
      <c r="Q588" s="1376"/>
      <c r="R588" s="1374"/>
      <c r="S588" s="1374"/>
      <c r="T588" s="1374"/>
      <c r="U588" s="1374"/>
      <c r="V588" s="1374"/>
      <c r="W588" s="1374"/>
      <c r="X588" s="1375"/>
    </row>
    <row r="589" spans="1:24" ht="19.5" customHeight="1" x14ac:dyDescent="0.25">
      <c r="A589" s="1990"/>
      <c r="B589" s="1988"/>
      <c r="C589" s="1986"/>
      <c r="D589" s="1377" t="s">
        <v>199</v>
      </c>
      <c r="E589" s="1378" t="s">
        <v>648</v>
      </c>
      <c r="F589" s="1378" t="s">
        <v>2649</v>
      </c>
      <c r="G589" s="1378" t="s">
        <v>1754</v>
      </c>
      <c r="H589" s="1374"/>
      <c r="I589" s="1374"/>
      <c r="J589" s="1374"/>
      <c r="K589" s="1374"/>
      <c r="L589" s="1374"/>
      <c r="M589" s="1374">
        <f>43299+11691</f>
        <v>54990</v>
      </c>
      <c r="N589" s="1374"/>
      <c r="O589" s="1374"/>
      <c r="P589" s="1375"/>
      <c r="Q589" s="1376"/>
      <c r="R589" s="1374"/>
      <c r="S589" s="1374"/>
      <c r="T589" s="1374"/>
      <c r="U589" s="1374"/>
      <c r="V589" s="1374"/>
      <c r="W589" s="1374"/>
      <c r="X589" s="1375"/>
    </row>
    <row r="590" spans="1:24" ht="46.5" customHeight="1" x14ac:dyDescent="0.25">
      <c r="A590" s="1481" t="s">
        <v>2389</v>
      </c>
      <c r="B590" s="1479" t="s">
        <v>2651</v>
      </c>
      <c r="C590" s="1477" t="s">
        <v>2652</v>
      </c>
      <c r="D590" s="1377" t="s">
        <v>194</v>
      </c>
      <c r="E590" s="1378" t="s">
        <v>2474</v>
      </c>
      <c r="F590" s="1378" t="s">
        <v>2473</v>
      </c>
      <c r="G590" s="1378" t="s">
        <v>1766</v>
      </c>
      <c r="H590" s="1374"/>
      <c r="I590" s="1374"/>
      <c r="J590" s="1374">
        <f>-63500+50000+13500</f>
        <v>0</v>
      </c>
      <c r="K590" s="1374"/>
      <c r="L590" s="1374"/>
      <c r="M590" s="1374"/>
      <c r="N590" s="1374"/>
      <c r="O590" s="1374"/>
      <c r="P590" s="1375"/>
      <c r="Q590" s="1376"/>
      <c r="R590" s="1374"/>
      <c r="S590" s="1374"/>
      <c r="T590" s="1374"/>
      <c r="U590" s="1374"/>
      <c r="V590" s="1374"/>
      <c r="W590" s="1374"/>
      <c r="X590" s="1375"/>
    </row>
    <row r="591" spans="1:24" ht="25.5" customHeight="1" x14ac:dyDescent="0.25">
      <c r="A591" s="1989" t="s">
        <v>2391</v>
      </c>
      <c r="B591" s="1987" t="s">
        <v>2668</v>
      </c>
      <c r="C591" s="1985" t="s">
        <v>2669</v>
      </c>
      <c r="D591" s="1377" t="s">
        <v>201</v>
      </c>
      <c r="E591" s="1378" t="s">
        <v>73</v>
      </c>
      <c r="F591" s="1378" t="s">
        <v>1785</v>
      </c>
      <c r="G591" s="1378" t="s">
        <v>2670</v>
      </c>
      <c r="H591" s="1374"/>
      <c r="I591" s="1374"/>
      <c r="J591" s="1374"/>
      <c r="K591" s="1374"/>
      <c r="L591" s="1374">
        <v>-10795000</v>
      </c>
      <c r="M591" s="1374"/>
      <c r="N591" s="1374"/>
      <c r="O591" s="1374"/>
      <c r="P591" s="1375"/>
      <c r="Q591" s="1376"/>
      <c r="R591" s="1374"/>
      <c r="S591" s="1374"/>
      <c r="T591" s="1374"/>
      <c r="U591" s="1374"/>
      <c r="V591" s="1374"/>
      <c r="W591" s="1374"/>
      <c r="X591" s="1375"/>
    </row>
    <row r="592" spans="1:24" ht="25.5" customHeight="1" x14ac:dyDescent="0.25">
      <c r="A592" s="1990"/>
      <c r="B592" s="1988"/>
      <c r="C592" s="1986"/>
      <c r="D592" s="1377" t="s">
        <v>199</v>
      </c>
      <c r="E592" s="1378" t="s">
        <v>129</v>
      </c>
      <c r="F592" s="1378" t="s">
        <v>151</v>
      </c>
      <c r="G592" s="1378" t="s">
        <v>1754</v>
      </c>
      <c r="H592" s="1374"/>
      <c r="I592" s="1374"/>
      <c r="J592" s="1374"/>
      <c r="K592" s="1374"/>
      <c r="L592" s="1374"/>
      <c r="M592" s="1374">
        <f>8500000+2295000</f>
        <v>10795000</v>
      </c>
      <c r="N592" s="1374"/>
      <c r="O592" s="1374"/>
      <c r="P592" s="1375"/>
      <c r="Q592" s="1376"/>
      <c r="R592" s="1374"/>
      <c r="S592" s="1374"/>
      <c r="T592" s="1374"/>
      <c r="U592" s="1374"/>
      <c r="V592" s="1374"/>
      <c r="W592" s="1374"/>
      <c r="X592" s="1375"/>
    </row>
    <row r="593" spans="1:24" ht="26.25" customHeight="1" x14ac:dyDescent="0.25">
      <c r="A593" s="1989" t="s">
        <v>2393</v>
      </c>
      <c r="B593" s="1987" t="s">
        <v>2671</v>
      </c>
      <c r="C593" s="1985" t="s">
        <v>2712</v>
      </c>
      <c r="D593" s="1377" t="s">
        <v>204</v>
      </c>
      <c r="E593" s="1378" t="s">
        <v>1753</v>
      </c>
      <c r="F593" s="1378" t="s">
        <v>1784</v>
      </c>
      <c r="G593" s="1378" t="s">
        <v>1754</v>
      </c>
      <c r="H593" s="1374"/>
      <c r="I593" s="1374"/>
      <c r="J593" s="1374"/>
      <c r="K593" s="1374"/>
      <c r="L593" s="1374"/>
      <c r="M593" s="1374"/>
      <c r="N593" s="1374"/>
      <c r="O593" s="1374"/>
      <c r="P593" s="1375"/>
      <c r="Q593" s="1376">
        <v>2570921</v>
      </c>
      <c r="R593" s="1374"/>
      <c r="S593" s="1374"/>
      <c r="T593" s="1374"/>
      <c r="U593" s="1374"/>
      <c r="V593" s="1374"/>
      <c r="W593" s="1374"/>
      <c r="X593" s="1375"/>
    </row>
    <row r="594" spans="1:24" ht="26.25" customHeight="1" x14ac:dyDescent="0.25">
      <c r="A594" s="1990"/>
      <c r="B594" s="1988"/>
      <c r="C594" s="1986"/>
      <c r="D594" s="1377" t="s">
        <v>201</v>
      </c>
      <c r="E594" s="1378" t="s">
        <v>73</v>
      </c>
      <c r="F594" s="1378" t="s">
        <v>1785</v>
      </c>
      <c r="G594" s="1378" t="s">
        <v>1754</v>
      </c>
      <c r="H594" s="1374"/>
      <c r="I594" s="1374"/>
      <c r="J594" s="1374"/>
      <c r="K594" s="1374"/>
      <c r="L594" s="1374">
        <v>2570921</v>
      </c>
      <c r="M594" s="1374"/>
      <c r="N594" s="1374"/>
      <c r="O594" s="1374"/>
      <c r="P594" s="1375"/>
      <c r="Q594" s="1376"/>
      <c r="R594" s="1374"/>
      <c r="S594" s="1374"/>
      <c r="T594" s="1374"/>
      <c r="U594" s="1374"/>
      <c r="V594" s="1374"/>
      <c r="W594" s="1374"/>
      <c r="X594" s="1375"/>
    </row>
    <row r="595" spans="1:24" ht="25.5" customHeight="1" x14ac:dyDescent="0.25">
      <c r="A595" s="1989" t="s">
        <v>2396</v>
      </c>
      <c r="B595" s="1987" t="s">
        <v>2672</v>
      </c>
      <c r="C595" s="1985" t="s">
        <v>2673</v>
      </c>
      <c r="D595" s="1377" t="s">
        <v>204</v>
      </c>
      <c r="E595" s="1378" t="s">
        <v>1753</v>
      </c>
      <c r="F595" s="1378" t="s">
        <v>1784</v>
      </c>
      <c r="G595" s="1378" t="s">
        <v>1754</v>
      </c>
      <c r="H595" s="1374"/>
      <c r="I595" s="1374"/>
      <c r="J595" s="1374"/>
      <c r="K595" s="1374"/>
      <c r="L595" s="1374"/>
      <c r="M595" s="1374"/>
      <c r="N595" s="1374"/>
      <c r="O595" s="1374"/>
      <c r="P595" s="1375"/>
      <c r="Q595" s="1376">
        <f>916400+35449080+28936517</f>
        <v>65301997</v>
      </c>
      <c r="R595" s="1374"/>
      <c r="S595" s="1374"/>
      <c r="T595" s="1374"/>
      <c r="U595" s="1374"/>
      <c r="V595" s="1374"/>
      <c r="W595" s="1374"/>
      <c r="X595" s="1375"/>
    </row>
    <row r="596" spans="1:24" ht="25.5" customHeight="1" x14ac:dyDescent="0.25">
      <c r="A596" s="1990"/>
      <c r="B596" s="1988"/>
      <c r="C596" s="1986"/>
      <c r="D596" s="1377" t="s">
        <v>201</v>
      </c>
      <c r="E596" s="1378" t="s">
        <v>73</v>
      </c>
      <c r="F596" s="1378" t="s">
        <v>1785</v>
      </c>
      <c r="G596" s="1378" t="s">
        <v>1754</v>
      </c>
      <c r="H596" s="1374"/>
      <c r="I596" s="1374"/>
      <c r="J596" s="1374"/>
      <c r="K596" s="1374"/>
      <c r="L596" s="1374">
        <v>65301997</v>
      </c>
      <c r="M596" s="1374"/>
      <c r="N596" s="1374"/>
      <c r="O596" s="1374"/>
      <c r="P596" s="1375"/>
      <c r="Q596" s="1376"/>
      <c r="R596" s="1374"/>
      <c r="S596" s="1374"/>
      <c r="T596" s="1374"/>
      <c r="U596" s="1374"/>
      <c r="V596" s="1374"/>
      <c r="W596" s="1374"/>
      <c r="X596" s="1375"/>
    </row>
    <row r="597" spans="1:24" ht="49.5" customHeight="1" x14ac:dyDescent="0.25">
      <c r="A597" s="1989" t="s">
        <v>2398</v>
      </c>
      <c r="B597" s="1987" t="s">
        <v>2675</v>
      </c>
      <c r="C597" s="1985" t="s">
        <v>2676</v>
      </c>
      <c r="D597" s="1377" t="s">
        <v>204</v>
      </c>
      <c r="E597" s="1378" t="s">
        <v>1753</v>
      </c>
      <c r="F597" s="1378" t="s">
        <v>1784</v>
      </c>
      <c r="G597" s="1378" t="s">
        <v>1754</v>
      </c>
      <c r="H597" s="1374"/>
      <c r="I597" s="1374"/>
      <c r="J597" s="1374"/>
      <c r="K597" s="1374"/>
      <c r="L597" s="1374"/>
      <c r="M597" s="1374"/>
      <c r="N597" s="1374"/>
      <c r="O597" s="1374"/>
      <c r="P597" s="1375"/>
      <c r="Q597" s="1376">
        <v>189906276</v>
      </c>
      <c r="R597" s="1374"/>
      <c r="S597" s="1374"/>
      <c r="T597" s="1374"/>
      <c r="U597" s="1374"/>
      <c r="V597" s="1374"/>
      <c r="W597" s="1374"/>
      <c r="X597" s="1375"/>
    </row>
    <row r="598" spans="1:24" ht="49.5" customHeight="1" x14ac:dyDescent="0.25">
      <c r="A598" s="1990"/>
      <c r="B598" s="1988"/>
      <c r="C598" s="1986"/>
      <c r="D598" s="1377" t="s">
        <v>201</v>
      </c>
      <c r="E598" s="1378" t="s">
        <v>73</v>
      </c>
      <c r="F598" s="1378" t="s">
        <v>1785</v>
      </c>
      <c r="G598" s="1378" t="s">
        <v>1754</v>
      </c>
      <c r="H598" s="1374"/>
      <c r="I598" s="1374"/>
      <c r="J598" s="1374"/>
      <c r="K598" s="1374"/>
      <c r="L598" s="1374">
        <v>189906276</v>
      </c>
      <c r="M598" s="1374"/>
      <c r="N598" s="1374"/>
      <c r="O598" s="1374"/>
      <c r="P598" s="1375"/>
      <c r="Q598" s="1376"/>
      <c r="R598" s="1374"/>
      <c r="S598" s="1374"/>
      <c r="T598" s="1374"/>
      <c r="U598" s="1374"/>
      <c r="V598" s="1374"/>
      <c r="W598" s="1374"/>
      <c r="X598" s="1375"/>
    </row>
    <row r="599" spans="1:24" ht="31.5" customHeight="1" x14ac:dyDescent="0.25">
      <c r="A599" s="1481" t="s">
        <v>2677</v>
      </c>
      <c r="B599" s="1479" t="s">
        <v>2678</v>
      </c>
      <c r="C599" s="1477" t="s">
        <v>2679</v>
      </c>
      <c r="D599" s="1377" t="s">
        <v>204</v>
      </c>
      <c r="E599" s="1378" t="s">
        <v>1753</v>
      </c>
      <c r="F599" s="1378" t="s">
        <v>1784</v>
      </c>
      <c r="G599" s="1378" t="s">
        <v>1754</v>
      </c>
      <c r="H599" s="1374"/>
      <c r="I599" s="1374"/>
      <c r="J599" s="1374"/>
      <c r="K599" s="1374"/>
      <c r="L599" s="1374"/>
      <c r="M599" s="1374"/>
      <c r="N599" s="1374"/>
      <c r="O599" s="1374"/>
      <c r="P599" s="1375">
        <v>17158949</v>
      </c>
      <c r="Q599" s="1376"/>
      <c r="R599" s="1374"/>
      <c r="S599" s="1374"/>
      <c r="T599" s="1374"/>
      <c r="U599" s="1374"/>
      <c r="V599" s="1374"/>
      <c r="W599" s="1374"/>
      <c r="X599" s="1375">
        <v>17158949</v>
      </c>
    </row>
    <row r="600" spans="1:24" ht="33.75" customHeight="1" x14ac:dyDescent="0.25">
      <c r="A600" s="1481" t="s">
        <v>2407</v>
      </c>
      <c r="B600" s="1479" t="s">
        <v>2680</v>
      </c>
      <c r="C600" s="1477" t="s">
        <v>2681</v>
      </c>
      <c r="D600" s="1377" t="s">
        <v>194</v>
      </c>
      <c r="E600" s="1378" t="s">
        <v>62</v>
      </c>
      <c r="F600" s="1378" t="s">
        <v>541</v>
      </c>
      <c r="G600" s="1378" t="s">
        <v>1766</v>
      </c>
      <c r="H600" s="1374">
        <f>-43415+43415</f>
        <v>0</v>
      </c>
      <c r="I600" s="1374"/>
      <c r="J600" s="1374"/>
      <c r="K600" s="1374"/>
      <c r="L600" s="1374"/>
      <c r="M600" s="1374"/>
      <c r="N600" s="1374"/>
      <c r="O600" s="1374"/>
      <c r="P600" s="1375"/>
      <c r="Q600" s="1376"/>
      <c r="R600" s="1374"/>
      <c r="S600" s="1374"/>
      <c r="T600" s="1374"/>
      <c r="U600" s="1374"/>
      <c r="V600" s="1374"/>
      <c r="W600" s="1374"/>
      <c r="X600" s="1375"/>
    </row>
    <row r="601" spans="1:24" ht="24" customHeight="1" x14ac:dyDescent="0.25">
      <c r="A601" s="1989" t="s">
        <v>2682</v>
      </c>
      <c r="B601" s="1987" t="s">
        <v>2683</v>
      </c>
      <c r="C601" s="1985" t="s">
        <v>2684</v>
      </c>
      <c r="D601" s="1377" t="s">
        <v>194</v>
      </c>
      <c r="E601" s="1378" t="s">
        <v>2483</v>
      </c>
      <c r="F601" s="1378" t="s">
        <v>2482</v>
      </c>
      <c r="G601" s="1378" t="s">
        <v>1752</v>
      </c>
      <c r="H601" s="1374"/>
      <c r="I601" s="1374"/>
      <c r="J601" s="1374">
        <f>-2125984-574016</f>
        <v>-2700000</v>
      </c>
      <c r="K601" s="1374"/>
      <c r="L601" s="1374"/>
      <c r="M601" s="1374"/>
      <c r="N601" s="1374"/>
      <c r="O601" s="1374"/>
      <c r="P601" s="1375"/>
      <c r="Q601" s="1376"/>
      <c r="R601" s="1374"/>
      <c r="S601" s="1374"/>
      <c r="T601" s="1374"/>
      <c r="U601" s="1374"/>
      <c r="V601" s="1374"/>
      <c r="W601" s="1374"/>
      <c r="X601" s="1375"/>
    </row>
    <row r="602" spans="1:24" ht="24" customHeight="1" x14ac:dyDescent="0.25">
      <c r="A602" s="1990"/>
      <c r="B602" s="1988"/>
      <c r="C602" s="1986"/>
      <c r="D602" s="1377" t="s">
        <v>194</v>
      </c>
      <c r="E602" s="1378" t="s">
        <v>607</v>
      </c>
      <c r="F602" s="1378" t="s">
        <v>605</v>
      </c>
      <c r="G602" s="1378" t="s">
        <v>1754</v>
      </c>
      <c r="H602" s="1374"/>
      <c r="I602" s="1374"/>
      <c r="J602" s="1374">
        <f>2125984+574016</f>
        <v>2700000</v>
      </c>
      <c r="K602" s="1374"/>
      <c r="L602" s="1374"/>
      <c r="M602" s="1374"/>
      <c r="N602" s="1374"/>
      <c r="O602" s="1374"/>
      <c r="P602" s="1375"/>
      <c r="Q602" s="1376"/>
      <c r="R602" s="1374"/>
      <c r="S602" s="1374"/>
      <c r="T602" s="1374"/>
      <c r="U602" s="1374"/>
      <c r="V602" s="1374"/>
      <c r="W602" s="1374"/>
      <c r="X602" s="1375"/>
    </row>
    <row r="603" spans="1:24" ht="16.5" customHeight="1" x14ac:dyDescent="0.25">
      <c r="A603" s="1989" t="s">
        <v>2410</v>
      </c>
      <c r="B603" s="1987" t="s">
        <v>2685</v>
      </c>
      <c r="C603" s="1985" t="s">
        <v>2686</v>
      </c>
      <c r="D603" s="1377" t="s">
        <v>201</v>
      </c>
      <c r="E603" s="1378" t="s">
        <v>73</v>
      </c>
      <c r="F603" s="1378" t="s">
        <v>1785</v>
      </c>
      <c r="G603" s="1378" t="s">
        <v>1752</v>
      </c>
      <c r="H603" s="1374"/>
      <c r="I603" s="1374"/>
      <c r="J603" s="1374"/>
      <c r="K603" s="1374"/>
      <c r="L603" s="1374">
        <v>-321500</v>
      </c>
      <c r="M603" s="1374"/>
      <c r="N603" s="1374"/>
      <c r="O603" s="1374"/>
      <c r="P603" s="1375"/>
      <c r="Q603" s="1376"/>
      <c r="R603" s="1374"/>
      <c r="S603" s="1374"/>
      <c r="T603" s="1374"/>
      <c r="U603" s="1374"/>
      <c r="V603" s="1374"/>
      <c r="W603" s="1374"/>
      <c r="X603" s="1375"/>
    </row>
    <row r="604" spans="1:24" ht="16.5" customHeight="1" x14ac:dyDescent="0.25">
      <c r="A604" s="1995"/>
      <c r="B604" s="2007"/>
      <c r="C604" s="1993"/>
      <c r="D604" s="1377" t="s">
        <v>194</v>
      </c>
      <c r="E604" s="1378" t="s">
        <v>130</v>
      </c>
      <c r="F604" s="1378" t="s">
        <v>1865</v>
      </c>
      <c r="G604" s="1378" t="s">
        <v>1754</v>
      </c>
      <c r="H604" s="1374"/>
      <c r="I604" s="1374"/>
      <c r="J604" s="1374">
        <f>40551+10949</f>
        <v>51500</v>
      </c>
      <c r="K604" s="1374"/>
      <c r="L604" s="1374"/>
      <c r="M604" s="1374"/>
      <c r="N604" s="1374"/>
      <c r="O604" s="1374"/>
      <c r="P604" s="1375"/>
      <c r="Q604" s="1376"/>
      <c r="R604" s="1374"/>
      <c r="S604" s="1374"/>
      <c r="T604" s="1374"/>
      <c r="U604" s="1374"/>
      <c r="V604" s="1374"/>
      <c r="W604" s="1374"/>
      <c r="X604" s="1375"/>
    </row>
    <row r="605" spans="1:24" ht="16.5" customHeight="1" x14ac:dyDescent="0.25">
      <c r="A605" s="1990"/>
      <c r="B605" s="1988"/>
      <c r="C605" s="1986"/>
      <c r="D605" s="1377" t="s">
        <v>199</v>
      </c>
      <c r="E605" s="1378" t="s">
        <v>130</v>
      </c>
      <c r="F605" s="1378" t="s">
        <v>1865</v>
      </c>
      <c r="G605" s="1378" t="s">
        <v>1754</v>
      </c>
      <c r="H605" s="1374"/>
      <c r="I605" s="1374"/>
      <c r="J605" s="1374"/>
      <c r="K605" s="1374"/>
      <c r="L605" s="1374"/>
      <c r="M605" s="1374">
        <f>212598+57402</f>
        <v>270000</v>
      </c>
      <c r="N605" s="1374"/>
      <c r="O605" s="1374"/>
      <c r="P605" s="1375"/>
      <c r="Q605" s="1376"/>
      <c r="R605" s="1374"/>
      <c r="S605" s="1374"/>
      <c r="T605" s="1374"/>
      <c r="U605" s="1374"/>
      <c r="V605" s="1374"/>
      <c r="W605" s="1374"/>
      <c r="X605" s="1375"/>
    </row>
    <row r="606" spans="1:24" ht="26.25" customHeight="1" x14ac:dyDescent="0.25">
      <c r="A606" s="1989" t="s">
        <v>2412</v>
      </c>
      <c r="B606" s="1987" t="s">
        <v>2688</v>
      </c>
      <c r="C606" s="1985" t="s">
        <v>2689</v>
      </c>
      <c r="D606" s="1377" t="s">
        <v>194</v>
      </c>
      <c r="E606" s="1378" t="s">
        <v>844</v>
      </c>
      <c r="F606" s="1378" t="s">
        <v>843</v>
      </c>
      <c r="G606" s="1378" t="s">
        <v>1754</v>
      </c>
      <c r="H606" s="1374"/>
      <c r="I606" s="1374"/>
      <c r="J606" s="1374">
        <f>50946+13756</f>
        <v>64702</v>
      </c>
      <c r="K606" s="1374"/>
      <c r="L606" s="1374"/>
      <c r="M606" s="1374"/>
      <c r="N606" s="1374"/>
      <c r="O606" s="1374"/>
      <c r="P606" s="1375"/>
      <c r="Q606" s="1376"/>
      <c r="R606" s="1374"/>
      <c r="S606" s="1374"/>
      <c r="T606" s="1374"/>
      <c r="U606" s="1374"/>
      <c r="V606" s="1374"/>
      <c r="W606" s="1374"/>
      <c r="X606" s="1375"/>
    </row>
    <row r="607" spans="1:24" ht="26.25" customHeight="1" x14ac:dyDescent="0.25">
      <c r="A607" s="1990"/>
      <c r="B607" s="1988"/>
      <c r="C607" s="1986"/>
      <c r="D607" s="1377" t="s">
        <v>199</v>
      </c>
      <c r="E607" s="1378" t="s">
        <v>844</v>
      </c>
      <c r="F607" s="1378" t="s">
        <v>843</v>
      </c>
      <c r="G607" s="1378" t="s">
        <v>1766</v>
      </c>
      <c r="H607" s="1374"/>
      <c r="I607" s="1374"/>
      <c r="J607" s="1374"/>
      <c r="K607" s="1374"/>
      <c r="L607" s="1374"/>
      <c r="M607" s="1374">
        <f>-69446-13756+18500</f>
        <v>-64702</v>
      </c>
      <c r="N607" s="1374"/>
      <c r="O607" s="1374"/>
      <c r="P607" s="1375"/>
      <c r="Q607" s="1376"/>
      <c r="R607" s="1374"/>
      <c r="S607" s="1374"/>
      <c r="T607" s="1374"/>
      <c r="U607" s="1374"/>
      <c r="V607" s="1374"/>
      <c r="W607" s="1374"/>
      <c r="X607" s="1375"/>
    </row>
    <row r="608" spans="1:24" ht="20.25" customHeight="1" x14ac:dyDescent="0.25">
      <c r="A608" s="1989" t="s">
        <v>2414</v>
      </c>
      <c r="B608" s="1987" t="s">
        <v>2693</v>
      </c>
      <c r="C608" s="1985" t="s">
        <v>2694</v>
      </c>
      <c r="D608" s="1377" t="s">
        <v>201</v>
      </c>
      <c r="E608" s="1378" t="s">
        <v>73</v>
      </c>
      <c r="F608" s="1378" t="s">
        <v>1785</v>
      </c>
      <c r="G608" s="1378" t="s">
        <v>1752</v>
      </c>
      <c r="H608" s="1374"/>
      <c r="I608" s="1374"/>
      <c r="J608" s="1374"/>
      <c r="K608" s="1374"/>
      <c r="L608" s="1374">
        <v>-381000</v>
      </c>
      <c r="M608" s="1374"/>
      <c r="N608" s="1374"/>
      <c r="O608" s="1374"/>
      <c r="P608" s="1375"/>
      <c r="Q608" s="1376"/>
      <c r="R608" s="1374"/>
      <c r="S608" s="1374"/>
      <c r="T608" s="1374"/>
      <c r="U608" s="1374"/>
      <c r="V608" s="1374"/>
      <c r="W608" s="1374"/>
      <c r="X608" s="1375"/>
    </row>
    <row r="609" spans="1:24" ht="20.25" customHeight="1" x14ac:dyDescent="0.25">
      <c r="A609" s="1990"/>
      <c r="B609" s="1988"/>
      <c r="C609" s="1986"/>
      <c r="D609" s="1377">
        <v>117</v>
      </c>
      <c r="E609" s="1378" t="s">
        <v>844</v>
      </c>
      <c r="F609" s="1378" t="s">
        <v>1802</v>
      </c>
      <c r="G609" s="1378" t="s">
        <v>1754</v>
      </c>
      <c r="H609" s="1374"/>
      <c r="I609" s="1374"/>
      <c r="J609" s="1374">
        <f>300000+81000</f>
        <v>381000</v>
      </c>
      <c r="K609" s="1374"/>
      <c r="L609" s="1374"/>
      <c r="M609" s="1374"/>
      <c r="N609" s="1374"/>
      <c r="O609" s="1374"/>
      <c r="P609" s="1375"/>
      <c r="Q609" s="1376"/>
      <c r="R609" s="1374"/>
      <c r="S609" s="1374"/>
      <c r="T609" s="1374"/>
      <c r="U609" s="1374"/>
      <c r="V609" s="1374"/>
      <c r="W609" s="1374"/>
      <c r="X609" s="1375"/>
    </row>
    <row r="610" spans="1:24" ht="24.75" customHeight="1" x14ac:dyDescent="0.25">
      <c r="A610" s="1989" t="s">
        <v>2416</v>
      </c>
      <c r="B610" s="1987" t="s">
        <v>2695</v>
      </c>
      <c r="C610" s="1985" t="s">
        <v>2696</v>
      </c>
      <c r="D610" s="1377" t="s">
        <v>201</v>
      </c>
      <c r="E610" s="1378" t="s">
        <v>73</v>
      </c>
      <c r="F610" s="1378" t="s">
        <v>1785</v>
      </c>
      <c r="G610" s="1378" t="s">
        <v>1752</v>
      </c>
      <c r="H610" s="1374"/>
      <c r="I610" s="1374"/>
      <c r="J610" s="1374"/>
      <c r="K610" s="1374"/>
      <c r="L610" s="1374">
        <v>-635000</v>
      </c>
      <c r="M610" s="1374"/>
      <c r="N610" s="1374"/>
      <c r="O610" s="1374"/>
      <c r="P610" s="1375">
        <v>635000</v>
      </c>
      <c r="Q610" s="1376"/>
      <c r="R610" s="1374"/>
      <c r="S610" s="1374"/>
      <c r="T610" s="1374"/>
      <c r="U610" s="1374"/>
      <c r="V610" s="1374"/>
      <c r="W610" s="1374"/>
      <c r="X610" s="1375"/>
    </row>
    <row r="611" spans="1:24" ht="24.75" customHeight="1" x14ac:dyDescent="0.25">
      <c r="A611" s="1990"/>
      <c r="B611" s="1988"/>
      <c r="C611" s="1986"/>
      <c r="D611" s="1377" t="s">
        <v>203</v>
      </c>
      <c r="E611" s="1378" t="s">
        <v>1297</v>
      </c>
      <c r="F611" s="1378" t="s">
        <v>550</v>
      </c>
      <c r="G611" s="1378" t="s">
        <v>1754</v>
      </c>
      <c r="H611" s="1374"/>
      <c r="I611" s="1374"/>
      <c r="J611" s="1374"/>
      <c r="K611" s="1374"/>
      <c r="L611" s="1374"/>
      <c r="M611" s="1374"/>
      <c r="N611" s="1374"/>
      <c r="O611" s="1374"/>
      <c r="P611" s="1375"/>
      <c r="Q611" s="1376"/>
      <c r="R611" s="1374"/>
      <c r="S611" s="1374"/>
      <c r="T611" s="1374"/>
      <c r="U611" s="1374"/>
      <c r="V611" s="1374"/>
      <c r="W611" s="1374"/>
      <c r="X611" s="1375"/>
    </row>
    <row r="612" spans="1:24" ht="33" customHeight="1" x14ac:dyDescent="0.25">
      <c r="A612" s="1481" t="s">
        <v>2424</v>
      </c>
      <c r="B612" s="1479" t="s">
        <v>2697</v>
      </c>
      <c r="C612" s="1477" t="s">
        <v>2698</v>
      </c>
      <c r="D612" s="1377" t="s">
        <v>194</v>
      </c>
      <c r="E612" s="1378" t="s">
        <v>617</v>
      </c>
      <c r="F612" s="1378" t="s">
        <v>2066</v>
      </c>
      <c r="G612" s="1378" t="s">
        <v>1766</v>
      </c>
      <c r="H612" s="1374"/>
      <c r="I612" s="1374"/>
      <c r="J612" s="1374">
        <f>-200000-100000-176190+476190</f>
        <v>0</v>
      </c>
      <c r="K612" s="1374"/>
      <c r="L612" s="1374"/>
      <c r="M612" s="1374"/>
      <c r="N612" s="1374"/>
      <c r="O612" s="1374"/>
      <c r="P612" s="1375"/>
      <c r="Q612" s="1376"/>
      <c r="R612" s="1374"/>
      <c r="S612" s="1374"/>
      <c r="T612" s="1374"/>
      <c r="U612" s="1374"/>
      <c r="V612" s="1374"/>
      <c r="W612" s="1374"/>
      <c r="X612" s="1375"/>
    </row>
    <row r="613" spans="1:24" ht="21" customHeight="1" x14ac:dyDescent="0.25">
      <c r="A613" s="1989" t="s">
        <v>2426</v>
      </c>
      <c r="B613" s="1987" t="s">
        <v>2699</v>
      </c>
      <c r="C613" s="1985" t="s">
        <v>2700</v>
      </c>
      <c r="D613" s="1377" t="s">
        <v>194</v>
      </c>
      <c r="E613" s="1378" t="s">
        <v>641</v>
      </c>
      <c r="F613" s="1378" t="s">
        <v>66</v>
      </c>
      <c r="G613" s="1378" t="s">
        <v>1754</v>
      </c>
      <c r="H613" s="1374"/>
      <c r="I613" s="1374"/>
      <c r="J613" s="1374"/>
      <c r="K613" s="1374"/>
      <c r="L613" s="1374"/>
      <c r="M613" s="1374"/>
      <c r="N613" s="1374"/>
      <c r="O613" s="1374"/>
      <c r="P613" s="1375"/>
      <c r="Q613" s="1376"/>
      <c r="R613" s="1374"/>
      <c r="S613" s="1374"/>
      <c r="T613" s="1374">
        <f>78740+21260</f>
        <v>100000</v>
      </c>
      <c r="U613" s="1374"/>
      <c r="V613" s="1374"/>
      <c r="W613" s="1374"/>
      <c r="X613" s="1375"/>
    </row>
    <row r="614" spans="1:24" ht="21" customHeight="1" x14ac:dyDescent="0.25">
      <c r="A614" s="1990"/>
      <c r="B614" s="1988"/>
      <c r="C614" s="1986"/>
      <c r="D614" s="1377" t="s">
        <v>201</v>
      </c>
      <c r="E614" s="1378" t="s">
        <v>73</v>
      </c>
      <c r="F614" s="1378" t="s">
        <v>1785</v>
      </c>
      <c r="G614" s="1378" t="s">
        <v>1754</v>
      </c>
      <c r="H614" s="1374"/>
      <c r="I614" s="1374"/>
      <c r="J614" s="1374"/>
      <c r="K614" s="1374"/>
      <c r="L614" s="1374">
        <v>100000</v>
      </c>
      <c r="M614" s="1374"/>
      <c r="N614" s="1374"/>
      <c r="O614" s="1374"/>
      <c r="P614" s="1375"/>
      <c r="Q614" s="1376"/>
      <c r="R614" s="1374"/>
      <c r="S614" s="1374"/>
      <c r="T614" s="1374"/>
      <c r="U614" s="1374"/>
      <c r="V614" s="1374"/>
      <c r="W614" s="1374"/>
      <c r="X614" s="1375"/>
    </row>
    <row r="615" spans="1:24" ht="24" customHeight="1" x14ac:dyDescent="0.25">
      <c r="A615" s="1989" t="s">
        <v>2427</v>
      </c>
      <c r="B615" s="1987" t="s">
        <v>2718</v>
      </c>
      <c r="C615" s="1985" t="s">
        <v>2719</v>
      </c>
      <c r="D615" s="1377" t="s">
        <v>194</v>
      </c>
      <c r="E615" s="1378" t="s">
        <v>130</v>
      </c>
      <c r="F615" s="1378" t="s">
        <v>2098</v>
      </c>
      <c r="G615" s="1378" t="s">
        <v>1754</v>
      </c>
      <c r="H615" s="1374"/>
      <c r="I615" s="1374"/>
      <c r="J615" s="1374"/>
      <c r="K615" s="1374"/>
      <c r="L615" s="1374"/>
      <c r="M615" s="1374"/>
      <c r="N615" s="1374"/>
      <c r="O615" s="1374"/>
      <c r="P615" s="1375"/>
      <c r="Q615" s="1376"/>
      <c r="R615" s="1374"/>
      <c r="S615" s="1374"/>
      <c r="T615" s="1374">
        <v>1500000</v>
      </c>
      <c r="U615" s="1374"/>
      <c r="V615" s="1374"/>
      <c r="W615" s="1374"/>
      <c r="X615" s="1375"/>
    </row>
    <row r="616" spans="1:24" ht="24" customHeight="1" x14ac:dyDescent="0.25">
      <c r="A616" s="1990"/>
      <c r="B616" s="1988"/>
      <c r="C616" s="1986"/>
      <c r="D616" s="1377" t="s">
        <v>201</v>
      </c>
      <c r="E616" s="1378" t="s">
        <v>73</v>
      </c>
      <c r="F616" s="1378" t="s">
        <v>1785</v>
      </c>
      <c r="G616" s="1378" t="s">
        <v>1754</v>
      </c>
      <c r="H616" s="1374"/>
      <c r="I616" s="1374"/>
      <c r="J616" s="1374"/>
      <c r="K616" s="1374"/>
      <c r="L616" s="1374">
        <v>1500000</v>
      </c>
      <c r="M616" s="1374"/>
      <c r="N616" s="1374"/>
      <c r="O616" s="1374"/>
      <c r="P616" s="1375"/>
      <c r="Q616" s="1376"/>
      <c r="R616" s="1374"/>
      <c r="S616" s="1374"/>
      <c r="T616" s="1374"/>
      <c r="U616" s="1374"/>
      <c r="V616" s="1374"/>
      <c r="W616" s="1374"/>
      <c r="X616" s="1375"/>
    </row>
    <row r="617" spans="1:24" ht="21.75" customHeight="1" x14ac:dyDescent="0.25">
      <c r="A617" s="1989" t="s">
        <v>2429</v>
      </c>
      <c r="B617" s="1987" t="s">
        <v>2720</v>
      </c>
      <c r="C617" s="1985" t="s">
        <v>2721</v>
      </c>
      <c r="D617" s="1377" t="s">
        <v>201</v>
      </c>
      <c r="E617" s="1378" t="s">
        <v>73</v>
      </c>
      <c r="F617" s="1378" t="s">
        <v>1785</v>
      </c>
      <c r="G617" s="1378" t="s">
        <v>1752</v>
      </c>
      <c r="H617" s="1374"/>
      <c r="I617" s="1374"/>
      <c r="J617" s="1374"/>
      <c r="K617" s="1374"/>
      <c r="L617" s="1374">
        <v>-5000000</v>
      </c>
      <c r="M617" s="1374"/>
      <c r="N617" s="1374"/>
      <c r="O617" s="1374"/>
      <c r="P617" s="1375"/>
      <c r="Q617" s="1376"/>
      <c r="R617" s="1374"/>
      <c r="S617" s="1374"/>
      <c r="T617" s="1374"/>
      <c r="U617" s="1374"/>
      <c r="V617" s="1374"/>
      <c r="W617" s="1374"/>
      <c r="X617" s="1375"/>
    </row>
    <row r="618" spans="1:24" ht="21.75" customHeight="1" x14ac:dyDescent="0.25">
      <c r="A618" s="1990"/>
      <c r="B618" s="1988"/>
      <c r="C618" s="1986"/>
      <c r="D618" s="1377" t="s">
        <v>199</v>
      </c>
      <c r="E618" s="1378" t="s">
        <v>641</v>
      </c>
      <c r="F618" s="1378" t="s">
        <v>133</v>
      </c>
      <c r="G618" s="1378" t="s">
        <v>1754</v>
      </c>
      <c r="H618" s="1374"/>
      <c r="I618" s="1374"/>
      <c r="J618" s="1374"/>
      <c r="K618" s="1374"/>
      <c r="L618" s="1374"/>
      <c r="M618" s="1374">
        <f>3937008+1062992</f>
        <v>5000000</v>
      </c>
      <c r="N618" s="1374"/>
      <c r="O618" s="1374"/>
      <c r="P618" s="1375"/>
      <c r="Q618" s="1376"/>
      <c r="R618" s="1374"/>
      <c r="S618" s="1374"/>
      <c r="T618" s="1374"/>
      <c r="U618" s="1374"/>
      <c r="V618" s="1374"/>
      <c r="W618" s="1374"/>
      <c r="X618" s="1375"/>
    </row>
    <row r="619" spans="1:24" ht="30.75" customHeight="1" x14ac:dyDescent="0.25">
      <c r="A619" s="1481"/>
      <c r="B619" s="1479"/>
      <c r="C619" s="1477" t="s">
        <v>1862</v>
      </c>
      <c r="D619" s="1377" t="s">
        <v>203</v>
      </c>
      <c r="E619" s="1378" t="s">
        <v>1297</v>
      </c>
      <c r="F619" s="1378" t="s">
        <v>550</v>
      </c>
      <c r="G619" s="1378" t="s">
        <v>1766</v>
      </c>
      <c r="H619" s="1374"/>
      <c r="I619" s="1374"/>
      <c r="J619" s="1374"/>
      <c r="K619" s="1374"/>
      <c r="L619" s="1374"/>
      <c r="M619" s="1374"/>
      <c r="N619" s="1374"/>
      <c r="O619" s="1374"/>
      <c r="P619" s="1375">
        <f>-1365+1365</f>
        <v>0</v>
      </c>
      <c r="Q619" s="1376"/>
      <c r="R619" s="1374"/>
      <c r="S619" s="1374"/>
      <c r="T619" s="1374"/>
      <c r="U619" s="1374"/>
      <c r="V619" s="1374"/>
      <c r="W619" s="1374"/>
      <c r="X619" s="1375"/>
    </row>
    <row r="620" spans="1:24" ht="24.75" customHeight="1" x14ac:dyDescent="0.25">
      <c r="A620" s="1989" t="s">
        <v>2434</v>
      </c>
      <c r="B620" s="1987" t="s">
        <v>2728</v>
      </c>
      <c r="C620" s="1996" t="s">
        <v>2748</v>
      </c>
      <c r="D620" s="1377" t="s">
        <v>201</v>
      </c>
      <c r="E620" s="1378" t="s">
        <v>73</v>
      </c>
      <c r="F620" s="1378" t="s">
        <v>1785</v>
      </c>
      <c r="G620" s="1378" t="s">
        <v>1752</v>
      </c>
      <c r="H620" s="1374"/>
      <c r="I620" s="1374"/>
      <c r="J620" s="1374"/>
      <c r="K620" s="1374"/>
      <c r="L620" s="1374">
        <v>-1252220</v>
      </c>
      <c r="M620" s="1374"/>
      <c r="N620" s="1374"/>
      <c r="O620" s="1374"/>
      <c r="P620" s="1375"/>
      <c r="Q620" s="1376"/>
      <c r="R620" s="1374"/>
      <c r="S620" s="1374"/>
      <c r="T620" s="1374"/>
      <c r="U620" s="1374"/>
      <c r="V620" s="1374"/>
      <c r="W620" s="1374"/>
      <c r="X620" s="1375"/>
    </row>
    <row r="621" spans="1:24" ht="24.75" customHeight="1" x14ac:dyDescent="0.25">
      <c r="A621" s="1990"/>
      <c r="B621" s="1988"/>
      <c r="C621" s="1996"/>
      <c r="D621" s="1377" t="s">
        <v>199</v>
      </c>
      <c r="E621" s="1378" t="s">
        <v>130</v>
      </c>
      <c r="F621" s="1378" t="s">
        <v>150</v>
      </c>
      <c r="G621" s="1378" t="s">
        <v>1754</v>
      </c>
      <c r="H621" s="1374"/>
      <c r="I621" s="1374"/>
      <c r="J621" s="1374"/>
      <c r="K621" s="1374"/>
      <c r="L621" s="1374"/>
      <c r="M621" s="1374">
        <f>986000+266220</f>
        <v>1252220</v>
      </c>
      <c r="N621" s="1374"/>
      <c r="O621" s="1374"/>
      <c r="P621" s="1375"/>
      <c r="Q621" s="1376"/>
      <c r="R621" s="1374"/>
      <c r="S621" s="1374"/>
      <c r="T621" s="1374"/>
      <c r="U621" s="1374"/>
      <c r="V621" s="1374"/>
      <c r="W621" s="1374"/>
      <c r="X621" s="1375"/>
    </row>
    <row r="622" spans="1:24" x14ac:dyDescent="0.25">
      <c r="A622" s="1366"/>
      <c r="B622" s="1311"/>
      <c r="C622" s="1312"/>
      <c r="D622" s="954"/>
      <c r="E622" s="1309"/>
      <c r="F622" s="1309"/>
      <c r="G622" s="1309"/>
      <c r="H622" s="985"/>
      <c r="I622" s="985"/>
      <c r="J622" s="985"/>
      <c r="K622" s="985"/>
      <c r="L622" s="985"/>
      <c r="M622" s="985"/>
      <c r="N622" s="985"/>
      <c r="O622" s="985"/>
      <c r="P622" s="986"/>
      <c r="Q622" s="1319"/>
      <c r="R622" s="985"/>
      <c r="S622" s="985"/>
      <c r="T622" s="985"/>
      <c r="U622" s="985"/>
      <c r="V622" s="985"/>
      <c r="W622" s="985"/>
      <c r="X622" s="986"/>
    </row>
    <row r="623" spans="1:24" ht="18.75" x14ac:dyDescent="0.3">
      <c r="A623" s="2021" t="s">
        <v>1663</v>
      </c>
      <c r="B623" s="2022"/>
      <c r="C623" s="2022"/>
      <c r="D623" s="956"/>
      <c r="E623" s="956"/>
      <c r="F623" s="956"/>
      <c r="G623" s="956"/>
      <c r="H623" s="1595">
        <f>SUM(H268:H622)+H253</f>
        <v>32955288</v>
      </c>
      <c r="I623" s="1595">
        <f t="shared" ref="I623:X623" si="1">SUM(I268:I622)+I253</f>
        <v>4271729</v>
      </c>
      <c r="J623" s="1595">
        <f t="shared" si="1"/>
        <v>222463143</v>
      </c>
      <c r="K623" s="1595">
        <f t="shared" si="1"/>
        <v>-68810</v>
      </c>
      <c r="L623" s="1595">
        <f t="shared" si="1"/>
        <v>212843501</v>
      </c>
      <c r="M623" s="1595">
        <f t="shared" si="1"/>
        <v>185037626</v>
      </c>
      <c r="N623" s="1595">
        <f t="shared" si="1"/>
        <v>42453147</v>
      </c>
      <c r="O623" s="1595">
        <f t="shared" si="1"/>
        <v>3602301</v>
      </c>
      <c r="P623" s="1596">
        <f t="shared" si="1"/>
        <v>312411252</v>
      </c>
      <c r="Q623" s="1597">
        <f t="shared" si="1"/>
        <v>649406109</v>
      </c>
      <c r="R623" s="1595">
        <f t="shared" si="1"/>
        <v>54255209</v>
      </c>
      <c r="S623" s="1595">
        <f t="shared" si="1"/>
        <v>9261930</v>
      </c>
      <c r="T623" s="1595">
        <f t="shared" si="1"/>
        <v>12816564</v>
      </c>
      <c r="U623" s="1595">
        <f t="shared" si="1"/>
        <v>0</v>
      </c>
      <c r="V623" s="1595">
        <f t="shared" si="1"/>
        <v>0</v>
      </c>
      <c r="W623" s="1595">
        <f t="shared" si="1"/>
        <v>990750</v>
      </c>
      <c r="X623" s="1596">
        <f t="shared" si="1"/>
        <v>289238615</v>
      </c>
    </row>
    <row r="624" spans="1:24" ht="18.75" customHeight="1" x14ac:dyDescent="0.25">
      <c r="H624" s="959"/>
      <c r="I624" s="959"/>
      <c r="J624" s="959"/>
      <c r="K624" s="959"/>
      <c r="L624" s="959"/>
      <c r="M624" s="959"/>
      <c r="N624" s="959"/>
      <c r="O624" s="959"/>
      <c r="P624" s="959"/>
      <c r="Q624" s="959"/>
      <c r="R624" s="959"/>
      <c r="S624" s="959"/>
      <c r="T624" s="959"/>
      <c r="U624" s="959"/>
      <c r="V624" s="959"/>
      <c r="W624" s="959"/>
      <c r="X624" s="959"/>
    </row>
    <row r="625" spans="1:24" ht="17.25" customHeight="1" x14ac:dyDescent="0.25">
      <c r="H625" s="959"/>
      <c r="I625" s="959"/>
      <c r="J625" s="959"/>
      <c r="K625" s="959"/>
      <c r="L625" s="959"/>
      <c r="M625" s="959"/>
      <c r="N625" s="959"/>
      <c r="O625" s="959"/>
      <c r="P625" s="959"/>
      <c r="Q625" s="959"/>
      <c r="R625" s="959"/>
      <c r="S625" s="959"/>
      <c r="T625" s="959"/>
      <c r="U625" s="959"/>
      <c r="V625" s="959"/>
      <c r="W625" s="959"/>
      <c r="X625" s="959"/>
    </row>
    <row r="626" spans="1:24" x14ac:dyDescent="0.25">
      <c r="Q626" s="937"/>
    </row>
    <row r="627" spans="1:24" x14ac:dyDescent="0.25">
      <c r="Q627" s="937"/>
    </row>
    <row r="628" spans="1:24" ht="25.5" customHeight="1" x14ac:dyDescent="0.25">
      <c r="I628" s="2001" t="s">
        <v>1664</v>
      </c>
      <c r="J628" s="2001"/>
      <c r="K628" s="2001"/>
      <c r="L628" s="2001">
        <v>10339703921</v>
      </c>
      <c r="M628" s="2001"/>
      <c r="N628" s="966"/>
      <c r="O628" s="966"/>
      <c r="P628" s="966"/>
      <c r="Q628" s="966"/>
      <c r="R628" s="2001" t="s">
        <v>1665</v>
      </c>
      <c r="S628" s="2001"/>
      <c r="T628" s="2001"/>
      <c r="U628" s="2001">
        <v>10339703921</v>
      </c>
      <c r="V628" s="2001"/>
    </row>
    <row r="629" spans="1:24" ht="24.75" customHeight="1" x14ac:dyDescent="0.25">
      <c r="I629" s="2001" t="s">
        <v>1666</v>
      </c>
      <c r="J629" s="2001"/>
      <c r="K629" s="2001"/>
      <c r="L629" s="2001">
        <f>SUM(H623:P623)</f>
        <v>1015969177</v>
      </c>
      <c r="M629" s="2001"/>
      <c r="N629" s="966"/>
      <c r="O629" s="966"/>
      <c r="P629" s="966"/>
      <c r="Q629" s="966"/>
      <c r="R629" s="2001" t="s">
        <v>1666</v>
      </c>
      <c r="S629" s="2001"/>
      <c r="T629" s="2001"/>
      <c r="U629" s="2001">
        <f>SUM(Q623:X623)</f>
        <v>1015969177</v>
      </c>
      <c r="V629" s="2001"/>
    </row>
    <row r="630" spans="1:24" ht="22.5" customHeight="1" x14ac:dyDescent="0.25">
      <c r="I630" s="2001" t="s">
        <v>1512</v>
      </c>
      <c r="J630" s="2001"/>
      <c r="K630" s="2001"/>
      <c r="L630" s="2001">
        <f>+L628+L629</f>
        <v>11355673098</v>
      </c>
      <c r="M630" s="2001"/>
      <c r="N630" s="966"/>
      <c r="O630" s="966"/>
      <c r="P630" s="966"/>
      <c r="Q630" s="966"/>
      <c r="R630" s="2001" t="s">
        <v>1512</v>
      </c>
      <c r="S630" s="2001"/>
      <c r="T630" s="2001"/>
      <c r="U630" s="2001">
        <f>+U628+U629</f>
        <v>11355673098</v>
      </c>
      <c r="V630" s="2001"/>
    </row>
    <row r="631" spans="1:24" x14ac:dyDescent="0.25">
      <c r="Q631" s="937"/>
    </row>
    <row r="632" spans="1:24" x14ac:dyDescent="0.25">
      <c r="Q632" s="937"/>
    </row>
    <row r="633" spans="1:24" x14ac:dyDescent="0.25">
      <c r="Q633" s="937"/>
    </row>
    <row r="634" spans="1:24" x14ac:dyDescent="0.25">
      <c r="Q634" s="937"/>
    </row>
    <row r="635" spans="1:24" ht="15.75" x14ac:dyDescent="0.25">
      <c r="A635" s="2010" t="s">
        <v>2861</v>
      </c>
      <c r="B635" s="2010"/>
      <c r="C635" s="2010"/>
      <c r="D635" s="2010"/>
      <c r="E635" s="2010"/>
      <c r="F635" s="2010"/>
      <c r="G635" s="2010"/>
      <c r="H635" s="2010"/>
      <c r="I635" s="2010"/>
      <c r="J635" s="2010"/>
      <c r="K635" s="2010"/>
      <c r="L635" s="2010"/>
      <c r="M635" s="2010"/>
      <c r="N635" s="2010"/>
      <c r="O635" s="2010"/>
      <c r="P635" s="2010"/>
      <c r="Q635" s="2010"/>
      <c r="R635" s="2010"/>
      <c r="S635" s="2010"/>
      <c r="T635" s="2010"/>
      <c r="U635" s="2010"/>
      <c r="V635" s="2010"/>
      <c r="W635" s="2010"/>
      <c r="X635" s="2010"/>
    </row>
    <row r="636" spans="1:24" ht="15.75" x14ac:dyDescent="0.25">
      <c r="A636" s="1246"/>
      <c r="B636" s="1246"/>
      <c r="C636" s="1246"/>
      <c r="D636" s="1246"/>
      <c r="E636" s="1246"/>
      <c r="F636" s="1246"/>
      <c r="G636" s="1246"/>
      <c r="H636" s="1246"/>
      <c r="I636" s="1246"/>
      <c r="J636" s="1246"/>
      <c r="K636" s="1246"/>
      <c r="L636" s="1246"/>
      <c r="M636" s="1246"/>
      <c r="N636" s="1246"/>
      <c r="O636" s="1246"/>
      <c r="P636" s="1246"/>
      <c r="Q636" s="1246"/>
      <c r="R636" s="1246"/>
      <c r="S636" s="1246"/>
      <c r="T636" s="1246"/>
      <c r="U636" s="1246"/>
      <c r="V636" s="1246"/>
      <c r="W636" s="1246"/>
      <c r="X636" s="1246"/>
    </row>
    <row r="637" spans="1:24" x14ac:dyDescent="0.25">
      <c r="A637" s="938"/>
      <c r="B637" s="930"/>
      <c r="C637" s="931"/>
      <c r="D637" s="932"/>
      <c r="E637" s="933"/>
      <c r="F637" s="934"/>
      <c r="G637" s="933"/>
      <c r="H637" s="935"/>
      <c r="I637" s="935"/>
      <c r="J637" s="935"/>
      <c r="K637" s="935"/>
      <c r="L637" s="936"/>
      <c r="M637" s="935"/>
      <c r="N637" s="935"/>
      <c r="O637" s="935"/>
      <c r="P637" s="936"/>
      <c r="Q637" s="935"/>
      <c r="R637" s="935"/>
      <c r="S637" s="935"/>
      <c r="T637" s="935"/>
      <c r="U637" s="935"/>
      <c r="V637" s="935"/>
      <c r="W637" s="935"/>
      <c r="X637" s="939"/>
    </row>
    <row r="638" spans="1:24" ht="17.25" customHeight="1" x14ac:dyDescent="0.25">
      <c r="A638" s="2005" t="s">
        <v>37</v>
      </c>
      <c r="B638" s="1773" t="s">
        <v>1640</v>
      </c>
      <c r="C638" s="2008" t="s">
        <v>2</v>
      </c>
      <c r="D638" s="1997" t="s">
        <v>1641</v>
      </c>
      <c r="E638" s="1997" t="s">
        <v>116</v>
      </c>
      <c r="F638" s="1997" t="s">
        <v>1642</v>
      </c>
      <c r="G638" s="1997" t="s">
        <v>1643</v>
      </c>
      <c r="H638" s="1999" t="s">
        <v>1644</v>
      </c>
      <c r="I638" s="1999"/>
      <c r="J638" s="1999"/>
      <c r="K638" s="1999"/>
      <c r="L638" s="1999"/>
      <c r="M638" s="1999"/>
      <c r="N638" s="1999"/>
      <c r="O638" s="2000"/>
      <c r="P638" s="1248"/>
      <c r="Q638" s="2011" t="s">
        <v>1645</v>
      </c>
      <c r="R638" s="1999"/>
      <c r="S638" s="1999"/>
      <c r="T638" s="1999"/>
      <c r="U638" s="1999"/>
      <c r="V638" s="1999"/>
      <c r="W638" s="1999"/>
      <c r="X638" s="2012"/>
    </row>
    <row r="639" spans="1:24" ht="84.75" customHeight="1" x14ac:dyDescent="0.25">
      <c r="A639" s="2006"/>
      <c r="B639" s="1774"/>
      <c r="C639" s="2009"/>
      <c r="D639" s="1998"/>
      <c r="E639" s="1998"/>
      <c r="F639" s="1998"/>
      <c r="G639" s="1998"/>
      <c r="H639" s="941" t="s">
        <v>1646</v>
      </c>
      <c r="I639" s="942" t="s">
        <v>1647</v>
      </c>
      <c r="J639" s="941" t="s">
        <v>1648</v>
      </c>
      <c r="K639" s="941" t="s">
        <v>1649</v>
      </c>
      <c r="L639" s="941" t="s">
        <v>1650</v>
      </c>
      <c r="M639" s="941" t="s">
        <v>1651</v>
      </c>
      <c r="N639" s="941" t="s">
        <v>1652</v>
      </c>
      <c r="O639" s="942" t="s">
        <v>1653</v>
      </c>
      <c r="P639" s="944" t="s">
        <v>1654</v>
      </c>
      <c r="Q639" s="999" t="s">
        <v>1655</v>
      </c>
      <c r="R639" s="942" t="s">
        <v>1656</v>
      </c>
      <c r="S639" s="941" t="s">
        <v>1657</v>
      </c>
      <c r="T639" s="941" t="s">
        <v>1658</v>
      </c>
      <c r="U639" s="942" t="s">
        <v>1659</v>
      </c>
      <c r="V639" s="942" t="s">
        <v>1660</v>
      </c>
      <c r="W639" s="942" t="s">
        <v>1661</v>
      </c>
      <c r="X639" s="944" t="s">
        <v>1662</v>
      </c>
    </row>
    <row r="640" spans="1:24" ht="17.25" customHeight="1" x14ac:dyDescent="0.25">
      <c r="A640" s="2031" t="s">
        <v>2435</v>
      </c>
      <c r="B640" s="2030" t="s">
        <v>2732</v>
      </c>
      <c r="C640" s="2029" t="s">
        <v>2733</v>
      </c>
      <c r="D640" s="946" t="s">
        <v>201</v>
      </c>
      <c r="E640" s="1141" t="s">
        <v>73</v>
      </c>
      <c r="F640" s="1141" t="s">
        <v>1785</v>
      </c>
      <c r="G640" s="1141" t="s">
        <v>1752</v>
      </c>
      <c r="H640" s="949"/>
      <c r="I640" s="949"/>
      <c r="J640" s="949"/>
      <c r="K640" s="949"/>
      <c r="L640" s="949">
        <v>-246573</v>
      </c>
      <c r="M640" s="949"/>
      <c r="N640" s="949"/>
      <c r="O640" s="949"/>
      <c r="P640" s="976"/>
      <c r="Q640" s="1448"/>
      <c r="R640" s="949"/>
      <c r="S640" s="949"/>
      <c r="T640" s="949"/>
      <c r="U640" s="949"/>
      <c r="V640" s="949"/>
      <c r="W640" s="949"/>
      <c r="X640" s="976"/>
    </row>
    <row r="641" spans="1:24" ht="17.25" customHeight="1" x14ac:dyDescent="0.25">
      <c r="A641" s="2018"/>
      <c r="B641" s="2017"/>
      <c r="C641" s="1996"/>
      <c r="D641" s="953" t="s">
        <v>194</v>
      </c>
      <c r="E641" s="1307" t="s">
        <v>62</v>
      </c>
      <c r="F641" s="1307" t="s">
        <v>541</v>
      </c>
      <c r="G641" s="1307" t="s">
        <v>1754</v>
      </c>
      <c r="H641" s="980"/>
      <c r="I641" s="980"/>
      <c r="J641" s="980">
        <f>186152+50261</f>
        <v>236413</v>
      </c>
      <c r="K641" s="980"/>
      <c r="L641" s="980"/>
      <c r="M641" s="980"/>
      <c r="N641" s="980"/>
      <c r="O641" s="980"/>
      <c r="P641" s="981"/>
      <c r="Q641" s="1449"/>
      <c r="R641" s="980"/>
      <c r="S641" s="980"/>
      <c r="T641" s="980"/>
      <c r="U641" s="980"/>
      <c r="V641" s="980"/>
      <c r="W641" s="980"/>
      <c r="X641" s="981"/>
    </row>
    <row r="642" spans="1:24" ht="17.25" customHeight="1" x14ac:dyDescent="0.25">
      <c r="A642" s="2018"/>
      <c r="B642" s="2017"/>
      <c r="C642" s="1996"/>
      <c r="D642" s="953" t="s">
        <v>199</v>
      </c>
      <c r="E642" s="1307" t="s">
        <v>62</v>
      </c>
      <c r="F642" s="1307" t="s">
        <v>541</v>
      </c>
      <c r="G642" s="1307" t="s">
        <v>1754</v>
      </c>
      <c r="H642" s="980"/>
      <c r="I642" s="980"/>
      <c r="J642" s="980"/>
      <c r="K642" s="980"/>
      <c r="L642" s="980"/>
      <c r="M642" s="980">
        <f>8000+2160</f>
        <v>10160</v>
      </c>
      <c r="N642" s="980"/>
      <c r="O642" s="980"/>
      <c r="P642" s="981"/>
      <c r="Q642" s="1449"/>
      <c r="R642" s="980"/>
      <c r="S642" s="980"/>
      <c r="T642" s="980"/>
      <c r="U642" s="980"/>
      <c r="V642" s="980"/>
      <c r="W642" s="980"/>
      <c r="X642" s="981"/>
    </row>
    <row r="643" spans="1:24" ht="32.25" customHeight="1" x14ac:dyDescent="0.25">
      <c r="A643" s="1488" t="s">
        <v>2438</v>
      </c>
      <c r="B643" s="1486" t="s">
        <v>2736</v>
      </c>
      <c r="C643" s="1482" t="s">
        <v>2737</v>
      </c>
      <c r="D643" s="953" t="s">
        <v>199</v>
      </c>
      <c r="E643" s="1307" t="s">
        <v>601</v>
      </c>
      <c r="F643" s="1307" t="s">
        <v>127</v>
      </c>
      <c r="G643" s="1307" t="s">
        <v>1766</v>
      </c>
      <c r="H643" s="980"/>
      <c r="I643" s="980"/>
      <c r="J643" s="980"/>
      <c r="K643" s="980"/>
      <c r="L643" s="980"/>
      <c r="M643" s="980">
        <f>-1056715-285313+1056715+285313</f>
        <v>0</v>
      </c>
      <c r="N643" s="980"/>
      <c r="O643" s="980"/>
      <c r="P643" s="981"/>
      <c r="Q643" s="1449"/>
      <c r="R643" s="980"/>
      <c r="S643" s="980"/>
      <c r="T643" s="980"/>
      <c r="U643" s="980"/>
      <c r="V643" s="980"/>
      <c r="W643" s="980"/>
      <c r="X643" s="981"/>
    </row>
    <row r="644" spans="1:24" ht="23.25" customHeight="1" x14ac:dyDescent="0.25">
      <c r="A644" s="2018" t="s">
        <v>2441</v>
      </c>
      <c r="B644" s="2017" t="s">
        <v>2738</v>
      </c>
      <c r="C644" s="1996" t="s">
        <v>2739</v>
      </c>
      <c r="D644" s="953" t="s">
        <v>201</v>
      </c>
      <c r="E644" s="1307" t="s">
        <v>73</v>
      </c>
      <c r="F644" s="1307" t="s">
        <v>1785</v>
      </c>
      <c r="G644" s="1307" t="s">
        <v>1752</v>
      </c>
      <c r="H644" s="980"/>
      <c r="I644" s="980"/>
      <c r="J644" s="980"/>
      <c r="K644" s="980"/>
      <c r="L644" s="980">
        <v>-107950</v>
      </c>
      <c r="M644" s="980"/>
      <c r="N644" s="980"/>
      <c r="O644" s="980"/>
      <c r="P644" s="981"/>
      <c r="Q644" s="1449"/>
      <c r="R644" s="980"/>
      <c r="S644" s="980"/>
      <c r="T644" s="980"/>
      <c r="U644" s="980"/>
      <c r="V644" s="980"/>
      <c r="W644" s="980"/>
      <c r="X644" s="981"/>
    </row>
    <row r="645" spans="1:24" ht="23.25" customHeight="1" x14ac:dyDescent="0.25">
      <c r="A645" s="2018"/>
      <c r="B645" s="2017"/>
      <c r="C645" s="1996"/>
      <c r="D645" s="953" t="s">
        <v>203</v>
      </c>
      <c r="E645" s="1307" t="s">
        <v>1297</v>
      </c>
      <c r="F645" s="1307" t="s">
        <v>550</v>
      </c>
      <c r="G645" s="1307" t="s">
        <v>1754</v>
      </c>
      <c r="H645" s="980"/>
      <c r="I645" s="980"/>
      <c r="J645" s="980"/>
      <c r="K645" s="980"/>
      <c r="L645" s="980"/>
      <c r="M645" s="980"/>
      <c r="N645" s="980"/>
      <c r="O645" s="980"/>
      <c r="P645" s="981">
        <v>107950</v>
      </c>
      <c r="Q645" s="1449"/>
      <c r="R645" s="980"/>
      <c r="S645" s="980"/>
      <c r="T645" s="980"/>
      <c r="U645" s="980"/>
      <c r="V645" s="980"/>
      <c r="W645" s="980"/>
      <c r="X645" s="981"/>
    </row>
    <row r="646" spans="1:24" ht="30" x14ac:dyDescent="0.25">
      <c r="A646" s="1488" t="s">
        <v>2446</v>
      </c>
      <c r="B646" s="1486" t="s">
        <v>2740</v>
      </c>
      <c r="C646" s="1259" t="s">
        <v>2357</v>
      </c>
      <c r="D646" s="953" t="s">
        <v>194</v>
      </c>
      <c r="E646" s="1307" t="s">
        <v>130</v>
      </c>
      <c r="F646" s="1307" t="s">
        <v>152</v>
      </c>
      <c r="G646" s="1307" t="s">
        <v>1754</v>
      </c>
      <c r="H646" s="980"/>
      <c r="I646" s="980"/>
      <c r="J646" s="980">
        <f>3000000+810000</f>
        <v>3810000</v>
      </c>
      <c r="K646" s="980"/>
      <c r="L646" s="980"/>
      <c r="M646" s="980"/>
      <c r="N646" s="980"/>
      <c r="O646" s="980"/>
      <c r="P646" s="981"/>
      <c r="Q646" s="1449"/>
      <c r="R646" s="980"/>
      <c r="S646" s="980"/>
      <c r="T646" s="980">
        <f>3000000+810000</f>
        <v>3810000</v>
      </c>
      <c r="U646" s="980"/>
      <c r="V646" s="980"/>
      <c r="W646" s="980"/>
      <c r="X646" s="981"/>
    </row>
    <row r="647" spans="1:24" ht="24" customHeight="1" x14ac:dyDescent="0.25">
      <c r="A647" s="1989" t="s">
        <v>2448</v>
      </c>
      <c r="B647" s="1991" t="s">
        <v>2741</v>
      </c>
      <c r="C647" s="1996" t="s">
        <v>2946</v>
      </c>
      <c r="D647" s="953" t="s">
        <v>201</v>
      </c>
      <c r="E647" s="1307" t="s">
        <v>73</v>
      </c>
      <c r="F647" s="1307" t="s">
        <v>1785</v>
      </c>
      <c r="G647" s="1307" t="s">
        <v>1752</v>
      </c>
      <c r="H647" s="980"/>
      <c r="I647" s="980"/>
      <c r="J647" s="980"/>
      <c r="K647" s="980"/>
      <c r="L647" s="980">
        <v>-166366</v>
      </c>
      <c r="M647" s="980"/>
      <c r="N647" s="980"/>
      <c r="O647" s="980"/>
      <c r="P647" s="981"/>
      <c r="Q647" s="1449"/>
      <c r="R647" s="980"/>
      <c r="S647" s="980"/>
      <c r="T647" s="980"/>
      <c r="U647" s="980"/>
      <c r="V647" s="980"/>
      <c r="W647" s="980"/>
      <c r="X647" s="981"/>
    </row>
    <row r="648" spans="1:24" ht="24" customHeight="1" x14ac:dyDescent="0.25">
      <c r="A648" s="1990"/>
      <c r="B648" s="1992"/>
      <c r="C648" s="1996"/>
      <c r="D648" s="953" t="s">
        <v>203</v>
      </c>
      <c r="E648" s="1307" t="s">
        <v>1297</v>
      </c>
      <c r="F648" s="1307" t="s">
        <v>550</v>
      </c>
      <c r="G648" s="1307" t="s">
        <v>1754</v>
      </c>
      <c r="H648" s="980"/>
      <c r="I648" s="980"/>
      <c r="J648" s="980"/>
      <c r="K648" s="980"/>
      <c r="L648" s="980"/>
      <c r="M648" s="980"/>
      <c r="N648" s="980"/>
      <c r="O648" s="980"/>
      <c r="P648" s="981">
        <v>166366</v>
      </c>
      <c r="Q648" s="1449"/>
      <c r="R648" s="980"/>
      <c r="S648" s="980"/>
      <c r="T648" s="980"/>
      <c r="U648" s="980"/>
      <c r="V648" s="980"/>
      <c r="W648" s="980"/>
      <c r="X648" s="981"/>
    </row>
    <row r="649" spans="1:24" ht="19.5" customHeight="1" x14ac:dyDescent="0.25">
      <c r="A649" s="1989" t="s">
        <v>2450</v>
      </c>
      <c r="B649" s="1991" t="s">
        <v>2743</v>
      </c>
      <c r="C649" s="1985" t="s">
        <v>2744</v>
      </c>
      <c r="D649" s="953" t="s">
        <v>194</v>
      </c>
      <c r="E649" s="1307" t="s">
        <v>1940</v>
      </c>
      <c r="F649" s="1307" t="s">
        <v>2745</v>
      </c>
      <c r="G649" s="1307" t="s">
        <v>1752</v>
      </c>
      <c r="H649" s="980"/>
      <c r="I649" s="980"/>
      <c r="J649" s="980">
        <f>-865200-233604</f>
        <v>-1098804</v>
      </c>
      <c r="K649" s="980"/>
      <c r="L649" s="980"/>
      <c r="M649" s="980"/>
      <c r="N649" s="980"/>
      <c r="O649" s="980"/>
      <c r="P649" s="981"/>
      <c r="Q649" s="1449"/>
      <c r="R649" s="980"/>
      <c r="S649" s="980"/>
      <c r="T649" s="980"/>
      <c r="U649" s="980"/>
      <c r="V649" s="980"/>
      <c r="W649" s="980"/>
      <c r="X649" s="981"/>
    </row>
    <row r="650" spans="1:24" ht="19.5" customHeight="1" x14ac:dyDescent="0.25">
      <c r="A650" s="1990"/>
      <c r="B650" s="1992"/>
      <c r="C650" s="1986"/>
      <c r="D650" s="953" t="s">
        <v>199</v>
      </c>
      <c r="E650" s="1307" t="s">
        <v>130</v>
      </c>
      <c r="F650" s="1307" t="s">
        <v>150</v>
      </c>
      <c r="G650" s="1307" t="s">
        <v>1754</v>
      </c>
      <c r="H650" s="980"/>
      <c r="I650" s="980"/>
      <c r="J650" s="980"/>
      <c r="K650" s="980"/>
      <c r="L650" s="980"/>
      <c r="M650" s="980">
        <f>865200+233604</f>
        <v>1098804</v>
      </c>
      <c r="N650" s="980"/>
      <c r="O650" s="980"/>
      <c r="P650" s="981"/>
      <c r="Q650" s="1449"/>
      <c r="R650" s="980"/>
      <c r="S650" s="980"/>
      <c r="T650" s="980"/>
      <c r="U650" s="980"/>
      <c r="V650" s="980"/>
      <c r="W650" s="980"/>
      <c r="X650" s="981"/>
    </row>
    <row r="651" spans="1:24" ht="23.25" customHeight="1" x14ac:dyDescent="0.25">
      <c r="A651" s="1989" t="s">
        <v>2462</v>
      </c>
      <c r="B651" s="1991" t="s">
        <v>2749</v>
      </c>
      <c r="C651" s="1996" t="s">
        <v>2750</v>
      </c>
      <c r="D651" s="953" t="s">
        <v>201</v>
      </c>
      <c r="E651" s="1307" t="s">
        <v>73</v>
      </c>
      <c r="F651" s="1307" t="s">
        <v>1785</v>
      </c>
      <c r="G651" s="1307" t="s">
        <v>1752</v>
      </c>
      <c r="H651" s="980"/>
      <c r="I651" s="980"/>
      <c r="J651" s="980"/>
      <c r="K651" s="980"/>
      <c r="L651" s="980">
        <v>-75797</v>
      </c>
      <c r="M651" s="980"/>
      <c r="N651" s="980"/>
      <c r="O651" s="980"/>
      <c r="P651" s="981"/>
      <c r="Q651" s="1449"/>
      <c r="R651" s="980"/>
      <c r="S651" s="980"/>
      <c r="T651" s="980"/>
      <c r="U651" s="980"/>
      <c r="V651" s="980"/>
      <c r="W651" s="980"/>
      <c r="X651" s="981"/>
    </row>
    <row r="652" spans="1:24" ht="23.25" customHeight="1" x14ac:dyDescent="0.25">
      <c r="A652" s="1990"/>
      <c r="B652" s="1992"/>
      <c r="C652" s="1996"/>
      <c r="D652" s="953" t="s">
        <v>200</v>
      </c>
      <c r="E652" s="1307" t="s">
        <v>641</v>
      </c>
      <c r="F652" s="1307" t="s">
        <v>133</v>
      </c>
      <c r="G652" s="1307" t="s">
        <v>1754</v>
      </c>
      <c r="H652" s="980"/>
      <c r="I652" s="980"/>
      <c r="J652" s="980"/>
      <c r="K652" s="980"/>
      <c r="L652" s="980"/>
      <c r="M652" s="980"/>
      <c r="N652" s="980">
        <f>59683+16114</f>
        <v>75797</v>
      </c>
      <c r="O652" s="980"/>
      <c r="P652" s="981"/>
      <c r="Q652" s="1449"/>
      <c r="R652" s="980"/>
      <c r="S652" s="980"/>
      <c r="T652" s="980"/>
      <c r="U652" s="980"/>
      <c r="V652" s="980"/>
      <c r="W652" s="980"/>
      <c r="X652" s="981"/>
    </row>
    <row r="653" spans="1:24" ht="24" customHeight="1" x14ac:dyDescent="0.25">
      <c r="A653" s="1989" t="s">
        <v>2465</v>
      </c>
      <c r="B653" s="1991" t="s">
        <v>2752</v>
      </c>
      <c r="C653" s="1996" t="s">
        <v>2753</v>
      </c>
      <c r="D653" s="953" t="s">
        <v>201</v>
      </c>
      <c r="E653" s="1307" t="s">
        <v>73</v>
      </c>
      <c r="F653" s="1307" t="s">
        <v>1785</v>
      </c>
      <c r="G653" s="1307" t="s">
        <v>1752</v>
      </c>
      <c r="H653" s="980"/>
      <c r="I653" s="980"/>
      <c r="J653" s="980"/>
      <c r="K653" s="980"/>
      <c r="L653" s="980">
        <v>-374650</v>
      </c>
      <c r="M653" s="980"/>
      <c r="N653" s="980"/>
      <c r="O653" s="980"/>
      <c r="P653" s="981"/>
      <c r="Q653" s="1449"/>
      <c r="R653" s="980"/>
      <c r="S653" s="980"/>
      <c r="T653" s="980"/>
      <c r="U653" s="980"/>
      <c r="V653" s="980"/>
      <c r="W653" s="980"/>
      <c r="X653" s="981"/>
    </row>
    <row r="654" spans="1:24" ht="24" customHeight="1" x14ac:dyDescent="0.25">
      <c r="A654" s="1990"/>
      <c r="B654" s="1992"/>
      <c r="C654" s="1996"/>
      <c r="D654" s="953" t="s">
        <v>194</v>
      </c>
      <c r="E654" s="1307" t="s">
        <v>844</v>
      </c>
      <c r="F654" s="1307" t="s">
        <v>1802</v>
      </c>
      <c r="G654" s="1307" t="s">
        <v>1754</v>
      </c>
      <c r="H654" s="980"/>
      <c r="I654" s="980"/>
      <c r="J654" s="980">
        <f>295000+79650</f>
        <v>374650</v>
      </c>
      <c r="K654" s="980"/>
      <c r="L654" s="980"/>
      <c r="M654" s="980"/>
      <c r="N654" s="980"/>
      <c r="O654" s="980"/>
      <c r="P654" s="981"/>
      <c r="Q654" s="1449"/>
      <c r="R654" s="980"/>
      <c r="S654" s="980"/>
      <c r="T654" s="980"/>
      <c r="U654" s="980"/>
      <c r="V654" s="980"/>
      <c r="W654" s="980"/>
      <c r="X654" s="981"/>
    </row>
    <row r="655" spans="1:24" ht="24" customHeight="1" x14ac:dyDescent="0.25">
      <c r="A655" s="1989" t="s">
        <v>2467</v>
      </c>
      <c r="B655" s="1991" t="s">
        <v>2754</v>
      </c>
      <c r="C655" s="1996" t="s">
        <v>2755</v>
      </c>
      <c r="D655" s="953" t="s">
        <v>201</v>
      </c>
      <c r="E655" s="1307" t="s">
        <v>73</v>
      </c>
      <c r="F655" s="1307" t="s">
        <v>1785</v>
      </c>
      <c r="G655" s="1307" t="s">
        <v>1752</v>
      </c>
      <c r="H655" s="980"/>
      <c r="I655" s="980"/>
      <c r="J655" s="980"/>
      <c r="K655" s="980"/>
      <c r="L655" s="980">
        <v>-179461</v>
      </c>
      <c r="M655" s="980"/>
      <c r="N655" s="980"/>
      <c r="O655" s="980"/>
      <c r="P655" s="981"/>
      <c r="Q655" s="1449"/>
      <c r="R655" s="980"/>
      <c r="S655" s="980"/>
      <c r="T655" s="980"/>
      <c r="U655" s="980"/>
      <c r="V655" s="980"/>
      <c r="W655" s="980"/>
      <c r="X655" s="981"/>
    </row>
    <row r="656" spans="1:24" ht="24" customHeight="1" x14ac:dyDescent="0.25">
      <c r="A656" s="1990"/>
      <c r="B656" s="1992"/>
      <c r="C656" s="1996"/>
      <c r="D656" s="953" t="s">
        <v>200</v>
      </c>
      <c r="E656" s="1307" t="s">
        <v>641</v>
      </c>
      <c r="F656" s="1307" t="s">
        <v>133</v>
      </c>
      <c r="G656" s="1307" t="s">
        <v>1754</v>
      </c>
      <c r="H656" s="980"/>
      <c r="I656" s="980"/>
      <c r="J656" s="980"/>
      <c r="K656" s="980"/>
      <c r="L656" s="980"/>
      <c r="M656" s="980"/>
      <c r="N656" s="980">
        <f>141308+38153</f>
        <v>179461</v>
      </c>
      <c r="O656" s="980"/>
      <c r="P656" s="981"/>
      <c r="Q656" s="1449"/>
      <c r="R656" s="980"/>
      <c r="S656" s="980"/>
      <c r="T656" s="980"/>
      <c r="U656" s="980"/>
      <c r="V656" s="980"/>
      <c r="W656" s="980"/>
      <c r="X656" s="981"/>
    </row>
    <row r="657" spans="1:24" ht="18" customHeight="1" x14ac:dyDescent="0.25">
      <c r="A657" s="1989" t="s">
        <v>2471</v>
      </c>
      <c r="B657" s="1991" t="s">
        <v>2756</v>
      </c>
      <c r="C657" s="1985" t="s">
        <v>2757</v>
      </c>
      <c r="D657" s="953" t="s">
        <v>198</v>
      </c>
      <c r="E657" s="1307" t="s">
        <v>69</v>
      </c>
      <c r="F657" s="1307" t="s">
        <v>1830</v>
      </c>
      <c r="G657" s="1307" t="s">
        <v>1752</v>
      </c>
      <c r="H657" s="980"/>
      <c r="I657" s="980"/>
      <c r="J657" s="980"/>
      <c r="K657" s="980"/>
      <c r="L657" s="980">
        <v>-840000</v>
      </c>
      <c r="M657" s="980"/>
      <c r="N657" s="980"/>
      <c r="O657" s="980"/>
      <c r="P657" s="981"/>
      <c r="Q657" s="1449"/>
      <c r="R657" s="980"/>
      <c r="S657" s="980"/>
      <c r="T657" s="980"/>
      <c r="U657" s="980"/>
      <c r="V657" s="980"/>
      <c r="W657" s="980"/>
      <c r="X657" s="981"/>
    </row>
    <row r="658" spans="1:24" ht="17.25" customHeight="1" x14ac:dyDescent="0.25">
      <c r="A658" s="1990"/>
      <c r="B658" s="1992"/>
      <c r="C658" s="1986"/>
      <c r="D658" s="953" t="s">
        <v>198</v>
      </c>
      <c r="E658" s="1307" t="s">
        <v>620</v>
      </c>
      <c r="F658" s="1307" t="s">
        <v>1830</v>
      </c>
      <c r="G658" s="1307" t="s">
        <v>1754</v>
      </c>
      <c r="H658" s="980"/>
      <c r="I658" s="980"/>
      <c r="J658" s="980"/>
      <c r="K658" s="980"/>
      <c r="L658" s="980">
        <v>840000</v>
      </c>
      <c r="M658" s="980"/>
      <c r="N658" s="980"/>
      <c r="O658" s="980"/>
      <c r="P658" s="981"/>
      <c r="Q658" s="1449"/>
      <c r="R658" s="980"/>
      <c r="S658" s="980"/>
      <c r="T658" s="980"/>
      <c r="U658" s="980"/>
      <c r="V658" s="980"/>
      <c r="W658" s="980"/>
      <c r="X658" s="981"/>
    </row>
    <row r="659" spans="1:24" ht="18" customHeight="1" x14ac:dyDescent="0.25">
      <c r="A659" s="1989" t="s">
        <v>2475</v>
      </c>
      <c r="B659" s="1991" t="s">
        <v>2758</v>
      </c>
      <c r="C659" s="1985" t="s">
        <v>2759</v>
      </c>
      <c r="D659" s="953" t="s">
        <v>201</v>
      </c>
      <c r="E659" s="1307" t="s">
        <v>73</v>
      </c>
      <c r="F659" s="1307" t="s">
        <v>1785</v>
      </c>
      <c r="G659" s="1307" t="s">
        <v>1752</v>
      </c>
      <c r="H659" s="980"/>
      <c r="I659" s="980"/>
      <c r="J659" s="980"/>
      <c r="K659" s="980"/>
      <c r="L659" s="980">
        <v>-3581400</v>
      </c>
      <c r="M659" s="980"/>
      <c r="N659" s="980"/>
      <c r="O659" s="980"/>
      <c r="P659" s="981"/>
      <c r="Q659" s="1449"/>
      <c r="R659" s="980"/>
      <c r="S659" s="980"/>
      <c r="T659" s="980"/>
      <c r="U659" s="980"/>
      <c r="V659" s="980"/>
      <c r="W659" s="980"/>
      <c r="X659" s="981"/>
    </row>
    <row r="660" spans="1:24" ht="18" customHeight="1" x14ac:dyDescent="0.25">
      <c r="A660" s="1990"/>
      <c r="B660" s="1992"/>
      <c r="C660" s="1986"/>
      <c r="D660" s="953" t="s">
        <v>199</v>
      </c>
      <c r="E660" s="1307" t="s">
        <v>844</v>
      </c>
      <c r="F660" s="1307" t="s">
        <v>843</v>
      </c>
      <c r="G660" s="1307" t="s">
        <v>1754</v>
      </c>
      <c r="H660" s="980"/>
      <c r="I660" s="980"/>
      <c r="J660" s="980"/>
      <c r="K660" s="980"/>
      <c r="L660" s="980"/>
      <c r="M660" s="980">
        <f>2820000+761400</f>
        <v>3581400</v>
      </c>
      <c r="N660" s="980"/>
      <c r="O660" s="980"/>
      <c r="P660" s="981"/>
      <c r="Q660" s="1449"/>
      <c r="R660" s="980"/>
      <c r="S660" s="980"/>
      <c r="T660" s="980"/>
      <c r="U660" s="980"/>
      <c r="V660" s="980"/>
      <c r="W660" s="980"/>
      <c r="X660" s="981"/>
    </row>
    <row r="661" spans="1:24" ht="24.75" customHeight="1" x14ac:dyDescent="0.25">
      <c r="A661" s="1989" t="s">
        <v>2479</v>
      </c>
      <c r="B661" s="1991" t="s">
        <v>2761</v>
      </c>
      <c r="C661" s="1985" t="s">
        <v>2762</v>
      </c>
      <c r="D661" s="953" t="s">
        <v>194</v>
      </c>
      <c r="E661" s="1307" t="s">
        <v>2764</v>
      </c>
      <c r="F661" s="1307" t="s">
        <v>2763</v>
      </c>
      <c r="G661" s="1307" t="s">
        <v>1752</v>
      </c>
      <c r="H661" s="980"/>
      <c r="I661" s="980"/>
      <c r="J661" s="980">
        <f>-8464846-2285508</f>
        <v>-10750354</v>
      </c>
      <c r="K661" s="980"/>
      <c r="L661" s="980"/>
      <c r="M661" s="980"/>
      <c r="N661" s="980"/>
      <c r="O661" s="980"/>
      <c r="P661" s="981"/>
      <c r="Q661" s="1449"/>
      <c r="R661" s="980"/>
      <c r="S661" s="980"/>
      <c r="T661" s="980"/>
      <c r="U661" s="980"/>
      <c r="V661" s="980"/>
      <c r="W661" s="980"/>
      <c r="X661" s="981"/>
    </row>
    <row r="662" spans="1:24" ht="24.75" customHeight="1" x14ac:dyDescent="0.25">
      <c r="A662" s="1990"/>
      <c r="B662" s="1992"/>
      <c r="C662" s="1986"/>
      <c r="D662" s="953" t="s">
        <v>199</v>
      </c>
      <c r="E662" s="1307" t="s">
        <v>641</v>
      </c>
      <c r="F662" s="1307" t="s">
        <v>133</v>
      </c>
      <c r="G662" s="1307" t="s">
        <v>1754</v>
      </c>
      <c r="H662" s="980"/>
      <c r="I662" s="980"/>
      <c r="J662" s="980"/>
      <c r="K662" s="980"/>
      <c r="L662" s="980"/>
      <c r="M662" s="980">
        <f>8464846+2285508</f>
        <v>10750354</v>
      </c>
      <c r="N662" s="980"/>
      <c r="O662" s="980"/>
      <c r="P662" s="981"/>
      <c r="Q662" s="1449"/>
      <c r="R662" s="980"/>
      <c r="S662" s="980"/>
      <c r="T662" s="980"/>
      <c r="U662" s="980"/>
      <c r="V662" s="980"/>
      <c r="W662" s="980"/>
      <c r="X662" s="981"/>
    </row>
    <row r="663" spans="1:24" ht="18" customHeight="1" x14ac:dyDescent="0.25">
      <c r="A663" s="1989" t="s">
        <v>2766</v>
      </c>
      <c r="B663" s="1991" t="s">
        <v>2767</v>
      </c>
      <c r="C663" s="1985" t="s">
        <v>2768</v>
      </c>
      <c r="D663" s="953" t="s">
        <v>201</v>
      </c>
      <c r="E663" s="1307" t="s">
        <v>73</v>
      </c>
      <c r="F663" s="1307" t="s">
        <v>1785</v>
      </c>
      <c r="G663" s="1307" t="s">
        <v>1752</v>
      </c>
      <c r="H663" s="980"/>
      <c r="I663" s="980"/>
      <c r="J663" s="980"/>
      <c r="K663" s="980"/>
      <c r="L663" s="980">
        <v>-2000000</v>
      </c>
      <c r="M663" s="980"/>
      <c r="N663" s="980"/>
      <c r="O663" s="980"/>
      <c r="P663" s="981"/>
      <c r="Q663" s="1449"/>
      <c r="R663" s="980"/>
      <c r="S663" s="980"/>
      <c r="T663" s="980"/>
      <c r="U663" s="980"/>
      <c r="V663" s="980"/>
      <c r="W663" s="980"/>
      <c r="X663" s="981"/>
    </row>
    <row r="664" spans="1:24" ht="18" customHeight="1" x14ac:dyDescent="0.25">
      <c r="A664" s="1990"/>
      <c r="B664" s="1992"/>
      <c r="C664" s="1986"/>
      <c r="D664" s="953" t="s">
        <v>199</v>
      </c>
      <c r="E664" s="1307" t="s">
        <v>844</v>
      </c>
      <c r="F664" s="1307" t="s">
        <v>843</v>
      </c>
      <c r="G664" s="1307" t="s">
        <v>1754</v>
      </c>
      <c r="H664" s="980"/>
      <c r="I664" s="980"/>
      <c r="J664" s="980"/>
      <c r="K664" s="980"/>
      <c r="L664" s="980"/>
      <c r="M664" s="980">
        <f>1574803+425197</f>
        <v>2000000</v>
      </c>
      <c r="N664" s="980"/>
      <c r="O664" s="980"/>
      <c r="P664" s="981"/>
      <c r="Q664" s="1449"/>
      <c r="R664" s="980"/>
      <c r="S664" s="980"/>
      <c r="T664" s="980"/>
      <c r="U664" s="980"/>
      <c r="V664" s="980"/>
      <c r="W664" s="980"/>
      <c r="X664" s="981"/>
    </row>
    <row r="665" spans="1:24" ht="18.75" customHeight="1" x14ac:dyDescent="0.25">
      <c r="A665" s="1989" t="s">
        <v>2769</v>
      </c>
      <c r="B665" s="1991" t="s">
        <v>2770</v>
      </c>
      <c r="C665" s="1985" t="s">
        <v>2771</v>
      </c>
      <c r="D665" s="953" t="s">
        <v>201</v>
      </c>
      <c r="E665" s="1307" t="s">
        <v>73</v>
      </c>
      <c r="F665" s="1307" t="s">
        <v>1785</v>
      </c>
      <c r="G665" s="1307" t="s">
        <v>1752</v>
      </c>
      <c r="H665" s="980"/>
      <c r="I665" s="980"/>
      <c r="J665" s="980"/>
      <c r="K665" s="980"/>
      <c r="L665" s="980">
        <v>-30983000</v>
      </c>
      <c r="M665" s="980"/>
      <c r="N665" s="980"/>
      <c r="O665" s="980"/>
      <c r="P665" s="981"/>
      <c r="Q665" s="1449"/>
      <c r="R665" s="980"/>
      <c r="S665" s="980"/>
      <c r="T665" s="980"/>
      <c r="U665" s="980"/>
      <c r="V665" s="980"/>
      <c r="W665" s="980"/>
      <c r="X665" s="981"/>
    </row>
    <row r="666" spans="1:24" ht="18.75" customHeight="1" x14ac:dyDescent="0.25">
      <c r="A666" s="1990"/>
      <c r="B666" s="1992"/>
      <c r="C666" s="1986"/>
      <c r="D666" s="953" t="s">
        <v>194</v>
      </c>
      <c r="E666" s="1307" t="s">
        <v>602</v>
      </c>
      <c r="F666" s="1307" t="s">
        <v>857</v>
      </c>
      <c r="G666" s="1307" t="s">
        <v>1754</v>
      </c>
      <c r="H666" s="980"/>
      <c r="I666" s="980"/>
      <c r="J666" s="980">
        <f>24396063+6586937</f>
        <v>30983000</v>
      </c>
      <c r="K666" s="980"/>
      <c r="L666" s="980"/>
      <c r="M666" s="980"/>
      <c r="N666" s="980"/>
      <c r="O666" s="980"/>
      <c r="P666" s="981"/>
      <c r="Q666" s="1449"/>
      <c r="R666" s="980"/>
      <c r="S666" s="980"/>
      <c r="T666" s="980"/>
      <c r="U666" s="980"/>
      <c r="V666" s="980"/>
      <c r="W666" s="980"/>
      <c r="X666" s="981"/>
    </row>
    <row r="667" spans="1:24" ht="46.5" customHeight="1" x14ac:dyDescent="0.25">
      <c r="A667" s="1481" t="s">
        <v>2484</v>
      </c>
      <c r="B667" s="1483" t="s">
        <v>2772</v>
      </c>
      <c r="C667" s="1477" t="s">
        <v>2773</v>
      </c>
      <c r="D667" s="953" t="s">
        <v>201</v>
      </c>
      <c r="E667" s="1307" t="s">
        <v>73</v>
      </c>
      <c r="F667" s="1307" t="s">
        <v>1785</v>
      </c>
      <c r="G667" s="1307" t="s">
        <v>1766</v>
      </c>
      <c r="H667" s="980"/>
      <c r="I667" s="980"/>
      <c r="J667" s="980"/>
      <c r="K667" s="980"/>
      <c r="L667" s="980">
        <f>-3000000+3000000</f>
        <v>0</v>
      </c>
      <c r="M667" s="980"/>
      <c r="N667" s="980"/>
      <c r="O667" s="980"/>
      <c r="P667" s="981"/>
      <c r="Q667" s="1449"/>
      <c r="R667" s="980"/>
      <c r="S667" s="980"/>
      <c r="T667" s="980"/>
      <c r="U667" s="980"/>
      <c r="V667" s="980"/>
      <c r="W667" s="980"/>
      <c r="X667" s="981"/>
    </row>
    <row r="668" spans="1:24" ht="19.5" customHeight="1" x14ac:dyDescent="0.25">
      <c r="A668" s="1989" t="s">
        <v>2487</v>
      </c>
      <c r="B668" s="1991" t="s">
        <v>2774</v>
      </c>
      <c r="C668" s="1985" t="s">
        <v>2775</v>
      </c>
      <c r="D668" s="953" t="s">
        <v>201</v>
      </c>
      <c r="E668" s="1307" t="s">
        <v>73</v>
      </c>
      <c r="F668" s="1307" t="s">
        <v>1785</v>
      </c>
      <c r="G668" s="1307" t="s">
        <v>1752</v>
      </c>
      <c r="H668" s="980"/>
      <c r="I668" s="980"/>
      <c r="J668" s="980"/>
      <c r="K668" s="980"/>
      <c r="L668" s="980">
        <v>-5000000</v>
      </c>
      <c r="M668" s="980"/>
      <c r="N668" s="980"/>
      <c r="O668" s="980"/>
      <c r="P668" s="981"/>
      <c r="Q668" s="1449"/>
      <c r="R668" s="980"/>
      <c r="S668" s="980"/>
      <c r="T668" s="980"/>
      <c r="U668" s="980"/>
      <c r="V668" s="980"/>
      <c r="W668" s="980"/>
      <c r="X668" s="981"/>
    </row>
    <row r="669" spans="1:24" ht="19.5" customHeight="1" x14ac:dyDescent="0.25">
      <c r="A669" s="1990"/>
      <c r="B669" s="1992"/>
      <c r="C669" s="1986"/>
      <c r="D669" s="953" t="s">
        <v>194</v>
      </c>
      <c r="E669" s="1307" t="s">
        <v>1940</v>
      </c>
      <c r="F669" s="1307" t="s">
        <v>1939</v>
      </c>
      <c r="G669" s="1307" t="s">
        <v>1754</v>
      </c>
      <c r="H669" s="980"/>
      <c r="I669" s="980"/>
      <c r="J669" s="980">
        <f>3937008+1062992</f>
        <v>5000000</v>
      </c>
      <c r="K669" s="980"/>
      <c r="L669" s="980"/>
      <c r="M669" s="980"/>
      <c r="N669" s="980"/>
      <c r="O669" s="980"/>
      <c r="P669" s="981"/>
      <c r="Q669" s="1449"/>
      <c r="R669" s="980"/>
      <c r="S669" s="980"/>
      <c r="T669" s="980"/>
      <c r="U669" s="980"/>
      <c r="V669" s="980"/>
      <c r="W669" s="980"/>
      <c r="X669" s="981"/>
    </row>
    <row r="670" spans="1:24" ht="34.5" customHeight="1" x14ac:dyDescent="0.25">
      <c r="A670" s="1481" t="s">
        <v>2488</v>
      </c>
      <c r="B670" s="1483" t="s">
        <v>2776</v>
      </c>
      <c r="C670" s="1477" t="s">
        <v>2777</v>
      </c>
      <c r="D670" s="953" t="s">
        <v>194</v>
      </c>
      <c r="E670" s="1307" t="s">
        <v>130</v>
      </c>
      <c r="F670" s="1307" t="s">
        <v>457</v>
      </c>
      <c r="G670" s="1307" t="s">
        <v>1766</v>
      </c>
      <c r="H670" s="980"/>
      <c r="I670" s="980"/>
      <c r="J670" s="980">
        <f>-20000+20000</f>
        <v>0</v>
      </c>
      <c r="K670" s="980"/>
      <c r="L670" s="980"/>
      <c r="M670" s="980"/>
      <c r="N670" s="980"/>
      <c r="O670" s="980"/>
      <c r="P670" s="981"/>
      <c r="Q670" s="1449"/>
      <c r="R670" s="980"/>
      <c r="S670" s="980"/>
      <c r="T670" s="980"/>
      <c r="U670" s="980"/>
      <c r="V670" s="980"/>
      <c r="W670" s="980"/>
      <c r="X670" s="981"/>
    </row>
    <row r="671" spans="1:24" ht="34.5" customHeight="1" x14ac:dyDescent="0.25">
      <c r="A671" s="1481" t="s">
        <v>2491</v>
      </c>
      <c r="B671" s="1483" t="s">
        <v>2780</v>
      </c>
      <c r="C671" s="1477" t="s">
        <v>2781</v>
      </c>
      <c r="D671" s="953" t="s">
        <v>194</v>
      </c>
      <c r="E671" s="1307" t="s">
        <v>62</v>
      </c>
      <c r="F671" s="1307" t="s">
        <v>541</v>
      </c>
      <c r="G671" s="1307" t="s">
        <v>1766</v>
      </c>
      <c r="H671" s="980"/>
      <c r="I671" s="980"/>
      <c r="J671" s="980">
        <f>-110000+110000</f>
        <v>0</v>
      </c>
      <c r="K671" s="980"/>
      <c r="L671" s="980"/>
      <c r="M671" s="980"/>
      <c r="N671" s="980"/>
      <c r="O671" s="980"/>
      <c r="P671" s="981"/>
      <c r="Q671" s="1449"/>
      <c r="R671" s="980"/>
      <c r="S671" s="980"/>
      <c r="T671" s="980"/>
      <c r="U671" s="980"/>
      <c r="V671" s="980"/>
      <c r="W671" s="980"/>
      <c r="X671" s="981"/>
    </row>
    <row r="672" spans="1:24" ht="34.5" customHeight="1" x14ac:dyDescent="0.25">
      <c r="A672" s="1481"/>
      <c r="B672" s="1483"/>
      <c r="C672" s="1477" t="s">
        <v>2313</v>
      </c>
      <c r="D672" s="953" t="s">
        <v>203</v>
      </c>
      <c r="E672" s="1307" t="s">
        <v>1297</v>
      </c>
      <c r="F672" s="1307" t="s">
        <v>550</v>
      </c>
      <c r="G672" s="1307" t="s">
        <v>1766</v>
      </c>
      <c r="H672" s="980"/>
      <c r="I672" s="980"/>
      <c r="J672" s="980"/>
      <c r="K672" s="980"/>
      <c r="L672" s="980"/>
      <c r="M672" s="980"/>
      <c r="N672" s="980"/>
      <c r="O672" s="980"/>
      <c r="P672" s="981">
        <f>-635000+635000</f>
        <v>0</v>
      </c>
      <c r="Q672" s="1449"/>
      <c r="R672" s="980"/>
      <c r="S672" s="980"/>
      <c r="T672" s="980"/>
      <c r="U672" s="980"/>
      <c r="V672" s="980"/>
      <c r="W672" s="980"/>
      <c r="X672" s="981"/>
    </row>
    <row r="673" spans="1:24" ht="15.75" customHeight="1" x14ac:dyDescent="0.25">
      <c r="A673" s="1989" t="s">
        <v>2493</v>
      </c>
      <c r="B673" s="1991" t="s">
        <v>2784</v>
      </c>
      <c r="C673" s="1985" t="s">
        <v>2783</v>
      </c>
      <c r="D673" s="953" t="s">
        <v>194</v>
      </c>
      <c r="E673" s="1307" t="s">
        <v>73</v>
      </c>
      <c r="F673" s="1307" t="s">
        <v>453</v>
      </c>
      <c r="G673" s="1307" t="s">
        <v>1766</v>
      </c>
      <c r="H673" s="980">
        <f>-777285+777285</f>
        <v>0</v>
      </c>
      <c r="I673" s="980"/>
      <c r="J673" s="980"/>
      <c r="K673" s="980"/>
      <c r="L673" s="980"/>
      <c r="M673" s="980"/>
      <c r="N673" s="980"/>
      <c r="O673" s="980"/>
      <c r="P673" s="981"/>
      <c r="Q673" s="1449"/>
      <c r="R673" s="980"/>
      <c r="S673" s="980"/>
      <c r="T673" s="980"/>
      <c r="U673" s="980"/>
      <c r="V673" s="980"/>
      <c r="W673" s="980"/>
      <c r="X673" s="981"/>
    </row>
    <row r="674" spans="1:24" ht="15.75" customHeight="1" x14ac:dyDescent="0.25">
      <c r="A674" s="1995"/>
      <c r="B674" s="1994"/>
      <c r="C674" s="1993"/>
      <c r="D674" s="953" t="s">
        <v>194</v>
      </c>
      <c r="E674" s="1307" t="s">
        <v>609</v>
      </c>
      <c r="F674" s="1307" t="s">
        <v>455</v>
      </c>
      <c r="G674" s="1307" t="s">
        <v>1766</v>
      </c>
      <c r="H674" s="980">
        <f>-377072+309850+67222</f>
        <v>0</v>
      </c>
      <c r="I674" s="980"/>
      <c r="J674" s="980"/>
      <c r="K674" s="980"/>
      <c r="L674" s="980"/>
      <c r="M674" s="980"/>
      <c r="N674" s="980"/>
      <c r="O674" s="980"/>
      <c r="P674" s="981"/>
      <c r="Q674" s="1449"/>
      <c r="R674" s="980"/>
      <c r="S674" s="980"/>
      <c r="T674" s="980"/>
      <c r="U674" s="980"/>
      <c r="V674" s="980"/>
      <c r="W674" s="980"/>
      <c r="X674" s="981"/>
    </row>
    <row r="675" spans="1:24" ht="15.75" customHeight="1" x14ac:dyDescent="0.25">
      <c r="A675" s="1995"/>
      <c r="B675" s="1994"/>
      <c r="C675" s="1993"/>
      <c r="D675" s="953" t="s">
        <v>194</v>
      </c>
      <c r="E675" s="1307" t="s">
        <v>130</v>
      </c>
      <c r="F675" s="1307" t="s">
        <v>457</v>
      </c>
      <c r="G675" s="1307" t="s">
        <v>1766</v>
      </c>
      <c r="H675" s="980">
        <f>-60345+60345</f>
        <v>0</v>
      </c>
      <c r="I675" s="980"/>
      <c r="J675" s="980"/>
      <c r="K675" s="980"/>
      <c r="L675" s="980"/>
      <c r="M675" s="980"/>
      <c r="N675" s="980"/>
      <c r="O675" s="980"/>
      <c r="P675" s="981"/>
      <c r="Q675" s="1449"/>
      <c r="R675" s="980"/>
      <c r="S675" s="980"/>
      <c r="T675" s="980"/>
      <c r="U675" s="980"/>
      <c r="V675" s="980"/>
      <c r="W675" s="980"/>
      <c r="X675" s="981"/>
    </row>
    <row r="676" spans="1:24" ht="15.75" customHeight="1" x14ac:dyDescent="0.25">
      <c r="A676" s="1995"/>
      <c r="B676" s="1994"/>
      <c r="C676" s="1993"/>
      <c r="D676" s="953" t="s">
        <v>194</v>
      </c>
      <c r="E676" s="1307" t="s">
        <v>557</v>
      </c>
      <c r="F676" s="1307" t="s">
        <v>462</v>
      </c>
      <c r="G676" s="1307" t="s">
        <v>1766</v>
      </c>
      <c r="H676" s="980">
        <f>-1857000+27000+30000+1800000</f>
        <v>0</v>
      </c>
      <c r="I676" s="980"/>
      <c r="J676" s="980"/>
      <c r="K676" s="980"/>
      <c r="L676" s="980"/>
      <c r="M676" s="980"/>
      <c r="N676" s="980"/>
      <c r="O676" s="980"/>
      <c r="P676" s="981"/>
      <c r="Q676" s="1449"/>
      <c r="R676" s="980"/>
      <c r="S676" s="980"/>
      <c r="T676" s="980"/>
      <c r="U676" s="980"/>
      <c r="V676" s="980"/>
      <c r="W676" s="980"/>
      <c r="X676" s="981"/>
    </row>
    <row r="677" spans="1:24" ht="15.75" customHeight="1" x14ac:dyDescent="0.25">
      <c r="A677" s="1990"/>
      <c r="B677" s="1992"/>
      <c r="C677" s="1986"/>
      <c r="D677" s="953" t="s">
        <v>194</v>
      </c>
      <c r="E677" s="1307" t="s">
        <v>62</v>
      </c>
      <c r="F677" s="1307" t="s">
        <v>541</v>
      </c>
      <c r="G677" s="1307" t="s">
        <v>1766</v>
      </c>
      <c r="H677" s="980">
        <f>-43415+43415</f>
        <v>0</v>
      </c>
      <c r="I677" s="980"/>
      <c r="J677" s="980"/>
      <c r="K677" s="980"/>
      <c r="L677" s="980"/>
      <c r="M677" s="980"/>
      <c r="N677" s="980"/>
      <c r="O677" s="980"/>
      <c r="P677" s="981"/>
      <c r="Q677" s="1449"/>
      <c r="R677" s="980"/>
      <c r="S677" s="980"/>
      <c r="T677" s="980"/>
      <c r="U677" s="980"/>
      <c r="V677" s="980"/>
      <c r="W677" s="980"/>
      <c r="X677" s="981"/>
    </row>
    <row r="678" spans="1:24" ht="23.25" customHeight="1" x14ac:dyDescent="0.25">
      <c r="A678" s="1989" t="s">
        <v>2496</v>
      </c>
      <c r="B678" s="1991" t="s">
        <v>2785</v>
      </c>
      <c r="C678" s="1996" t="s">
        <v>2786</v>
      </c>
      <c r="D678" s="953" t="s">
        <v>201</v>
      </c>
      <c r="E678" s="1307" t="s">
        <v>73</v>
      </c>
      <c r="F678" s="1307" t="s">
        <v>1785</v>
      </c>
      <c r="G678" s="1307" t="s">
        <v>1752</v>
      </c>
      <c r="H678" s="980"/>
      <c r="I678" s="980"/>
      <c r="J678" s="980"/>
      <c r="K678" s="980"/>
      <c r="L678" s="980">
        <v>-200000</v>
      </c>
      <c r="M678" s="980"/>
      <c r="N678" s="980"/>
      <c r="O678" s="980"/>
      <c r="P678" s="981"/>
      <c r="Q678" s="1449"/>
      <c r="R678" s="980"/>
      <c r="S678" s="980"/>
      <c r="T678" s="980"/>
      <c r="U678" s="980"/>
      <c r="V678" s="980"/>
      <c r="W678" s="980"/>
      <c r="X678" s="981"/>
    </row>
    <row r="679" spans="1:24" ht="23.25" customHeight="1" x14ac:dyDescent="0.25">
      <c r="A679" s="1990"/>
      <c r="B679" s="1992"/>
      <c r="C679" s="1996"/>
      <c r="D679" s="953" t="s">
        <v>194</v>
      </c>
      <c r="E679" s="1307" t="s">
        <v>561</v>
      </c>
      <c r="F679" s="1307" t="s">
        <v>867</v>
      </c>
      <c r="G679" s="1307" t="s">
        <v>1754</v>
      </c>
      <c r="H679" s="980"/>
      <c r="I679" s="980"/>
      <c r="J679" s="980">
        <f>157480+42520</f>
        <v>200000</v>
      </c>
      <c r="K679" s="980"/>
      <c r="L679" s="980"/>
      <c r="M679" s="980"/>
      <c r="N679" s="980"/>
      <c r="O679" s="980"/>
      <c r="P679" s="981"/>
      <c r="Q679" s="1449"/>
      <c r="R679" s="980"/>
      <c r="S679" s="980"/>
      <c r="T679" s="980"/>
      <c r="U679" s="980"/>
      <c r="V679" s="980"/>
      <c r="W679" s="980"/>
      <c r="X679" s="981"/>
    </row>
    <row r="680" spans="1:24" ht="20.25" customHeight="1" x14ac:dyDescent="0.25">
      <c r="A680" s="1481"/>
      <c r="B680" s="1483"/>
      <c r="C680" s="1482" t="s">
        <v>2315</v>
      </c>
      <c r="D680" s="953" t="s">
        <v>203</v>
      </c>
      <c r="E680" s="1307" t="s">
        <v>1297</v>
      </c>
      <c r="F680" s="1307" t="s">
        <v>550</v>
      </c>
      <c r="G680" s="1307" t="s">
        <v>1766</v>
      </c>
      <c r="H680" s="980"/>
      <c r="I680" s="980"/>
      <c r="J680" s="980"/>
      <c r="K680" s="980"/>
      <c r="L680" s="980"/>
      <c r="M680" s="980"/>
      <c r="N680" s="980"/>
      <c r="O680" s="980"/>
      <c r="P680" s="981">
        <f>-3740200+3740200</f>
        <v>0</v>
      </c>
      <c r="Q680" s="1449"/>
      <c r="R680" s="980"/>
      <c r="S680" s="980"/>
      <c r="T680" s="980"/>
      <c r="U680" s="980"/>
      <c r="V680" s="980"/>
      <c r="W680" s="980"/>
      <c r="X680" s="981"/>
    </row>
    <row r="681" spans="1:24" ht="23.25" customHeight="1" x14ac:dyDescent="0.25">
      <c r="A681" s="1481"/>
      <c r="B681" s="1483"/>
      <c r="C681" s="1482" t="s">
        <v>2381</v>
      </c>
      <c r="D681" s="953" t="s">
        <v>203</v>
      </c>
      <c r="E681" s="1307" t="s">
        <v>1297</v>
      </c>
      <c r="F681" s="1307" t="s">
        <v>550</v>
      </c>
      <c r="G681" s="1307" t="s">
        <v>1766</v>
      </c>
      <c r="H681" s="980"/>
      <c r="I681" s="980"/>
      <c r="J681" s="980"/>
      <c r="K681" s="980"/>
      <c r="L681" s="980"/>
      <c r="M681" s="980"/>
      <c r="N681" s="980"/>
      <c r="O681" s="980"/>
      <c r="P681" s="981">
        <f>-310000+310000</f>
        <v>0</v>
      </c>
      <c r="Q681" s="1449"/>
      <c r="R681" s="980"/>
      <c r="S681" s="980"/>
      <c r="T681" s="980"/>
      <c r="U681" s="980"/>
      <c r="V681" s="980"/>
      <c r="W681" s="980"/>
      <c r="X681" s="981"/>
    </row>
    <row r="682" spans="1:24" ht="23.25" customHeight="1" x14ac:dyDescent="0.25">
      <c r="A682" s="1989" t="s">
        <v>2498</v>
      </c>
      <c r="B682" s="1991" t="s">
        <v>2793</v>
      </c>
      <c r="C682" s="1985" t="s">
        <v>2794</v>
      </c>
      <c r="D682" s="953" t="s">
        <v>201</v>
      </c>
      <c r="E682" s="1307" t="s">
        <v>73</v>
      </c>
      <c r="F682" s="1307" t="s">
        <v>1785</v>
      </c>
      <c r="G682" s="1307" t="s">
        <v>1752</v>
      </c>
      <c r="H682" s="980"/>
      <c r="I682" s="980"/>
      <c r="J682" s="980"/>
      <c r="K682" s="980"/>
      <c r="L682" s="980">
        <v>-90170</v>
      </c>
      <c r="M682" s="980"/>
      <c r="N682" s="980"/>
      <c r="O682" s="980"/>
      <c r="P682" s="981"/>
      <c r="Q682" s="1449"/>
      <c r="R682" s="980"/>
      <c r="S682" s="980"/>
      <c r="T682" s="980"/>
      <c r="U682" s="980"/>
      <c r="V682" s="980"/>
      <c r="W682" s="980"/>
      <c r="X682" s="981"/>
    </row>
    <row r="683" spans="1:24" ht="23.25" customHeight="1" x14ac:dyDescent="0.25">
      <c r="A683" s="1990"/>
      <c r="B683" s="1992"/>
      <c r="C683" s="1986"/>
      <c r="D683" s="953" t="s">
        <v>194</v>
      </c>
      <c r="E683" s="1307" t="s">
        <v>844</v>
      </c>
      <c r="F683" s="1307" t="s">
        <v>843</v>
      </c>
      <c r="G683" s="1307" t="s">
        <v>1754</v>
      </c>
      <c r="H683" s="980"/>
      <c r="I683" s="980"/>
      <c r="J683" s="980">
        <f>71000+19170</f>
        <v>90170</v>
      </c>
      <c r="K683" s="980"/>
      <c r="L683" s="980"/>
      <c r="M683" s="980"/>
      <c r="N683" s="980"/>
      <c r="O683" s="980"/>
      <c r="P683" s="981"/>
      <c r="Q683" s="1449"/>
      <c r="R683" s="980"/>
      <c r="S683" s="980"/>
      <c r="T683" s="980"/>
      <c r="U683" s="980"/>
      <c r="V683" s="980"/>
      <c r="W683" s="980"/>
      <c r="X683" s="981"/>
    </row>
    <row r="684" spans="1:24" ht="18" customHeight="1" x14ac:dyDescent="0.25">
      <c r="A684" s="1989" t="s">
        <v>2501</v>
      </c>
      <c r="B684" s="1991" t="s">
        <v>2795</v>
      </c>
      <c r="C684" s="1985" t="s">
        <v>2700</v>
      </c>
      <c r="D684" s="953" t="s">
        <v>194</v>
      </c>
      <c r="E684" s="1307" t="s">
        <v>641</v>
      </c>
      <c r="F684" s="1307" t="s">
        <v>66</v>
      </c>
      <c r="G684" s="1307" t="s">
        <v>1754</v>
      </c>
      <c r="H684" s="980"/>
      <c r="I684" s="980"/>
      <c r="J684" s="980"/>
      <c r="K684" s="980"/>
      <c r="L684" s="980"/>
      <c r="M684" s="980"/>
      <c r="N684" s="980"/>
      <c r="O684" s="980"/>
      <c r="P684" s="981"/>
      <c r="Q684" s="1449"/>
      <c r="R684" s="980"/>
      <c r="S684" s="980"/>
      <c r="T684" s="980">
        <f>78740+21260</f>
        <v>100000</v>
      </c>
      <c r="U684" s="980"/>
      <c r="V684" s="980"/>
      <c r="W684" s="980"/>
      <c r="X684" s="981"/>
    </row>
    <row r="685" spans="1:24" ht="18" customHeight="1" x14ac:dyDescent="0.25">
      <c r="A685" s="1990"/>
      <c r="B685" s="1992"/>
      <c r="C685" s="1986"/>
      <c r="D685" s="953" t="s">
        <v>201</v>
      </c>
      <c r="E685" s="1307" t="s">
        <v>73</v>
      </c>
      <c r="F685" s="1307" t="s">
        <v>1785</v>
      </c>
      <c r="G685" s="1307" t="s">
        <v>1754</v>
      </c>
      <c r="H685" s="980"/>
      <c r="I685" s="980"/>
      <c r="J685" s="980"/>
      <c r="K685" s="980"/>
      <c r="L685" s="980">
        <v>100000</v>
      </c>
      <c r="M685" s="980"/>
      <c r="N685" s="980"/>
      <c r="O685" s="980"/>
      <c r="P685" s="981"/>
      <c r="Q685" s="1449"/>
      <c r="R685" s="980"/>
      <c r="S685" s="980"/>
      <c r="T685" s="980"/>
      <c r="U685" s="980"/>
      <c r="V685" s="980"/>
      <c r="W685" s="980"/>
      <c r="X685" s="981"/>
    </row>
    <row r="686" spans="1:24" ht="34.5" customHeight="1" x14ac:dyDescent="0.25">
      <c r="A686" s="1989" t="s">
        <v>2506</v>
      </c>
      <c r="B686" s="1991" t="s">
        <v>2798</v>
      </c>
      <c r="C686" s="1985" t="s">
        <v>2799</v>
      </c>
      <c r="D686" s="953" t="s">
        <v>201</v>
      </c>
      <c r="E686" s="1307" t="s">
        <v>73</v>
      </c>
      <c r="F686" s="1307" t="s">
        <v>1785</v>
      </c>
      <c r="G686" s="1307" t="s">
        <v>1752</v>
      </c>
      <c r="H686" s="980"/>
      <c r="I686" s="980"/>
      <c r="J686" s="980"/>
      <c r="K686" s="980"/>
      <c r="L686" s="980">
        <v>-355600</v>
      </c>
      <c r="M686" s="980"/>
      <c r="N686" s="980"/>
      <c r="O686" s="980"/>
      <c r="P686" s="981"/>
      <c r="Q686" s="1449"/>
      <c r="R686" s="980"/>
      <c r="S686" s="980"/>
      <c r="T686" s="980"/>
      <c r="U686" s="980"/>
      <c r="V686" s="980"/>
      <c r="W686" s="980"/>
      <c r="X686" s="981"/>
    </row>
    <row r="687" spans="1:24" ht="34.5" customHeight="1" x14ac:dyDescent="0.25">
      <c r="A687" s="1990"/>
      <c r="B687" s="1992"/>
      <c r="C687" s="1986"/>
      <c r="D687" s="953" t="s">
        <v>194</v>
      </c>
      <c r="E687" s="1307" t="s">
        <v>844</v>
      </c>
      <c r="F687" s="1307" t="s">
        <v>1385</v>
      </c>
      <c r="G687" s="1307" t="s">
        <v>1754</v>
      </c>
      <c r="H687" s="980"/>
      <c r="I687" s="980"/>
      <c r="J687" s="980">
        <f>280000+75600</f>
        <v>355600</v>
      </c>
      <c r="K687" s="980"/>
      <c r="L687" s="980"/>
      <c r="M687" s="980"/>
      <c r="N687" s="980"/>
      <c r="O687" s="980"/>
      <c r="P687" s="981"/>
      <c r="Q687" s="1449"/>
      <c r="R687" s="980"/>
      <c r="S687" s="980"/>
      <c r="T687" s="980"/>
      <c r="U687" s="980"/>
      <c r="V687" s="980"/>
      <c r="W687" s="980"/>
      <c r="X687" s="981"/>
    </row>
    <row r="688" spans="1:24" ht="24.75" customHeight="1" x14ac:dyDescent="0.25">
      <c r="A688" s="1989" t="s">
        <v>2508</v>
      </c>
      <c r="B688" s="1991" t="s">
        <v>2800</v>
      </c>
      <c r="C688" s="1996" t="s">
        <v>2801</v>
      </c>
      <c r="D688" s="953" t="s">
        <v>201</v>
      </c>
      <c r="E688" s="1307" t="s">
        <v>73</v>
      </c>
      <c r="F688" s="1307" t="s">
        <v>1785</v>
      </c>
      <c r="G688" s="1307" t="s">
        <v>1752</v>
      </c>
      <c r="H688" s="980"/>
      <c r="I688" s="980"/>
      <c r="J688" s="980"/>
      <c r="K688" s="980"/>
      <c r="L688" s="980">
        <v>-171450</v>
      </c>
      <c r="M688" s="980"/>
      <c r="N688" s="980"/>
      <c r="O688" s="980"/>
      <c r="P688" s="981"/>
      <c r="Q688" s="1449"/>
      <c r="R688" s="980"/>
      <c r="S688" s="980"/>
      <c r="T688" s="980"/>
      <c r="U688" s="980"/>
      <c r="V688" s="980"/>
      <c r="W688" s="980"/>
      <c r="X688" s="981"/>
    </row>
    <row r="689" spans="1:24" ht="24.75" customHeight="1" x14ac:dyDescent="0.25">
      <c r="A689" s="1990"/>
      <c r="B689" s="1992"/>
      <c r="C689" s="1996"/>
      <c r="D689" s="953" t="s">
        <v>203</v>
      </c>
      <c r="E689" s="1307" t="s">
        <v>1297</v>
      </c>
      <c r="F689" s="1307" t="s">
        <v>550</v>
      </c>
      <c r="G689" s="1307" t="s">
        <v>1754</v>
      </c>
      <c r="H689" s="980"/>
      <c r="I689" s="980"/>
      <c r="J689" s="980"/>
      <c r="K689" s="980"/>
      <c r="L689" s="980"/>
      <c r="M689" s="980"/>
      <c r="N689" s="980"/>
      <c r="O689" s="980"/>
      <c r="P689" s="981">
        <v>171450</v>
      </c>
      <c r="Q689" s="1449"/>
      <c r="R689" s="980"/>
      <c r="S689" s="980"/>
      <c r="T689" s="980"/>
      <c r="U689" s="980"/>
      <c r="V689" s="980"/>
      <c r="W689" s="980"/>
      <c r="X689" s="981"/>
    </row>
    <row r="690" spans="1:24" ht="24.75" customHeight="1" x14ac:dyDescent="0.25">
      <c r="A690" s="1989" t="s">
        <v>2510</v>
      </c>
      <c r="B690" s="1991" t="s">
        <v>2802</v>
      </c>
      <c r="C690" s="1996" t="s">
        <v>2930</v>
      </c>
      <c r="D690" s="953" t="s">
        <v>201</v>
      </c>
      <c r="E690" s="1307" t="s">
        <v>73</v>
      </c>
      <c r="F690" s="1307" t="s">
        <v>1785</v>
      </c>
      <c r="G690" s="1307" t="s">
        <v>1752</v>
      </c>
      <c r="H690" s="980"/>
      <c r="I690" s="980"/>
      <c r="J690" s="980"/>
      <c r="K690" s="980"/>
      <c r="L690" s="980">
        <v>-191001</v>
      </c>
      <c r="M690" s="980"/>
      <c r="N690" s="980"/>
      <c r="O690" s="980"/>
      <c r="P690" s="981"/>
      <c r="Q690" s="1449"/>
      <c r="R690" s="980"/>
      <c r="S690" s="980"/>
      <c r="T690" s="980"/>
      <c r="U690" s="980"/>
      <c r="V690" s="980"/>
      <c r="W690" s="980"/>
      <c r="X690" s="981"/>
    </row>
    <row r="691" spans="1:24" ht="24.75" customHeight="1" x14ac:dyDescent="0.25">
      <c r="A691" s="1990"/>
      <c r="B691" s="1992"/>
      <c r="C691" s="1996"/>
      <c r="D691" s="953" t="s">
        <v>203</v>
      </c>
      <c r="E691" s="1307" t="s">
        <v>1297</v>
      </c>
      <c r="F691" s="1307" t="s">
        <v>550</v>
      </c>
      <c r="G691" s="1307" t="s">
        <v>1754</v>
      </c>
      <c r="H691" s="980"/>
      <c r="I691" s="980"/>
      <c r="J691" s="980"/>
      <c r="K691" s="980"/>
      <c r="L691" s="980"/>
      <c r="M691" s="980"/>
      <c r="N691" s="980"/>
      <c r="O691" s="980"/>
      <c r="P691" s="981">
        <v>191001</v>
      </c>
      <c r="Q691" s="1449"/>
      <c r="R691" s="980"/>
      <c r="S691" s="980"/>
      <c r="T691" s="980"/>
      <c r="U691" s="980"/>
      <c r="V691" s="980"/>
      <c r="W691" s="980"/>
      <c r="X691" s="981"/>
    </row>
    <row r="692" spans="1:24" ht="24.75" customHeight="1" x14ac:dyDescent="0.25">
      <c r="A692" s="1989" t="s">
        <v>2512</v>
      </c>
      <c r="B692" s="1991" t="s">
        <v>2804</v>
      </c>
      <c r="C692" s="1985" t="s">
        <v>2805</v>
      </c>
      <c r="D692" s="953" t="s">
        <v>201</v>
      </c>
      <c r="E692" s="1307" t="s">
        <v>73</v>
      </c>
      <c r="F692" s="1307" t="s">
        <v>1785</v>
      </c>
      <c r="G692" s="1307" t="s">
        <v>1752</v>
      </c>
      <c r="H692" s="980"/>
      <c r="I692" s="980"/>
      <c r="J692" s="980"/>
      <c r="K692" s="980"/>
      <c r="L692" s="980">
        <v>-200000</v>
      </c>
      <c r="M692" s="980"/>
      <c r="N692" s="980"/>
      <c r="O692" s="980"/>
      <c r="P692" s="981"/>
      <c r="Q692" s="1449"/>
      <c r="R692" s="980"/>
      <c r="S692" s="980"/>
      <c r="T692" s="980"/>
      <c r="U692" s="980"/>
      <c r="V692" s="980"/>
      <c r="W692" s="980"/>
      <c r="X692" s="981"/>
    </row>
    <row r="693" spans="1:24" ht="24.75" customHeight="1" x14ac:dyDescent="0.25">
      <c r="A693" s="1990"/>
      <c r="B693" s="1992"/>
      <c r="C693" s="1986"/>
      <c r="D693" s="953" t="s">
        <v>198</v>
      </c>
      <c r="E693" s="1307" t="s">
        <v>130</v>
      </c>
      <c r="F693" s="1307" t="s">
        <v>1936</v>
      </c>
      <c r="G693" s="1307" t="s">
        <v>1754</v>
      </c>
      <c r="H693" s="980"/>
      <c r="I693" s="980"/>
      <c r="J693" s="980"/>
      <c r="K693" s="980"/>
      <c r="L693" s="980">
        <v>200000</v>
      </c>
      <c r="M693" s="980"/>
      <c r="N693" s="980"/>
      <c r="O693" s="980"/>
      <c r="P693" s="981"/>
      <c r="Q693" s="1449"/>
      <c r="R693" s="980"/>
      <c r="S693" s="980"/>
      <c r="T693" s="980"/>
      <c r="U693" s="980"/>
      <c r="V693" s="980"/>
      <c r="W693" s="980"/>
      <c r="X693" s="981"/>
    </row>
    <row r="694" spans="1:24" ht="24.75" customHeight="1" x14ac:dyDescent="0.25">
      <c r="A694" s="1989" t="s">
        <v>2515</v>
      </c>
      <c r="B694" s="1991" t="s">
        <v>2807</v>
      </c>
      <c r="C694" s="1996" t="s">
        <v>2808</v>
      </c>
      <c r="D694" s="953" t="s">
        <v>201</v>
      </c>
      <c r="E694" s="1307" t="s">
        <v>73</v>
      </c>
      <c r="F694" s="1307" t="s">
        <v>1785</v>
      </c>
      <c r="G694" s="1307" t="s">
        <v>1752</v>
      </c>
      <c r="H694" s="980"/>
      <c r="I694" s="980"/>
      <c r="J694" s="980"/>
      <c r="K694" s="980"/>
      <c r="L694" s="980">
        <v>-11724</v>
      </c>
      <c r="M694" s="980"/>
      <c r="N694" s="980"/>
      <c r="O694" s="980"/>
      <c r="P694" s="981"/>
      <c r="Q694" s="1449"/>
      <c r="R694" s="980"/>
      <c r="S694" s="980"/>
      <c r="T694" s="980"/>
      <c r="U694" s="980"/>
      <c r="V694" s="980"/>
      <c r="W694" s="980"/>
      <c r="X694" s="981"/>
    </row>
    <row r="695" spans="1:24" ht="24.75" customHeight="1" x14ac:dyDescent="0.25">
      <c r="A695" s="1990"/>
      <c r="B695" s="1992"/>
      <c r="C695" s="1996"/>
      <c r="D695" s="953" t="s">
        <v>203</v>
      </c>
      <c r="E695" s="1307" t="s">
        <v>1297</v>
      </c>
      <c r="F695" s="1307" t="s">
        <v>550</v>
      </c>
      <c r="G695" s="1307" t="s">
        <v>1754</v>
      </c>
      <c r="H695" s="980"/>
      <c r="I695" s="980"/>
      <c r="J695" s="980"/>
      <c r="K695" s="980"/>
      <c r="L695" s="980"/>
      <c r="M695" s="980"/>
      <c r="N695" s="980"/>
      <c r="O695" s="980"/>
      <c r="P695" s="981">
        <v>11724</v>
      </c>
      <c r="Q695" s="1449"/>
      <c r="R695" s="980"/>
      <c r="S695" s="980"/>
      <c r="T695" s="980"/>
      <c r="U695" s="980"/>
      <c r="V695" s="980"/>
      <c r="W695" s="980"/>
      <c r="X695" s="981"/>
    </row>
    <row r="696" spans="1:24" ht="23.25" customHeight="1" x14ac:dyDescent="0.25">
      <c r="A696" s="1989" t="s">
        <v>2809</v>
      </c>
      <c r="B696" s="1991" t="s">
        <v>2810</v>
      </c>
      <c r="C696" s="1996" t="s">
        <v>2808</v>
      </c>
      <c r="D696" s="953" t="s">
        <v>201</v>
      </c>
      <c r="E696" s="1307" t="s">
        <v>73</v>
      </c>
      <c r="F696" s="1307" t="s">
        <v>1785</v>
      </c>
      <c r="G696" s="1307" t="s">
        <v>1752</v>
      </c>
      <c r="H696" s="980"/>
      <c r="I696" s="980"/>
      <c r="J696" s="980"/>
      <c r="K696" s="980"/>
      <c r="L696" s="980">
        <v>-31950</v>
      </c>
      <c r="M696" s="980"/>
      <c r="N696" s="980"/>
      <c r="O696" s="980"/>
      <c r="P696" s="981"/>
      <c r="Q696" s="1449"/>
      <c r="R696" s="980"/>
      <c r="S696" s="980"/>
      <c r="T696" s="980"/>
      <c r="U696" s="980"/>
      <c r="V696" s="980"/>
      <c r="W696" s="980"/>
      <c r="X696" s="981"/>
    </row>
    <row r="697" spans="1:24" ht="23.25" customHeight="1" x14ac:dyDescent="0.25">
      <c r="A697" s="1990"/>
      <c r="B697" s="1992"/>
      <c r="C697" s="1996"/>
      <c r="D697" s="953" t="s">
        <v>203</v>
      </c>
      <c r="E697" s="1307" t="s">
        <v>1297</v>
      </c>
      <c r="F697" s="1307" t="s">
        <v>550</v>
      </c>
      <c r="G697" s="1307" t="s">
        <v>1754</v>
      </c>
      <c r="H697" s="980"/>
      <c r="I697" s="980"/>
      <c r="J697" s="980"/>
      <c r="K697" s="980"/>
      <c r="L697" s="980"/>
      <c r="M697" s="980"/>
      <c r="N697" s="980"/>
      <c r="O697" s="980"/>
      <c r="P697" s="981">
        <v>31950</v>
      </c>
      <c r="Q697" s="1449"/>
      <c r="R697" s="980"/>
      <c r="S697" s="980"/>
      <c r="T697" s="980"/>
      <c r="U697" s="980"/>
      <c r="V697" s="980"/>
      <c r="W697" s="980"/>
      <c r="X697" s="981"/>
    </row>
    <row r="698" spans="1:24" ht="18.75" customHeight="1" x14ac:dyDescent="0.25">
      <c r="A698" s="1989" t="s">
        <v>2813</v>
      </c>
      <c r="B698" s="1991" t="s">
        <v>2814</v>
      </c>
      <c r="C698" s="1985" t="s">
        <v>2815</v>
      </c>
      <c r="D698" s="953" t="s">
        <v>194</v>
      </c>
      <c r="E698" s="1307" t="s">
        <v>1781</v>
      </c>
      <c r="F698" s="1307" t="s">
        <v>1780</v>
      </c>
      <c r="G698" s="1307" t="s">
        <v>1754</v>
      </c>
      <c r="H698" s="980"/>
      <c r="I698" s="980"/>
      <c r="J698" s="980"/>
      <c r="K698" s="980"/>
      <c r="L698" s="980"/>
      <c r="M698" s="980"/>
      <c r="N698" s="980"/>
      <c r="O698" s="980"/>
      <c r="P698" s="981"/>
      <c r="Q698" s="1449"/>
      <c r="R698" s="980"/>
      <c r="S698" s="980"/>
      <c r="T698" s="980">
        <v>11043562</v>
      </c>
      <c r="U698" s="980"/>
      <c r="V698" s="980"/>
      <c r="W698" s="980"/>
      <c r="X698" s="981"/>
    </row>
    <row r="699" spans="1:24" ht="18.75" customHeight="1" x14ac:dyDescent="0.25">
      <c r="A699" s="1990"/>
      <c r="B699" s="1992"/>
      <c r="C699" s="1986"/>
      <c r="D699" s="953" t="s">
        <v>201</v>
      </c>
      <c r="E699" s="1307" t="s">
        <v>73</v>
      </c>
      <c r="F699" s="1307" t="s">
        <v>1785</v>
      </c>
      <c r="G699" s="1307" t="s">
        <v>1754</v>
      </c>
      <c r="H699" s="980"/>
      <c r="I699" s="980"/>
      <c r="J699" s="980"/>
      <c r="K699" s="980"/>
      <c r="L699" s="980">
        <v>11043562</v>
      </c>
      <c r="M699" s="980"/>
      <c r="N699" s="980"/>
      <c r="O699" s="980"/>
      <c r="P699" s="981"/>
      <c r="Q699" s="1449"/>
      <c r="R699" s="980"/>
      <c r="S699" s="980"/>
      <c r="T699" s="980"/>
      <c r="U699" s="980"/>
      <c r="V699" s="980"/>
      <c r="W699" s="980"/>
      <c r="X699" s="981"/>
    </row>
    <row r="700" spans="1:24" ht="25.5" customHeight="1" x14ac:dyDescent="0.25">
      <c r="A700" s="1989" t="s">
        <v>2522</v>
      </c>
      <c r="B700" s="1991" t="s">
        <v>2816</v>
      </c>
      <c r="C700" s="1985" t="s">
        <v>2817</v>
      </c>
      <c r="D700" s="953" t="s">
        <v>201</v>
      </c>
      <c r="E700" s="1307" t="s">
        <v>73</v>
      </c>
      <c r="F700" s="1307" t="s">
        <v>1785</v>
      </c>
      <c r="G700" s="1307" t="s">
        <v>1752</v>
      </c>
      <c r="H700" s="980"/>
      <c r="I700" s="980"/>
      <c r="J700" s="980"/>
      <c r="K700" s="980"/>
      <c r="L700" s="980">
        <v>-1905000</v>
      </c>
      <c r="M700" s="980"/>
      <c r="N700" s="980"/>
      <c r="O700" s="980"/>
      <c r="P700" s="981"/>
      <c r="Q700" s="1449"/>
      <c r="R700" s="980"/>
      <c r="S700" s="980"/>
      <c r="T700" s="980"/>
      <c r="U700" s="980"/>
      <c r="V700" s="980"/>
      <c r="W700" s="980"/>
      <c r="X700" s="981"/>
    </row>
    <row r="701" spans="1:24" ht="25.5" customHeight="1" x14ac:dyDescent="0.25">
      <c r="A701" s="1990"/>
      <c r="B701" s="1992"/>
      <c r="C701" s="1986"/>
      <c r="D701" s="953" t="s">
        <v>194</v>
      </c>
      <c r="E701" s="1307" t="s">
        <v>130</v>
      </c>
      <c r="F701" s="1307" t="s">
        <v>2069</v>
      </c>
      <c r="G701" s="1307" t="s">
        <v>1754</v>
      </c>
      <c r="H701" s="980"/>
      <c r="I701" s="980"/>
      <c r="J701" s="980">
        <f>1500000+405000</f>
        <v>1905000</v>
      </c>
      <c r="K701" s="980"/>
      <c r="L701" s="980"/>
      <c r="M701" s="980"/>
      <c r="N701" s="980"/>
      <c r="O701" s="980"/>
      <c r="P701" s="981"/>
      <c r="Q701" s="1449"/>
      <c r="R701" s="980"/>
      <c r="S701" s="980"/>
      <c r="T701" s="980"/>
      <c r="U701" s="980"/>
      <c r="V701" s="980"/>
      <c r="W701" s="980"/>
      <c r="X701" s="981"/>
    </row>
    <row r="702" spans="1:24" ht="30.75" customHeight="1" x14ac:dyDescent="0.25">
      <c r="A702" s="1989" t="s">
        <v>2524</v>
      </c>
      <c r="B702" s="1991" t="s">
        <v>2818</v>
      </c>
      <c r="C702" s="1985" t="s">
        <v>2819</v>
      </c>
      <c r="D702" s="953" t="s">
        <v>201</v>
      </c>
      <c r="E702" s="1307" t="s">
        <v>73</v>
      </c>
      <c r="F702" s="1307" t="s">
        <v>1785</v>
      </c>
      <c r="G702" s="1307" t="s">
        <v>1752</v>
      </c>
      <c r="H702" s="980"/>
      <c r="I702" s="980"/>
      <c r="J702" s="980"/>
      <c r="K702" s="980"/>
      <c r="L702" s="980">
        <v>-3335000</v>
      </c>
      <c r="M702" s="980"/>
      <c r="N702" s="980"/>
      <c r="O702" s="980"/>
      <c r="P702" s="981"/>
      <c r="Q702" s="1449"/>
      <c r="R702" s="980"/>
      <c r="S702" s="980"/>
      <c r="T702" s="980"/>
      <c r="U702" s="980"/>
      <c r="V702" s="980"/>
      <c r="W702" s="980"/>
      <c r="X702" s="981"/>
    </row>
    <row r="703" spans="1:24" ht="30.75" customHeight="1" x14ac:dyDescent="0.25">
      <c r="A703" s="1990"/>
      <c r="B703" s="1992"/>
      <c r="C703" s="1986"/>
      <c r="D703" s="953" t="s">
        <v>203</v>
      </c>
      <c r="E703" s="1307" t="s">
        <v>1297</v>
      </c>
      <c r="F703" s="1307" t="s">
        <v>550</v>
      </c>
      <c r="G703" s="1307" t="s">
        <v>1754</v>
      </c>
      <c r="H703" s="980"/>
      <c r="I703" s="980"/>
      <c r="J703" s="980"/>
      <c r="K703" s="980"/>
      <c r="L703" s="980"/>
      <c r="M703" s="980"/>
      <c r="N703" s="980"/>
      <c r="O703" s="980"/>
      <c r="P703" s="981">
        <v>3335000</v>
      </c>
      <c r="Q703" s="1449"/>
      <c r="R703" s="980"/>
      <c r="S703" s="980"/>
      <c r="T703" s="980"/>
      <c r="U703" s="980"/>
      <c r="V703" s="980"/>
      <c r="W703" s="980"/>
      <c r="X703" s="981"/>
    </row>
    <row r="704" spans="1:24" ht="30.75" customHeight="1" x14ac:dyDescent="0.25">
      <c r="A704" s="1481" t="s">
        <v>2525</v>
      </c>
      <c r="B704" s="1483" t="s">
        <v>2821</v>
      </c>
      <c r="C704" s="1477" t="s">
        <v>2822</v>
      </c>
      <c r="D704" s="953" t="s">
        <v>194</v>
      </c>
      <c r="E704" s="1307" t="s">
        <v>641</v>
      </c>
      <c r="F704" s="1307" t="s">
        <v>66</v>
      </c>
      <c r="G704" s="1307" t="s">
        <v>1754</v>
      </c>
      <c r="H704" s="980"/>
      <c r="I704" s="980"/>
      <c r="J704" s="980">
        <v>160000</v>
      </c>
      <c r="K704" s="980"/>
      <c r="L704" s="980"/>
      <c r="M704" s="980"/>
      <c r="N704" s="980"/>
      <c r="O704" s="980"/>
      <c r="P704" s="981"/>
      <c r="Q704" s="1449"/>
      <c r="R704" s="980"/>
      <c r="S704" s="980"/>
      <c r="T704" s="980">
        <v>160000</v>
      </c>
      <c r="U704" s="980"/>
      <c r="V704" s="980"/>
      <c r="W704" s="980"/>
      <c r="X704" s="981"/>
    </row>
    <row r="705" spans="1:24" ht="42.75" customHeight="1" x14ac:dyDescent="0.25">
      <c r="A705" s="1989" t="s">
        <v>2527</v>
      </c>
      <c r="B705" s="1991" t="s">
        <v>2823</v>
      </c>
      <c r="C705" s="1985" t="s">
        <v>2824</v>
      </c>
      <c r="D705" s="953" t="s">
        <v>194</v>
      </c>
      <c r="E705" s="1307" t="s">
        <v>641</v>
      </c>
      <c r="F705" s="1307" t="s">
        <v>66</v>
      </c>
      <c r="G705" s="1307" t="s">
        <v>1754</v>
      </c>
      <c r="H705" s="980"/>
      <c r="I705" s="980"/>
      <c r="J705" s="980"/>
      <c r="K705" s="980"/>
      <c r="L705" s="980"/>
      <c r="M705" s="980"/>
      <c r="N705" s="980"/>
      <c r="O705" s="980"/>
      <c r="P705" s="981"/>
      <c r="Q705" s="1449"/>
      <c r="R705" s="980"/>
      <c r="S705" s="980"/>
      <c r="T705" s="980">
        <v>860000</v>
      </c>
      <c r="U705" s="980"/>
      <c r="V705" s="980"/>
      <c r="W705" s="980"/>
      <c r="X705" s="981"/>
    </row>
    <row r="706" spans="1:24" ht="42.75" customHeight="1" x14ac:dyDescent="0.25">
      <c r="A706" s="1990"/>
      <c r="B706" s="1992"/>
      <c r="C706" s="1986"/>
      <c r="D706" s="953" t="s">
        <v>197</v>
      </c>
      <c r="E706" s="1307" t="s">
        <v>1297</v>
      </c>
      <c r="F706" s="1307" t="s">
        <v>1769</v>
      </c>
      <c r="G706" s="1307" t="s">
        <v>1754</v>
      </c>
      <c r="H706" s="980"/>
      <c r="I706" s="980"/>
      <c r="J706" s="980"/>
      <c r="K706" s="980"/>
      <c r="L706" s="980"/>
      <c r="M706" s="980"/>
      <c r="N706" s="980"/>
      <c r="O706" s="980">
        <v>860000</v>
      </c>
      <c r="P706" s="981"/>
      <c r="Q706" s="1449"/>
      <c r="R706" s="980"/>
      <c r="S706" s="980"/>
      <c r="T706" s="980"/>
      <c r="U706" s="980"/>
      <c r="V706" s="980"/>
      <c r="W706" s="980"/>
      <c r="X706" s="981"/>
    </row>
    <row r="707" spans="1:24" ht="36.75" customHeight="1" x14ac:dyDescent="0.25">
      <c r="A707" s="1481" t="s">
        <v>2542</v>
      </c>
      <c r="B707" s="1483" t="s">
        <v>2826</v>
      </c>
      <c r="C707" s="1477" t="s">
        <v>2827</v>
      </c>
      <c r="D707" s="953" t="s">
        <v>194</v>
      </c>
      <c r="E707" s="1307" t="s">
        <v>1940</v>
      </c>
      <c r="F707" s="1307" t="s">
        <v>1939</v>
      </c>
      <c r="G707" s="1307" t="s">
        <v>1754</v>
      </c>
      <c r="H707" s="980"/>
      <c r="I707" s="980"/>
      <c r="J707" s="980">
        <f>406146+9354</f>
        <v>415500</v>
      </c>
      <c r="K707" s="980"/>
      <c r="L707" s="980"/>
      <c r="M707" s="980"/>
      <c r="N707" s="980"/>
      <c r="O707" s="980"/>
      <c r="P707" s="981"/>
      <c r="Q707" s="1449"/>
      <c r="R707" s="980"/>
      <c r="S707" s="980"/>
      <c r="T707" s="980">
        <f>406146+9354</f>
        <v>415500</v>
      </c>
      <c r="U707" s="980"/>
      <c r="V707" s="980"/>
      <c r="W707" s="980"/>
      <c r="X707" s="981"/>
    </row>
    <row r="708" spans="1:24" ht="32.25" customHeight="1" x14ac:dyDescent="0.25">
      <c r="A708" s="1481" t="s">
        <v>2557</v>
      </c>
      <c r="B708" s="1483">
        <v>413</v>
      </c>
      <c r="C708" s="1477" t="s">
        <v>2828</v>
      </c>
      <c r="D708" s="953" t="s">
        <v>194</v>
      </c>
      <c r="E708" s="1307" t="s">
        <v>609</v>
      </c>
      <c r="F708" s="1307" t="s">
        <v>455</v>
      </c>
      <c r="G708" s="1307" t="s">
        <v>1754</v>
      </c>
      <c r="H708" s="980"/>
      <c r="I708" s="980"/>
      <c r="J708" s="980">
        <f>5000000+1350000</f>
        <v>6350000</v>
      </c>
      <c r="K708" s="980"/>
      <c r="L708" s="980"/>
      <c r="M708" s="980"/>
      <c r="N708" s="980"/>
      <c r="O708" s="980"/>
      <c r="P708" s="981"/>
      <c r="Q708" s="1449"/>
      <c r="R708" s="980"/>
      <c r="S708" s="980"/>
      <c r="T708" s="980">
        <f>5000000+1350000</f>
        <v>6350000</v>
      </c>
      <c r="U708" s="980"/>
      <c r="V708" s="980"/>
      <c r="W708" s="980"/>
      <c r="X708" s="981"/>
    </row>
    <row r="709" spans="1:24" ht="25.5" customHeight="1" x14ac:dyDescent="0.25">
      <c r="A709" s="1989" t="s">
        <v>2559</v>
      </c>
      <c r="B709" s="1991" t="s">
        <v>2829</v>
      </c>
      <c r="C709" s="1996" t="s">
        <v>2830</v>
      </c>
      <c r="D709" s="953" t="s">
        <v>201</v>
      </c>
      <c r="E709" s="1307" t="s">
        <v>73</v>
      </c>
      <c r="F709" s="1307" t="s">
        <v>1785</v>
      </c>
      <c r="G709" s="1307" t="s">
        <v>1752</v>
      </c>
      <c r="H709" s="980"/>
      <c r="I709" s="980"/>
      <c r="J709" s="980"/>
      <c r="K709" s="980"/>
      <c r="L709" s="980">
        <v>-328499</v>
      </c>
      <c r="M709" s="980"/>
      <c r="N709" s="980"/>
      <c r="O709" s="980"/>
      <c r="P709" s="981"/>
      <c r="Q709" s="1449"/>
      <c r="R709" s="980"/>
      <c r="S709" s="980"/>
      <c r="T709" s="980"/>
      <c r="U709" s="980"/>
      <c r="V709" s="980"/>
      <c r="W709" s="980"/>
      <c r="X709" s="981"/>
    </row>
    <row r="710" spans="1:24" ht="25.5" customHeight="1" x14ac:dyDescent="0.25">
      <c r="A710" s="1990"/>
      <c r="B710" s="1992"/>
      <c r="C710" s="1996"/>
      <c r="D710" s="953" t="s">
        <v>203</v>
      </c>
      <c r="E710" s="1307" t="s">
        <v>1297</v>
      </c>
      <c r="F710" s="1307" t="s">
        <v>550</v>
      </c>
      <c r="G710" s="1307" t="s">
        <v>1754</v>
      </c>
      <c r="H710" s="980"/>
      <c r="I710" s="980"/>
      <c r="J710" s="980"/>
      <c r="K710" s="980"/>
      <c r="L710" s="980"/>
      <c r="M710" s="980"/>
      <c r="N710" s="980"/>
      <c r="O710" s="980"/>
      <c r="P710" s="981">
        <v>328499</v>
      </c>
      <c r="Q710" s="1449"/>
      <c r="R710" s="980"/>
      <c r="S710" s="980"/>
      <c r="T710" s="980"/>
      <c r="U710" s="980"/>
      <c r="V710" s="980"/>
      <c r="W710" s="980"/>
      <c r="X710" s="981"/>
    </row>
    <row r="711" spans="1:24" ht="79.5" customHeight="1" x14ac:dyDescent="0.25">
      <c r="A711" s="1481" t="s">
        <v>2562</v>
      </c>
      <c r="B711" s="1483" t="s">
        <v>2832</v>
      </c>
      <c r="C711" s="1482" t="s">
        <v>2833</v>
      </c>
      <c r="D711" s="953" t="s">
        <v>199</v>
      </c>
      <c r="E711" s="1307" t="s">
        <v>129</v>
      </c>
      <c r="F711" s="1307" t="s">
        <v>90</v>
      </c>
      <c r="G711" s="1307" t="s">
        <v>1766</v>
      </c>
      <c r="H711" s="980"/>
      <c r="I711" s="980"/>
      <c r="J711" s="980"/>
      <c r="K711" s="980"/>
      <c r="L711" s="980"/>
      <c r="M711" s="980">
        <f>-739500-199665+739500+199665</f>
        <v>0</v>
      </c>
      <c r="N711" s="980"/>
      <c r="O711" s="980"/>
      <c r="P711" s="981"/>
      <c r="Q711" s="1449"/>
      <c r="R711" s="980"/>
      <c r="S711" s="980"/>
      <c r="T711" s="980"/>
      <c r="U711" s="980"/>
      <c r="V711" s="980"/>
      <c r="W711" s="980"/>
      <c r="X711" s="981"/>
    </row>
    <row r="712" spans="1:24" ht="38.25" customHeight="1" x14ac:dyDescent="0.25">
      <c r="A712" s="1481" t="s">
        <v>2565</v>
      </c>
      <c r="B712" s="1483" t="s">
        <v>2835</v>
      </c>
      <c r="C712" s="1482" t="s">
        <v>2836</v>
      </c>
      <c r="D712" s="953" t="s">
        <v>194</v>
      </c>
      <c r="E712" s="1307" t="s">
        <v>617</v>
      </c>
      <c r="F712" s="1307" t="s">
        <v>2066</v>
      </c>
      <c r="G712" s="1307" t="s">
        <v>1766</v>
      </c>
      <c r="H712" s="980"/>
      <c r="I712" s="980"/>
      <c r="J712" s="980">
        <f>-244369-46529+32638+258260</f>
        <v>0</v>
      </c>
      <c r="K712" s="980"/>
      <c r="L712" s="980"/>
      <c r="M712" s="980"/>
      <c r="N712" s="980"/>
      <c r="O712" s="980"/>
      <c r="P712" s="981"/>
      <c r="Q712" s="1449"/>
      <c r="R712" s="980"/>
      <c r="S712" s="980"/>
      <c r="T712" s="980"/>
      <c r="U712" s="980"/>
      <c r="V712" s="980"/>
      <c r="W712" s="980"/>
      <c r="X712" s="981"/>
    </row>
    <row r="713" spans="1:24" ht="42" customHeight="1" x14ac:dyDescent="0.25">
      <c r="A713" s="1481" t="s">
        <v>2569</v>
      </c>
      <c r="B713" s="1483" t="s">
        <v>2837</v>
      </c>
      <c r="C713" s="1482" t="s">
        <v>2838</v>
      </c>
      <c r="D713" s="953" t="s">
        <v>204</v>
      </c>
      <c r="E713" s="1307" t="s">
        <v>1753</v>
      </c>
      <c r="F713" s="1307" t="s">
        <v>1784</v>
      </c>
      <c r="G713" s="1307" t="s">
        <v>1754</v>
      </c>
      <c r="H713" s="980"/>
      <c r="I713" s="980"/>
      <c r="J713" s="980"/>
      <c r="K713" s="980"/>
      <c r="L713" s="980"/>
      <c r="M713" s="980"/>
      <c r="N713" s="980"/>
      <c r="O713" s="980"/>
      <c r="P713" s="981">
        <v>6855049</v>
      </c>
      <c r="Q713" s="1449"/>
      <c r="R713" s="980"/>
      <c r="S713" s="980"/>
      <c r="T713" s="980"/>
      <c r="U713" s="980"/>
      <c r="V713" s="980"/>
      <c r="W713" s="980"/>
      <c r="X713" s="981">
        <v>6855049</v>
      </c>
    </row>
    <row r="714" spans="1:24" ht="26.25" customHeight="1" x14ac:dyDescent="0.25">
      <c r="A714" s="1989" t="s">
        <v>2571</v>
      </c>
      <c r="B714" s="1991" t="s">
        <v>2839</v>
      </c>
      <c r="C714" s="1985" t="s">
        <v>2859</v>
      </c>
      <c r="D714" s="953" t="s">
        <v>204</v>
      </c>
      <c r="E714" s="1307" t="s">
        <v>1753</v>
      </c>
      <c r="F714" s="1307" t="s">
        <v>1784</v>
      </c>
      <c r="G714" s="1307" t="s">
        <v>1754</v>
      </c>
      <c r="H714" s="980"/>
      <c r="I714" s="980"/>
      <c r="J714" s="980"/>
      <c r="K714" s="980"/>
      <c r="L714" s="980"/>
      <c r="M714" s="980"/>
      <c r="N714" s="980"/>
      <c r="O714" s="980"/>
      <c r="P714" s="981"/>
      <c r="Q714" s="1449">
        <v>2510268</v>
      </c>
      <c r="R714" s="980"/>
      <c r="S714" s="980"/>
      <c r="T714" s="980"/>
      <c r="U714" s="980"/>
      <c r="V714" s="980"/>
      <c r="W714" s="980"/>
      <c r="X714" s="981"/>
    </row>
    <row r="715" spans="1:24" ht="26.25" customHeight="1" x14ac:dyDescent="0.25">
      <c r="A715" s="1990"/>
      <c r="B715" s="1992"/>
      <c r="C715" s="1986"/>
      <c r="D715" s="953" t="s">
        <v>201</v>
      </c>
      <c r="E715" s="1307" t="s">
        <v>73</v>
      </c>
      <c r="F715" s="1307" t="s">
        <v>1785</v>
      </c>
      <c r="G715" s="1307" t="s">
        <v>1754</v>
      </c>
      <c r="H715" s="980"/>
      <c r="I715" s="980"/>
      <c r="J715" s="980"/>
      <c r="K715" s="980"/>
      <c r="L715" s="980">
        <v>2510268</v>
      </c>
      <c r="M715" s="980"/>
      <c r="N715" s="980"/>
      <c r="O715" s="980"/>
      <c r="P715" s="981"/>
      <c r="Q715" s="1449"/>
      <c r="R715" s="980"/>
      <c r="S715" s="980"/>
      <c r="T715" s="980"/>
      <c r="U715" s="980"/>
      <c r="V715" s="980"/>
      <c r="W715" s="980"/>
      <c r="X715" s="981"/>
    </row>
    <row r="716" spans="1:24" ht="24.75" customHeight="1" x14ac:dyDescent="0.25">
      <c r="A716" s="1989" t="s">
        <v>2573</v>
      </c>
      <c r="B716" s="1991" t="s">
        <v>2846</v>
      </c>
      <c r="C716" s="1985" t="s">
        <v>2847</v>
      </c>
      <c r="D716" s="953" t="s">
        <v>199</v>
      </c>
      <c r="E716" s="1307" t="s">
        <v>2054</v>
      </c>
      <c r="F716" s="1307" t="s">
        <v>90</v>
      </c>
      <c r="G716" s="1307" t="s">
        <v>1752</v>
      </c>
      <c r="H716" s="980"/>
      <c r="I716" s="980"/>
      <c r="J716" s="980"/>
      <c r="K716" s="980"/>
      <c r="L716" s="980"/>
      <c r="M716" s="980">
        <f>-6142500-1658475</f>
        <v>-7800975</v>
      </c>
      <c r="N716" s="980"/>
      <c r="O716" s="980"/>
      <c r="P716" s="981"/>
      <c r="Q716" s="1449"/>
      <c r="R716" s="980"/>
      <c r="S716" s="980"/>
      <c r="T716" s="980"/>
      <c r="U716" s="980"/>
      <c r="V716" s="980"/>
      <c r="W716" s="980"/>
      <c r="X716" s="981"/>
    </row>
    <row r="717" spans="1:24" ht="24.75" customHeight="1" x14ac:dyDescent="0.25">
      <c r="A717" s="1990"/>
      <c r="B717" s="1992"/>
      <c r="C717" s="1986"/>
      <c r="D717" s="953" t="s">
        <v>194</v>
      </c>
      <c r="E717" s="1307" t="s">
        <v>129</v>
      </c>
      <c r="F717" s="1307" t="s">
        <v>2053</v>
      </c>
      <c r="G717" s="1307" t="s">
        <v>1754</v>
      </c>
      <c r="H717" s="980"/>
      <c r="I717" s="980"/>
      <c r="J717" s="980">
        <f>6142500+1658475</f>
        <v>7800975</v>
      </c>
      <c r="K717" s="980"/>
      <c r="L717" s="980"/>
      <c r="M717" s="980"/>
      <c r="N717" s="980"/>
      <c r="O717" s="980"/>
      <c r="P717" s="981"/>
      <c r="Q717" s="1449"/>
      <c r="R717" s="980"/>
      <c r="S717" s="980"/>
      <c r="T717" s="980"/>
      <c r="U717" s="980"/>
      <c r="V717" s="980"/>
      <c r="W717" s="980"/>
      <c r="X717" s="981"/>
    </row>
    <row r="718" spans="1:24" ht="21" customHeight="1" x14ac:dyDescent="0.25">
      <c r="A718" s="1989" t="s">
        <v>2575</v>
      </c>
      <c r="B718" s="1991" t="s">
        <v>2849</v>
      </c>
      <c r="C718" s="1985" t="s">
        <v>2850</v>
      </c>
      <c r="D718" s="953" t="s">
        <v>201</v>
      </c>
      <c r="E718" s="1307" t="s">
        <v>73</v>
      </c>
      <c r="F718" s="1307" t="s">
        <v>1785</v>
      </c>
      <c r="G718" s="1307" t="s">
        <v>1752</v>
      </c>
      <c r="H718" s="980"/>
      <c r="I718" s="980"/>
      <c r="J718" s="980"/>
      <c r="K718" s="980"/>
      <c r="L718" s="980">
        <v>-21444871</v>
      </c>
      <c r="M718" s="980"/>
      <c r="N718" s="980"/>
      <c r="O718" s="980"/>
      <c r="P718" s="981"/>
      <c r="Q718" s="1449"/>
      <c r="R718" s="980"/>
      <c r="S718" s="980"/>
      <c r="T718" s="980"/>
      <c r="U718" s="980"/>
      <c r="V718" s="980"/>
      <c r="W718" s="980"/>
      <c r="X718" s="981"/>
    </row>
    <row r="719" spans="1:24" ht="21" customHeight="1" x14ac:dyDescent="0.25">
      <c r="A719" s="1990"/>
      <c r="B719" s="1992"/>
      <c r="C719" s="1986"/>
      <c r="D719" s="953" t="s">
        <v>200</v>
      </c>
      <c r="E719" s="1307" t="s">
        <v>563</v>
      </c>
      <c r="F719" s="1307" t="s">
        <v>777</v>
      </c>
      <c r="G719" s="1307" t="s">
        <v>1754</v>
      </c>
      <c r="H719" s="980"/>
      <c r="I719" s="980"/>
      <c r="J719" s="980"/>
      <c r="K719" s="980"/>
      <c r="L719" s="980"/>
      <c r="M719" s="980"/>
      <c r="N719" s="980">
        <f>16885725+4559146</f>
        <v>21444871</v>
      </c>
      <c r="O719" s="980"/>
      <c r="P719" s="981"/>
      <c r="Q719" s="1449"/>
      <c r="R719" s="980"/>
      <c r="S719" s="980"/>
      <c r="T719" s="980"/>
      <c r="U719" s="980"/>
      <c r="V719" s="980"/>
      <c r="W719" s="980"/>
      <c r="X719" s="981"/>
    </row>
    <row r="720" spans="1:24" ht="31.5" customHeight="1" x14ac:dyDescent="0.25">
      <c r="A720" s="1481" t="s">
        <v>2577</v>
      </c>
      <c r="B720" s="1483" t="s">
        <v>2855</v>
      </c>
      <c r="C720" s="1482" t="s">
        <v>2860</v>
      </c>
      <c r="D720" s="953" t="s">
        <v>194</v>
      </c>
      <c r="E720" s="1307" t="s">
        <v>1940</v>
      </c>
      <c r="F720" s="1307" t="s">
        <v>2745</v>
      </c>
      <c r="G720" s="1307" t="s">
        <v>1766</v>
      </c>
      <c r="H720" s="980"/>
      <c r="I720" s="980"/>
      <c r="J720" s="980">
        <f>-173045+173045</f>
        <v>0</v>
      </c>
      <c r="K720" s="980"/>
      <c r="L720" s="980"/>
      <c r="M720" s="980"/>
      <c r="N720" s="980"/>
      <c r="O720" s="980"/>
      <c r="P720" s="981"/>
      <c r="Q720" s="1449"/>
      <c r="R720" s="980"/>
      <c r="S720" s="980"/>
      <c r="T720" s="980"/>
      <c r="U720" s="980"/>
      <c r="V720" s="980"/>
      <c r="W720" s="980"/>
      <c r="X720" s="981"/>
    </row>
    <row r="721" spans="1:24" ht="19.5" customHeight="1" x14ac:dyDescent="0.25">
      <c r="A721" s="1989" t="s">
        <v>2578</v>
      </c>
      <c r="B721" s="1987" t="s">
        <v>2864</v>
      </c>
      <c r="C721" s="1985" t="s">
        <v>2863</v>
      </c>
      <c r="D721" s="953" t="s">
        <v>201</v>
      </c>
      <c r="E721" s="1307" t="s">
        <v>73</v>
      </c>
      <c r="F721" s="1307" t="s">
        <v>1785</v>
      </c>
      <c r="G721" s="1307" t="s">
        <v>1752</v>
      </c>
      <c r="H721" s="980"/>
      <c r="I721" s="980"/>
      <c r="J721" s="980"/>
      <c r="K721" s="980"/>
      <c r="L721" s="980">
        <v>-600000</v>
      </c>
      <c r="M721" s="980"/>
      <c r="N721" s="980"/>
      <c r="O721" s="980"/>
      <c r="P721" s="981"/>
      <c r="Q721" s="1449"/>
      <c r="R721" s="980"/>
      <c r="S721" s="980"/>
      <c r="T721" s="980"/>
      <c r="U721" s="980"/>
      <c r="V721" s="980"/>
      <c r="W721" s="980"/>
      <c r="X721" s="981"/>
    </row>
    <row r="722" spans="1:24" ht="19.5" customHeight="1" x14ac:dyDescent="0.25">
      <c r="A722" s="1990"/>
      <c r="B722" s="1988"/>
      <c r="C722" s="1986"/>
      <c r="D722" s="953" t="s">
        <v>198</v>
      </c>
      <c r="E722" s="1307" t="s">
        <v>76</v>
      </c>
      <c r="F722" s="1307" t="s">
        <v>1830</v>
      </c>
      <c r="G722" s="1307" t="s">
        <v>1754</v>
      </c>
      <c r="H722" s="980"/>
      <c r="I722" s="980"/>
      <c r="J722" s="980"/>
      <c r="K722" s="980"/>
      <c r="L722" s="980">
        <v>600000</v>
      </c>
      <c r="M722" s="980"/>
      <c r="N722" s="980"/>
      <c r="O722" s="980"/>
      <c r="P722" s="981"/>
      <c r="Q722" s="1449"/>
      <c r="R722" s="980"/>
      <c r="S722" s="980"/>
      <c r="T722" s="980"/>
      <c r="U722" s="980"/>
      <c r="V722" s="980"/>
      <c r="W722" s="980"/>
      <c r="X722" s="981"/>
    </row>
    <row r="723" spans="1:24" ht="31.5" customHeight="1" x14ac:dyDescent="0.25">
      <c r="A723" s="1989" t="s">
        <v>2581</v>
      </c>
      <c r="B723" s="1991" t="s">
        <v>2866</v>
      </c>
      <c r="C723" s="1985" t="s">
        <v>3018</v>
      </c>
      <c r="D723" s="953" t="s">
        <v>201</v>
      </c>
      <c r="E723" s="1307" t="s">
        <v>73</v>
      </c>
      <c r="F723" s="1307" t="s">
        <v>1785</v>
      </c>
      <c r="G723" s="1307" t="s">
        <v>1752</v>
      </c>
      <c r="H723" s="980"/>
      <c r="I723" s="980"/>
      <c r="J723" s="980"/>
      <c r="K723" s="980"/>
      <c r="L723" s="980">
        <v>-381000</v>
      </c>
      <c r="M723" s="980"/>
      <c r="N723" s="980"/>
      <c r="O723" s="980"/>
      <c r="P723" s="981"/>
      <c r="Q723" s="1449"/>
      <c r="R723" s="980"/>
      <c r="S723" s="980"/>
      <c r="T723" s="980"/>
      <c r="U723" s="980"/>
      <c r="V723" s="980"/>
      <c r="W723" s="980"/>
      <c r="X723" s="981"/>
    </row>
    <row r="724" spans="1:24" ht="31.5" customHeight="1" x14ac:dyDescent="0.25">
      <c r="A724" s="1990"/>
      <c r="B724" s="1992"/>
      <c r="C724" s="1986"/>
      <c r="D724" s="953" t="s">
        <v>194</v>
      </c>
      <c r="E724" s="1307" t="s">
        <v>164</v>
      </c>
      <c r="F724" s="1307" t="s">
        <v>1913</v>
      </c>
      <c r="G724" s="1307" t="s">
        <v>1754</v>
      </c>
      <c r="H724" s="980"/>
      <c r="I724" s="980"/>
      <c r="J724" s="980">
        <f>300000+81000</f>
        <v>381000</v>
      </c>
      <c r="K724" s="980"/>
      <c r="L724" s="980"/>
      <c r="M724" s="980"/>
      <c r="N724" s="980"/>
      <c r="O724" s="980"/>
      <c r="P724" s="981"/>
      <c r="Q724" s="1449"/>
      <c r="R724" s="980"/>
      <c r="S724" s="980"/>
      <c r="T724" s="980"/>
      <c r="U724" s="980"/>
      <c r="V724" s="980"/>
      <c r="W724" s="980"/>
      <c r="X724" s="981"/>
    </row>
    <row r="725" spans="1:24" ht="31.5" customHeight="1" x14ac:dyDescent="0.25">
      <c r="A725" s="1989" t="s">
        <v>2583</v>
      </c>
      <c r="B725" s="1991" t="s">
        <v>2867</v>
      </c>
      <c r="C725" s="1985" t="s">
        <v>2868</v>
      </c>
      <c r="D725" s="953" t="s">
        <v>201</v>
      </c>
      <c r="E725" s="1307" t="s">
        <v>73</v>
      </c>
      <c r="F725" s="1307" t="s">
        <v>1785</v>
      </c>
      <c r="G725" s="1307" t="s">
        <v>1752</v>
      </c>
      <c r="H725" s="980"/>
      <c r="I725" s="980"/>
      <c r="J725" s="980"/>
      <c r="K725" s="980"/>
      <c r="L725" s="980">
        <v>-355600</v>
      </c>
      <c r="M725" s="980"/>
      <c r="N725" s="980"/>
      <c r="O725" s="980"/>
      <c r="P725" s="981"/>
      <c r="Q725" s="1449"/>
      <c r="R725" s="980"/>
      <c r="S725" s="980"/>
      <c r="T725" s="980"/>
      <c r="U725" s="980"/>
      <c r="V725" s="980"/>
      <c r="W725" s="980"/>
      <c r="X725" s="981"/>
    </row>
    <row r="726" spans="1:24" ht="31.5" customHeight="1" x14ac:dyDescent="0.25">
      <c r="A726" s="1990"/>
      <c r="B726" s="1992"/>
      <c r="C726" s="1986"/>
      <c r="D726" s="953" t="s">
        <v>194</v>
      </c>
      <c r="E726" s="1307" t="s">
        <v>641</v>
      </c>
      <c r="F726" s="1307" t="s">
        <v>1755</v>
      </c>
      <c r="G726" s="1307" t="s">
        <v>1754</v>
      </c>
      <c r="H726" s="980"/>
      <c r="I726" s="980"/>
      <c r="J726" s="980">
        <f>280000+75600</f>
        <v>355600</v>
      </c>
      <c r="K726" s="980"/>
      <c r="L726" s="980"/>
      <c r="M726" s="980"/>
      <c r="N726" s="980"/>
      <c r="O726" s="980"/>
      <c r="P726" s="981"/>
      <c r="Q726" s="1449"/>
      <c r="R726" s="980"/>
      <c r="S726" s="980"/>
      <c r="T726" s="980"/>
      <c r="U726" s="980"/>
      <c r="V726" s="980"/>
      <c r="W726" s="980"/>
      <c r="X726" s="981"/>
    </row>
    <row r="727" spans="1:24" ht="24" customHeight="1" x14ac:dyDescent="0.25">
      <c r="A727" s="1989" t="s">
        <v>2586</v>
      </c>
      <c r="B727" s="1991" t="s">
        <v>2869</v>
      </c>
      <c r="C727" s="1996" t="s">
        <v>2870</v>
      </c>
      <c r="D727" s="953" t="s">
        <v>201</v>
      </c>
      <c r="E727" s="1307" t="s">
        <v>73</v>
      </c>
      <c r="F727" s="1307" t="s">
        <v>1785</v>
      </c>
      <c r="G727" s="1307" t="s">
        <v>1752</v>
      </c>
      <c r="H727" s="980"/>
      <c r="I727" s="980"/>
      <c r="J727" s="980"/>
      <c r="K727" s="980"/>
      <c r="L727" s="980">
        <v>-3577301</v>
      </c>
      <c r="M727" s="980"/>
      <c r="N727" s="980"/>
      <c r="O727" s="980"/>
      <c r="P727" s="981"/>
      <c r="Q727" s="1449"/>
      <c r="R727" s="980"/>
      <c r="S727" s="980"/>
      <c r="T727" s="980"/>
      <c r="U727" s="980"/>
      <c r="V727" s="980"/>
      <c r="W727" s="980"/>
      <c r="X727" s="981"/>
    </row>
    <row r="728" spans="1:24" ht="24" customHeight="1" x14ac:dyDescent="0.25">
      <c r="A728" s="1990"/>
      <c r="B728" s="1992"/>
      <c r="C728" s="1996"/>
      <c r="D728" s="953" t="s">
        <v>203</v>
      </c>
      <c r="E728" s="1307" t="s">
        <v>1297</v>
      </c>
      <c r="F728" s="1307" t="s">
        <v>550</v>
      </c>
      <c r="G728" s="1307" t="s">
        <v>1754</v>
      </c>
      <c r="H728" s="980"/>
      <c r="I728" s="980"/>
      <c r="J728" s="980"/>
      <c r="K728" s="980"/>
      <c r="L728" s="980"/>
      <c r="M728" s="980"/>
      <c r="N728" s="980"/>
      <c r="O728" s="980"/>
      <c r="P728" s="981">
        <v>3577301</v>
      </c>
      <c r="Q728" s="1449"/>
      <c r="R728" s="980"/>
      <c r="S728" s="980"/>
      <c r="T728" s="980"/>
      <c r="U728" s="980"/>
      <c r="V728" s="980"/>
      <c r="W728" s="980"/>
      <c r="X728" s="981"/>
    </row>
    <row r="729" spans="1:24" ht="26.25" customHeight="1" x14ac:dyDescent="0.25">
      <c r="A729" s="1989" t="s">
        <v>2588</v>
      </c>
      <c r="B729" s="1991" t="s">
        <v>2871</v>
      </c>
      <c r="C729" s="1985" t="s">
        <v>2872</v>
      </c>
      <c r="D729" s="953" t="s">
        <v>201</v>
      </c>
      <c r="E729" s="1307" t="s">
        <v>73</v>
      </c>
      <c r="F729" s="1307" t="s">
        <v>1785</v>
      </c>
      <c r="G729" s="1307" t="s">
        <v>1752</v>
      </c>
      <c r="H729" s="980"/>
      <c r="I729" s="980"/>
      <c r="J729" s="980"/>
      <c r="K729" s="980"/>
      <c r="L729" s="980">
        <v>-2200360</v>
      </c>
      <c r="M729" s="980"/>
      <c r="N729" s="980"/>
      <c r="O729" s="980"/>
      <c r="P729" s="981"/>
      <c r="Q729" s="1449"/>
      <c r="R729" s="980"/>
      <c r="S729" s="980"/>
      <c r="T729" s="980"/>
      <c r="U729" s="980"/>
      <c r="V729" s="980"/>
      <c r="W729" s="980"/>
      <c r="X729" s="981"/>
    </row>
    <row r="730" spans="1:24" ht="26.25" customHeight="1" x14ac:dyDescent="0.25">
      <c r="A730" s="1990"/>
      <c r="B730" s="1992"/>
      <c r="C730" s="1986"/>
      <c r="D730" s="953" t="s">
        <v>199</v>
      </c>
      <c r="E730" s="1307" t="s">
        <v>601</v>
      </c>
      <c r="F730" s="1307" t="s">
        <v>127</v>
      </c>
      <c r="G730" s="1307" t="s">
        <v>1754</v>
      </c>
      <c r="H730" s="980"/>
      <c r="I730" s="980"/>
      <c r="J730" s="980"/>
      <c r="K730" s="980"/>
      <c r="L730" s="980"/>
      <c r="M730" s="980">
        <f>1732567+467793</f>
        <v>2200360</v>
      </c>
      <c r="N730" s="980"/>
      <c r="O730" s="980"/>
      <c r="P730" s="981"/>
      <c r="Q730" s="1449"/>
      <c r="R730" s="980"/>
      <c r="S730" s="980"/>
      <c r="T730" s="980"/>
      <c r="U730" s="980"/>
      <c r="V730" s="980"/>
      <c r="W730" s="980"/>
      <c r="X730" s="981"/>
    </row>
    <row r="731" spans="1:24" ht="30.75" customHeight="1" x14ac:dyDescent="0.25">
      <c r="A731" s="1989" t="s">
        <v>2594</v>
      </c>
      <c r="B731" s="1991" t="s">
        <v>2873</v>
      </c>
      <c r="C731" s="2032" t="s">
        <v>2874</v>
      </c>
      <c r="D731" s="953" t="s">
        <v>201</v>
      </c>
      <c r="E731" s="1307" t="s">
        <v>73</v>
      </c>
      <c r="F731" s="1307" t="s">
        <v>1785</v>
      </c>
      <c r="G731" s="1307" t="s">
        <v>1752</v>
      </c>
      <c r="H731" s="980"/>
      <c r="I731" s="980"/>
      <c r="J731" s="980"/>
      <c r="K731" s="980"/>
      <c r="L731" s="980">
        <v>-960000</v>
      </c>
      <c r="M731" s="980"/>
      <c r="N731" s="980"/>
      <c r="O731" s="980"/>
      <c r="P731" s="981"/>
      <c r="Q731" s="1449"/>
      <c r="R731" s="980"/>
      <c r="S731" s="980"/>
      <c r="T731" s="980"/>
      <c r="U731" s="980"/>
      <c r="V731" s="980"/>
      <c r="W731" s="980"/>
      <c r="X731" s="981"/>
    </row>
    <row r="732" spans="1:24" ht="30.75" customHeight="1" x14ac:dyDescent="0.25">
      <c r="A732" s="1990"/>
      <c r="B732" s="1992"/>
      <c r="C732" s="2033"/>
      <c r="D732" s="953" t="s">
        <v>203</v>
      </c>
      <c r="E732" s="1307" t="s">
        <v>1297</v>
      </c>
      <c r="F732" s="1307" t="s">
        <v>550</v>
      </c>
      <c r="G732" s="1307" t="s">
        <v>1754</v>
      </c>
      <c r="H732" s="980"/>
      <c r="I732" s="980"/>
      <c r="J732" s="980"/>
      <c r="K732" s="980"/>
      <c r="L732" s="980"/>
      <c r="M732" s="980"/>
      <c r="N732" s="980"/>
      <c r="O732" s="980"/>
      <c r="P732" s="981">
        <v>960000</v>
      </c>
      <c r="Q732" s="1449"/>
      <c r="R732" s="980"/>
      <c r="S732" s="980"/>
      <c r="T732" s="980"/>
      <c r="U732" s="980"/>
      <c r="V732" s="980"/>
      <c r="W732" s="980"/>
      <c r="X732" s="981"/>
    </row>
    <row r="733" spans="1:24" ht="17.25" customHeight="1" x14ac:dyDescent="0.25">
      <c r="A733" s="1989" t="s">
        <v>2596</v>
      </c>
      <c r="B733" s="1987" t="s">
        <v>2875</v>
      </c>
      <c r="C733" s="1985" t="s">
        <v>2876</v>
      </c>
      <c r="D733" s="953" t="s">
        <v>194</v>
      </c>
      <c r="E733" s="1307" t="s">
        <v>73</v>
      </c>
      <c r="F733" s="1307" t="s">
        <v>453</v>
      </c>
      <c r="G733" s="1307" t="s">
        <v>1766</v>
      </c>
      <c r="H733" s="980">
        <f>-680215+680215</f>
        <v>0</v>
      </c>
      <c r="I733" s="980"/>
      <c r="J733" s="980"/>
      <c r="K733" s="980"/>
      <c r="L733" s="980"/>
      <c r="M733" s="980"/>
      <c r="N733" s="980"/>
      <c r="O733" s="980"/>
      <c r="P733" s="981"/>
      <c r="Q733" s="1449"/>
      <c r="R733" s="980"/>
      <c r="S733" s="980"/>
      <c r="T733" s="980"/>
      <c r="U733" s="980"/>
      <c r="V733" s="980"/>
      <c r="W733" s="980"/>
      <c r="X733" s="981"/>
    </row>
    <row r="734" spans="1:24" ht="17.25" customHeight="1" x14ac:dyDescent="0.25">
      <c r="A734" s="1995"/>
      <c r="B734" s="2007"/>
      <c r="C734" s="1993"/>
      <c r="D734" s="953" t="s">
        <v>194</v>
      </c>
      <c r="E734" s="1307" t="s">
        <v>73</v>
      </c>
      <c r="F734" s="1307" t="s">
        <v>553</v>
      </c>
      <c r="G734" s="1307" t="s">
        <v>1766</v>
      </c>
      <c r="H734" s="980">
        <f>-15600+15600</f>
        <v>0</v>
      </c>
      <c r="I734" s="980">
        <v>-137761</v>
      </c>
      <c r="J734" s="980"/>
      <c r="K734" s="980"/>
      <c r="L734" s="980"/>
      <c r="M734" s="980"/>
      <c r="N734" s="980"/>
      <c r="O734" s="980"/>
      <c r="P734" s="981"/>
      <c r="Q734" s="1449"/>
      <c r="R734" s="980"/>
      <c r="S734" s="980"/>
      <c r="T734" s="980"/>
      <c r="U734" s="980"/>
      <c r="V734" s="980"/>
      <c r="W734" s="980"/>
      <c r="X734" s="981"/>
    </row>
    <row r="735" spans="1:24" ht="17.25" customHeight="1" x14ac:dyDescent="0.25">
      <c r="A735" s="1995"/>
      <c r="B735" s="2007"/>
      <c r="C735" s="1993"/>
      <c r="D735" s="953" t="s">
        <v>194</v>
      </c>
      <c r="E735" s="1307" t="s">
        <v>609</v>
      </c>
      <c r="F735" s="1307" t="s">
        <v>455</v>
      </c>
      <c r="G735" s="1307" t="s">
        <v>1766</v>
      </c>
      <c r="H735" s="980">
        <f>-15600+15600</f>
        <v>0</v>
      </c>
      <c r="I735" s="980"/>
      <c r="J735" s="980"/>
      <c r="K735" s="980"/>
      <c r="L735" s="980"/>
      <c r="M735" s="980"/>
      <c r="N735" s="980"/>
      <c r="O735" s="980"/>
      <c r="P735" s="981"/>
      <c r="Q735" s="1449"/>
      <c r="R735" s="980"/>
      <c r="S735" s="980"/>
      <c r="T735" s="980"/>
      <c r="U735" s="980"/>
      <c r="V735" s="980"/>
      <c r="W735" s="980"/>
      <c r="X735" s="981"/>
    </row>
    <row r="736" spans="1:24" ht="17.25" customHeight="1" x14ac:dyDescent="0.25">
      <c r="A736" s="1995"/>
      <c r="B736" s="2007"/>
      <c r="C736" s="1993"/>
      <c r="D736" s="953" t="s">
        <v>194</v>
      </c>
      <c r="E736" s="1307" t="s">
        <v>130</v>
      </c>
      <c r="F736" s="1307" t="s">
        <v>457</v>
      </c>
      <c r="G736" s="1307" t="s">
        <v>1766</v>
      </c>
      <c r="H736" s="980">
        <f>-48276+48276</f>
        <v>0</v>
      </c>
      <c r="I736" s="980"/>
      <c r="J736" s="980"/>
      <c r="K736" s="980"/>
      <c r="L736" s="980"/>
      <c r="M736" s="980"/>
      <c r="N736" s="980"/>
      <c r="O736" s="980"/>
      <c r="P736" s="981"/>
      <c r="Q736" s="1449"/>
      <c r="R736" s="980"/>
      <c r="S736" s="980"/>
      <c r="T736" s="980"/>
      <c r="U736" s="980"/>
      <c r="V736" s="980"/>
      <c r="W736" s="980"/>
      <c r="X736" s="981"/>
    </row>
    <row r="737" spans="1:24" ht="17.25" customHeight="1" x14ac:dyDescent="0.25">
      <c r="A737" s="1995"/>
      <c r="B737" s="2007"/>
      <c r="C737" s="1993"/>
      <c r="D737" s="953" t="s">
        <v>194</v>
      </c>
      <c r="E737" s="1307" t="s">
        <v>648</v>
      </c>
      <c r="F737" s="1307" t="s">
        <v>135</v>
      </c>
      <c r="G737" s="1307" t="s">
        <v>1766</v>
      </c>
      <c r="H737" s="980">
        <f>-21768+21768</f>
        <v>0</v>
      </c>
      <c r="I737" s="980"/>
      <c r="J737" s="980"/>
      <c r="K737" s="980"/>
      <c r="L737" s="980"/>
      <c r="M737" s="980"/>
      <c r="N737" s="980"/>
      <c r="O737" s="980"/>
      <c r="P737" s="981"/>
      <c r="Q737" s="1449"/>
      <c r="R737" s="980"/>
      <c r="S737" s="980"/>
      <c r="T737" s="980"/>
      <c r="U737" s="980"/>
      <c r="V737" s="980"/>
      <c r="W737" s="980"/>
      <c r="X737" s="981"/>
    </row>
    <row r="738" spans="1:24" ht="17.25" customHeight="1" x14ac:dyDescent="0.25">
      <c r="A738" s="1995"/>
      <c r="B738" s="2007"/>
      <c r="C738" s="1993"/>
      <c r="D738" s="953" t="s">
        <v>194</v>
      </c>
      <c r="E738" s="1307" t="s">
        <v>557</v>
      </c>
      <c r="F738" s="1307" t="s">
        <v>460</v>
      </c>
      <c r="G738" s="1307" t="s">
        <v>1766</v>
      </c>
      <c r="H738" s="980">
        <f>-27000+27000</f>
        <v>0</v>
      </c>
      <c r="I738" s="980"/>
      <c r="J738" s="980"/>
      <c r="K738" s="980"/>
      <c r="L738" s="980"/>
      <c r="M738" s="980"/>
      <c r="N738" s="980"/>
      <c r="O738" s="980"/>
      <c r="P738" s="981"/>
      <c r="Q738" s="1449"/>
      <c r="R738" s="980"/>
      <c r="S738" s="980"/>
      <c r="T738" s="980"/>
      <c r="U738" s="980"/>
      <c r="V738" s="980"/>
      <c r="W738" s="980"/>
      <c r="X738" s="981"/>
    </row>
    <row r="739" spans="1:24" ht="17.25" customHeight="1" x14ac:dyDescent="0.25">
      <c r="A739" s="1995"/>
      <c r="B739" s="2007"/>
      <c r="C739" s="1993"/>
      <c r="D739" s="953" t="s">
        <v>194</v>
      </c>
      <c r="E739" s="1307" t="s">
        <v>557</v>
      </c>
      <c r="F739" s="1307" t="s">
        <v>462</v>
      </c>
      <c r="G739" s="1307" t="s">
        <v>1766</v>
      </c>
      <c r="H739" s="980">
        <f>-111000+81000+30000</f>
        <v>0</v>
      </c>
      <c r="I739" s="980"/>
      <c r="J739" s="980"/>
      <c r="K739" s="980"/>
      <c r="L739" s="980"/>
      <c r="M739" s="980"/>
      <c r="N739" s="980"/>
      <c r="O739" s="980"/>
      <c r="P739" s="981"/>
      <c r="Q739" s="1449"/>
      <c r="R739" s="980"/>
      <c r="S739" s="980"/>
      <c r="T739" s="980"/>
      <c r="U739" s="980"/>
      <c r="V739" s="980"/>
      <c r="W739" s="980"/>
      <c r="X739" s="981"/>
    </row>
    <row r="740" spans="1:24" ht="17.25" customHeight="1" x14ac:dyDescent="0.25">
      <c r="A740" s="1990"/>
      <c r="B740" s="1988"/>
      <c r="C740" s="1986"/>
      <c r="D740" s="953" t="s">
        <v>194</v>
      </c>
      <c r="E740" s="1307" t="s">
        <v>1940</v>
      </c>
      <c r="F740" s="1307" t="s">
        <v>1939</v>
      </c>
      <c r="G740" s="1307" t="s">
        <v>1766</v>
      </c>
      <c r="H740" s="980">
        <f>-680000+70000+610000</f>
        <v>0</v>
      </c>
      <c r="I740" s="980">
        <v>137761</v>
      </c>
      <c r="J740" s="980"/>
      <c r="K740" s="980"/>
      <c r="L740" s="980"/>
      <c r="M740" s="980"/>
      <c r="N740" s="980"/>
      <c r="O740" s="980"/>
      <c r="P740" s="981"/>
      <c r="Q740" s="1449"/>
      <c r="R740" s="980"/>
      <c r="S740" s="980"/>
      <c r="T740" s="980"/>
      <c r="U740" s="980"/>
      <c r="V740" s="980"/>
      <c r="W740" s="980"/>
      <c r="X740" s="981"/>
    </row>
    <row r="741" spans="1:24" ht="24" customHeight="1" x14ac:dyDescent="0.25">
      <c r="A741" s="1989" t="s">
        <v>2598</v>
      </c>
      <c r="B741" s="1987" t="s">
        <v>2877</v>
      </c>
      <c r="C741" s="1996" t="s">
        <v>2878</v>
      </c>
      <c r="D741" s="953" t="s">
        <v>201</v>
      </c>
      <c r="E741" s="1307" t="s">
        <v>73</v>
      </c>
      <c r="F741" s="1307" t="s">
        <v>1785</v>
      </c>
      <c r="G741" s="1307" t="s">
        <v>1752</v>
      </c>
      <c r="H741" s="980"/>
      <c r="I741" s="980"/>
      <c r="J741" s="980"/>
      <c r="K741" s="980"/>
      <c r="L741" s="980">
        <v>-381000</v>
      </c>
      <c r="M741" s="980"/>
      <c r="N741" s="980"/>
      <c r="O741" s="980"/>
      <c r="P741" s="981"/>
      <c r="Q741" s="1449"/>
      <c r="R741" s="980"/>
      <c r="S741" s="980"/>
      <c r="T741" s="980"/>
      <c r="U741" s="980"/>
      <c r="V741" s="980"/>
      <c r="W741" s="980"/>
      <c r="X741" s="981"/>
    </row>
    <row r="742" spans="1:24" ht="24" customHeight="1" x14ac:dyDescent="0.25">
      <c r="A742" s="1990"/>
      <c r="B742" s="1988"/>
      <c r="C742" s="1996"/>
      <c r="D742" s="953" t="s">
        <v>203</v>
      </c>
      <c r="E742" s="1307" t="s">
        <v>1297</v>
      </c>
      <c r="F742" s="1307" t="s">
        <v>550</v>
      </c>
      <c r="G742" s="1307" t="s">
        <v>1754</v>
      </c>
      <c r="H742" s="980"/>
      <c r="I742" s="980"/>
      <c r="J742" s="980"/>
      <c r="K742" s="980"/>
      <c r="L742" s="980"/>
      <c r="M742" s="980"/>
      <c r="N742" s="980"/>
      <c r="O742" s="980"/>
      <c r="P742" s="981">
        <v>381000</v>
      </c>
      <c r="Q742" s="1449"/>
      <c r="R742" s="980"/>
      <c r="S742" s="980"/>
      <c r="T742" s="980"/>
      <c r="U742" s="980"/>
      <c r="V742" s="980"/>
      <c r="W742" s="980"/>
      <c r="X742" s="981"/>
    </row>
    <row r="743" spans="1:24" ht="24" customHeight="1" x14ac:dyDescent="0.25">
      <c r="A743" s="1989" t="s">
        <v>2601</v>
      </c>
      <c r="B743" s="1987" t="s">
        <v>2879</v>
      </c>
      <c r="C743" s="1996" t="s">
        <v>2880</v>
      </c>
      <c r="D743" s="953" t="s">
        <v>201</v>
      </c>
      <c r="E743" s="1307" t="s">
        <v>73</v>
      </c>
      <c r="F743" s="1307" t="s">
        <v>1785</v>
      </c>
      <c r="G743" s="1307" t="s">
        <v>1752</v>
      </c>
      <c r="H743" s="980"/>
      <c r="I743" s="980"/>
      <c r="J743" s="980"/>
      <c r="K743" s="980"/>
      <c r="L743" s="980">
        <v>-909320</v>
      </c>
      <c r="M743" s="980"/>
      <c r="N743" s="980"/>
      <c r="O743" s="980"/>
      <c r="P743" s="981"/>
      <c r="Q743" s="1449"/>
      <c r="R743" s="980"/>
      <c r="S743" s="980"/>
      <c r="T743" s="980"/>
      <c r="U743" s="980"/>
      <c r="V743" s="980"/>
      <c r="W743" s="980"/>
      <c r="X743" s="981"/>
    </row>
    <row r="744" spans="1:24" ht="24" customHeight="1" x14ac:dyDescent="0.25">
      <c r="A744" s="1990"/>
      <c r="B744" s="1988"/>
      <c r="C744" s="1996"/>
      <c r="D744" s="953" t="s">
        <v>203</v>
      </c>
      <c r="E744" s="1307" t="s">
        <v>1297</v>
      </c>
      <c r="F744" s="1307" t="s">
        <v>550</v>
      </c>
      <c r="G744" s="1307" t="s">
        <v>1754</v>
      </c>
      <c r="H744" s="980"/>
      <c r="I744" s="980"/>
      <c r="J744" s="980"/>
      <c r="K744" s="980"/>
      <c r="L744" s="980"/>
      <c r="M744" s="980"/>
      <c r="N744" s="980"/>
      <c r="O744" s="980"/>
      <c r="P744" s="981">
        <v>909320</v>
      </c>
      <c r="Q744" s="1449"/>
      <c r="R744" s="980"/>
      <c r="S744" s="980"/>
      <c r="T744" s="980"/>
      <c r="U744" s="980"/>
      <c r="V744" s="980"/>
      <c r="W744" s="980"/>
      <c r="X744" s="981"/>
    </row>
    <row r="745" spans="1:24" ht="24.75" customHeight="1" x14ac:dyDescent="0.25">
      <c r="A745" s="1989" t="s">
        <v>2603</v>
      </c>
      <c r="B745" s="1987" t="s">
        <v>2881</v>
      </c>
      <c r="C745" s="1996" t="s">
        <v>2882</v>
      </c>
      <c r="D745" s="953" t="s">
        <v>201</v>
      </c>
      <c r="E745" s="1307" t="s">
        <v>73</v>
      </c>
      <c r="F745" s="1307" t="s">
        <v>1785</v>
      </c>
      <c r="G745" s="1307" t="s">
        <v>1752</v>
      </c>
      <c r="H745" s="980"/>
      <c r="I745" s="980"/>
      <c r="J745" s="980"/>
      <c r="K745" s="980"/>
      <c r="L745" s="980">
        <v>-208280</v>
      </c>
      <c r="M745" s="980"/>
      <c r="N745" s="980"/>
      <c r="O745" s="980"/>
      <c r="P745" s="981"/>
      <c r="Q745" s="1449"/>
      <c r="R745" s="980"/>
      <c r="S745" s="980"/>
      <c r="T745" s="980"/>
      <c r="U745" s="980"/>
      <c r="V745" s="980"/>
      <c r="W745" s="980"/>
      <c r="X745" s="981"/>
    </row>
    <row r="746" spans="1:24" ht="24.75" customHeight="1" x14ac:dyDescent="0.25">
      <c r="A746" s="1990"/>
      <c r="B746" s="1988"/>
      <c r="C746" s="1996"/>
      <c r="D746" s="953" t="s">
        <v>203</v>
      </c>
      <c r="E746" s="1307" t="s">
        <v>1297</v>
      </c>
      <c r="F746" s="1307" t="s">
        <v>550</v>
      </c>
      <c r="G746" s="1307" t="s">
        <v>1754</v>
      </c>
      <c r="H746" s="980"/>
      <c r="I746" s="980"/>
      <c r="J746" s="980"/>
      <c r="K746" s="980"/>
      <c r="L746" s="980"/>
      <c r="M746" s="980"/>
      <c r="N746" s="980"/>
      <c r="O746" s="980"/>
      <c r="P746" s="981">
        <v>208280</v>
      </c>
      <c r="Q746" s="1449"/>
      <c r="R746" s="980"/>
      <c r="S746" s="980"/>
      <c r="T746" s="980"/>
      <c r="U746" s="980"/>
      <c r="V746" s="980"/>
      <c r="W746" s="980"/>
      <c r="X746" s="981"/>
    </row>
    <row r="747" spans="1:24" ht="45" customHeight="1" x14ac:dyDescent="0.25">
      <c r="A747" s="1989" t="s">
        <v>2605</v>
      </c>
      <c r="B747" s="1987" t="s">
        <v>2883</v>
      </c>
      <c r="C747" s="1985" t="s">
        <v>2896</v>
      </c>
      <c r="D747" s="953" t="s">
        <v>201</v>
      </c>
      <c r="E747" s="1307" t="s">
        <v>73</v>
      </c>
      <c r="F747" s="1307" t="s">
        <v>1785</v>
      </c>
      <c r="G747" s="1307" t="s">
        <v>1752</v>
      </c>
      <c r="H747" s="980"/>
      <c r="I747" s="980"/>
      <c r="J747" s="980"/>
      <c r="K747" s="980"/>
      <c r="L747" s="980">
        <v>-200000</v>
      </c>
      <c r="M747" s="980"/>
      <c r="N747" s="980"/>
      <c r="O747" s="980"/>
      <c r="P747" s="981"/>
      <c r="Q747" s="1449"/>
      <c r="R747" s="980"/>
      <c r="S747" s="980"/>
      <c r="T747" s="980"/>
      <c r="U747" s="980"/>
      <c r="V747" s="980"/>
      <c r="W747" s="980"/>
      <c r="X747" s="981"/>
    </row>
    <row r="748" spans="1:24" ht="45" customHeight="1" x14ac:dyDescent="0.25">
      <c r="A748" s="1990"/>
      <c r="B748" s="1988"/>
      <c r="C748" s="1986"/>
      <c r="D748" s="953" t="s">
        <v>198</v>
      </c>
      <c r="E748" s="1307" t="s">
        <v>76</v>
      </c>
      <c r="F748" s="1307" t="s">
        <v>1830</v>
      </c>
      <c r="G748" s="1307" t="s">
        <v>1754</v>
      </c>
      <c r="H748" s="980"/>
      <c r="I748" s="980"/>
      <c r="J748" s="980"/>
      <c r="K748" s="980"/>
      <c r="L748" s="980">
        <v>200000</v>
      </c>
      <c r="M748" s="980"/>
      <c r="N748" s="980"/>
      <c r="O748" s="980"/>
      <c r="P748" s="981"/>
      <c r="Q748" s="1449"/>
      <c r="R748" s="980"/>
      <c r="S748" s="980"/>
      <c r="T748" s="980"/>
      <c r="U748" s="980"/>
      <c r="V748" s="980"/>
      <c r="W748" s="980"/>
      <c r="X748" s="981"/>
    </row>
    <row r="749" spans="1:24" ht="38.25" customHeight="1" x14ac:dyDescent="0.25">
      <c r="A749" s="1989" t="s">
        <v>2608</v>
      </c>
      <c r="B749" s="1987" t="s">
        <v>2886</v>
      </c>
      <c r="C749" s="1985" t="s">
        <v>2895</v>
      </c>
      <c r="D749" s="953" t="s">
        <v>201</v>
      </c>
      <c r="E749" s="1307" t="s">
        <v>73</v>
      </c>
      <c r="F749" s="1307" t="s">
        <v>1785</v>
      </c>
      <c r="G749" s="1307" t="s">
        <v>1752</v>
      </c>
      <c r="H749" s="980"/>
      <c r="I749" s="980"/>
      <c r="J749" s="980"/>
      <c r="K749" s="980"/>
      <c r="L749" s="980">
        <v>-100000</v>
      </c>
      <c r="M749" s="980"/>
      <c r="N749" s="980"/>
      <c r="O749" s="980"/>
      <c r="P749" s="981"/>
      <c r="Q749" s="1449"/>
      <c r="R749" s="980"/>
      <c r="S749" s="980"/>
      <c r="T749" s="980"/>
      <c r="U749" s="980"/>
      <c r="V749" s="980"/>
      <c r="W749" s="980"/>
      <c r="X749" s="981"/>
    </row>
    <row r="750" spans="1:24" ht="38.25" customHeight="1" x14ac:dyDescent="0.25">
      <c r="A750" s="1990"/>
      <c r="B750" s="1988"/>
      <c r="C750" s="1986"/>
      <c r="D750" s="953" t="s">
        <v>198</v>
      </c>
      <c r="E750" s="1307" t="s">
        <v>76</v>
      </c>
      <c r="F750" s="1307" t="s">
        <v>1830</v>
      </c>
      <c r="G750" s="1307" t="s">
        <v>1754</v>
      </c>
      <c r="H750" s="980"/>
      <c r="I750" s="980"/>
      <c r="J750" s="980"/>
      <c r="K750" s="980"/>
      <c r="L750" s="980">
        <v>100000</v>
      </c>
      <c r="M750" s="980"/>
      <c r="N750" s="980"/>
      <c r="O750" s="980"/>
      <c r="P750" s="981"/>
      <c r="Q750" s="1449"/>
      <c r="R750" s="980"/>
      <c r="S750" s="980"/>
      <c r="T750" s="980"/>
      <c r="U750" s="980"/>
      <c r="V750" s="980"/>
      <c r="W750" s="980"/>
      <c r="X750" s="981"/>
    </row>
    <row r="751" spans="1:24" ht="39.75" customHeight="1" x14ac:dyDescent="0.25">
      <c r="A751" s="1989" t="s">
        <v>2611</v>
      </c>
      <c r="B751" s="1987" t="s">
        <v>2889</v>
      </c>
      <c r="C751" s="1985" t="s">
        <v>2894</v>
      </c>
      <c r="D751" s="953" t="s">
        <v>201</v>
      </c>
      <c r="E751" s="1307" t="s">
        <v>73</v>
      </c>
      <c r="F751" s="1307" t="s">
        <v>1785</v>
      </c>
      <c r="G751" s="1307" t="s">
        <v>1752</v>
      </c>
      <c r="H751" s="980"/>
      <c r="I751" s="980"/>
      <c r="J751" s="980"/>
      <c r="K751" s="980"/>
      <c r="L751" s="980">
        <v>-200000</v>
      </c>
      <c r="M751" s="980"/>
      <c r="N751" s="980"/>
      <c r="O751" s="980"/>
      <c r="P751" s="981"/>
      <c r="Q751" s="1449"/>
      <c r="R751" s="980"/>
      <c r="S751" s="980"/>
      <c r="T751" s="980"/>
      <c r="U751" s="980"/>
      <c r="V751" s="980"/>
      <c r="W751" s="980"/>
      <c r="X751" s="981"/>
    </row>
    <row r="752" spans="1:24" ht="39.75" customHeight="1" x14ac:dyDescent="0.25">
      <c r="A752" s="1990"/>
      <c r="B752" s="1988"/>
      <c r="C752" s="1986"/>
      <c r="D752" s="953" t="s">
        <v>198</v>
      </c>
      <c r="E752" s="1307" t="s">
        <v>76</v>
      </c>
      <c r="F752" s="1307" t="s">
        <v>1830</v>
      </c>
      <c r="G752" s="1307" t="s">
        <v>1754</v>
      </c>
      <c r="H752" s="980"/>
      <c r="I752" s="980"/>
      <c r="J752" s="980"/>
      <c r="K752" s="980"/>
      <c r="L752" s="980">
        <v>200000</v>
      </c>
      <c r="M752" s="980"/>
      <c r="N752" s="980"/>
      <c r="O752" s="980"/>
      <c r="P752" s="981"/>
      <c r="Q752" s="1449"/>
      <c r="R752" s="980"/>
      <c r="S752" s="980"/>
      <c r="T752" s="980"/>
      <c r="U752" s="980"/>
      <c r="V752" s="980"/>
      <c r="W752" s="980"/>
      <c r="X752" s="981"/>
    </row>
    <row r="753" spans="1:24" ht="31.5" customHeight="1" x14ac:dyDescent="0.25">
      <c r="A753" s="1989" t="s">
        <v>2613</v>
      </c>
      <c r="B753" s="1987" t="s">
        <v>2892</v>
      </c>
      <c r="C753" s="1985" t="s">
        <v>2893</v>
      </c>
      <c r="D753" s="953" t="s">
        <v>201</v>
      </c>
      <c r="E753" s="1307" t="s">
        <v>73</v>
      </c>
      <c r="F753" s="1307" t="s">
        <v>1785</v>
      </c>
      <c r="G753" s="1307" t="s">
        <v>1752</v>
      </c>
      <c r="H753" s="980"/>
      <c r="I753" s="980"/>
      <c r="J753" s="980"/>
      <c r="K753" s="980"/>
      <c r="L753" s="980">
        <v>-110000</v>
      </c>
      <c r="M753" s="980"/>
      <c r="N753" s="980"/>
      <c r="O753" s="980"/>
      <c r="P753" s="981"/>
      <c r="Q753" s="1449"/>
      <c r="R753" s="980"/>
      <c r="S753" s="980"/>
      <c r="T753" s="980"/>
      <c r="U753" s="980"/>
      <c r="V753" s="980"/>
      <c r="W753" s="980"/>
      <c r="X753" s="981"/>
    </row>
    <row r="754" spans="1:24" ht="31.5" customHeight="1" x14ac:dyDescent="0.25">
      <c r="A754" s="1990"/>
      <c r="B754" s="1988"/>
      <c r="C754" s="1986"/>
      <c r="D754" s="953" t="s">
        <v>198</v>
      </c>
      <c r="E754" s="1307" t="s">
        <v>620</v>
      </c>
      <c r="F754" s="1307" t="s">
        <v>1830</v>
      </c>
      <c r="G754" s="1307" t="s">
        <v>1754</v>
      </c>
      <c r="H754" s="980"/>
      <c r="I754" s="980"/>
      <c r="J754" s="980"/>
      <c r="K754" s="980"/>
      <c r="L754" s="980">
        <v>110000</v>
      </c>
      <c r="M754" s="980"/>
      <c r="N754" s="980"/>
      <c r="O754" s="980"/>
      <c r="P754" s="981"/>
      <c r="Q754" s="1449"/>
      <c r="R754" s="980"/>
      <c r="S754" s="980"/>
      <c r="T754" s="980"/>
      <c r="U754" s="980"/>
      <c r="V754" s="980"/>
      <c r="W754" s="980"/>
      <c r="X754" s="981"/>
    </row>
    <row r="755" spans="1:24" ht="38.25" customHeight="1" x14ac:dyDescent="0.25">
      <c r="A755" s="1989" t="s">
        <v>2590</v>
      </c>
      <c r="B755" s="1987" t="s">
        <v>2898</v>
      </c>
      <c r="C755" s="1985" t="s">
        <v>2899</v>
      </c>
      <c r="D755" s="953" t="s">
        <v>201</v>
      </c>
      <c r="E755" s="1307" t="s">
        <v>73</v>
      </c>
      <c r="F755" s="1307" t="s">
        <v>1785</v>
      </c>
      <c r="G755" s="1307" t="s">
        <v>1752</v>
      </c>
      <c r="H755" s="980"/>
      <c r="I755" s="980"/>
      <c r="J755" s="980"/>
      <c r="K755" s="980"/>
      <c r="L755" s="980">
        <v>-200000</v>
      </c>
      <c r="M755" s="980"/>
      <c r="N755" s="980"/>
      <c r="O755" s="980"/>
      <c r="P755" s="981"/>
      <c r="Q755" s="1449"/>
      <c r="R755" s="980"/>
      <c r="S755" s="980"/>
      <c r="T755" s="980"/>
      <c r="U755" s="980"/>
      <c r="V755" s="980"/>
      <c r="W755" s="980"/>
      <c r="X755" s="981"/>
    </row>
    <row r="756" spans="1:24" ht="38.25" customHeight="1" x14ac:dyDescent="0.25">
      <c r="A756" s="1990"/>
      <c r="B756" s="1988"/>
      <c r="C756" s="1986"/>
      <c r="D756" s="953" t="s">
        <v>194</v>
      </c>
      <c r="E756" s="1307" t="s">
        <v>130</v>
      </c>
      <c r="F756" s="1307" t="s">
        <v>2900</v>
      </c>
      <c r="G756" s="1307" t="s">
        <v>1754</v>
      </c>
      <c r="H756" s="980">
        <v>200000</v>
      </c>
      <c r="I756" s="980"/>
      <c r="J756" s="980"/>
      <c r="K756" s="980"/>
      <c r="L756" s="980"/>
      <c r="M756" s="980"/>
      <c r="N756" s="980"/>
      <c r="O756" s="980"/>
      <c r="P756" s="981"/>
      <c r="Q756" s="1449"/>
      <c r="R756" s="980"/>
      <c r="S756" s="980"/>
      <c r="T756" s="980"/>
      <c r="U756" s="980"/>
      <c r="V756" s="980"/>
      <c r="W756" s="980"/>
      <c r="X756" s="981"/>
    </row>
    <row r="757" spans="1:24" ht="36.75" customHeight="1" x14ac:dyDescent="0.25">
      <c r="A757" s="1481" t="s">
        <v>2615</v>
      </c>
      <c r="B757" s="1479" t="s">
        <v>2901</v>
      </c>
      <c r="C757" s="1477" t="s">
        <v>2357</v>
      </c>
      <c r="D757" s="953" t="s">
        <v>194</v>
      </c>
      <c r="E757" s="1307" t="s">
        <v>130</v>
      </c>
      <c r="F757" s="1307" t="s">
        <v>152</v>
      </c>
      <c r="G757" s="1307" t="s">
        <v>1766</v>
      </c>
      <c r="H757" s="980"/>
      <c r="I757" s="980"/>
      <c r="J757" s="980">
        <f>5000000+1350000</f>
        <v>6350000</v>
      </c>
      <c r="K757" s="980"/>
      <c r="L757" s="980"/>
      <c r="M757" s="980"/>
      <c r="N757" s="980"/>
      <c r="O757" s="980"/>
      <c r="P757" s="981"/>
      <c r="Q757" s="1449"/>
      <c r="R757" s="980"/>
      <c r="S757" s="980"/>
      <c r="T757" s="980">
        <f>5000000+1350000</f>
        <v>6350000</v>
      </c>
      <c r="U757" s="980"/>
      <c r="V757" s="980"/>
      <c r="W757" s="980"/>
      <c r="X757" s="981"/>
    </row>
    <row r="758" spans="1:24" ht="31.5" customHeight="1" x14ac:dyDescent="0.25">
      <c r="A758" s="1989" t="s">
        <v>2618</v>
      </c>
      <c r="B758" s="1987" t="s">
        <v>2902</v>
      </c>
      <c r="C758" s="1985" t="s">
        <v>2903</v>
      </c>
      <c r="D758" s="953" t="s">
        <v>201</v>
      </c>
      <c r="E758" s="1307" t="s">
        <v>73</v>
      </c>
      <c r="F758" s="1307" t="s">
        <v>1785</v>
      </c>
      <c r="G758" s="1307" t="s">
        <v>1752</v>
      </c>
      <c r="H758" s="980"/>
      <c r="I758" s="980"/>
      <c r="J758" s="980"/>
      <c r="K758" s="980"/>
      <c r="L758" s="980">
        <v>-203200</v>
      </c>
      <c r="M758" s="980"/>
      <c r="N758" s="980"/>
      <c r="O758" s="980"/>
      <c r="P758" s="981"/>
      <c r="Q758" s="1449"/>
      <c r="R758" s="980"/>
      <c r="S758" s="980"/>
      <c r="T758" s="980"/>
      <c r="U758" s="980"/>
      <c r="V758" s="980"/>
      <c r="W758" s="980"/>
      <c r="X758" s="981"/>
    </row>
    <row r="759" spans="1:24" ht="31.5" customHeight="1" x14ac:dyDescent="0.25">
      <c r="A759" s="1990"/>
      <c r="B759" s="1988"/>
      <c r="C759" s="1986"/>
      <c r="D759" s="953" t="s">
        <v>199</v>
      </c>
      <c r="E759" s="1307" t="s">
        <v>561</v>
      </c>
      <c r="F759" s="1307" t="s">
        <v>867</v>
      </c>
      <c r="G759" s="1307" t="s">
        <v>1754</v>
      </c>
      <c r="H759" s="980"/>
      <c r="I759" s="980"/>
      <c r="J759" s="980"/>
      <c r="K759" s="980"/>
      <c r="L759" s="980"/>
      <c r="M759" s="980">
        <f>160000+43200</f>
        <v>203200</v>
      </c>
      <c r="N759" s="980"/>
      <c r="O759" s="980"/>
      <c r="P759" s="981"/>
      <c r="Q759" s="1449"/>
      <c r="R759" s="980"/>
      <c r="S759" s="980"/>
      <c r="T759" s="980"/>
      <c r="U759" s="980"/>
      <c r="V759" s="980"/>
      <c r="W759" s="980"/>
      <c r="X759" s="981"/>
    </row>
    <row r="760" spans="1:24" ht="24" customHeight="1" x14ac:dyDescent="0.25">
      <c r="A760" s="1989" t="s">
        <v>2620</v>
      </c>
      <c r="B760" s="1987" t="s">
        <v>2904</v>
      </c>
      <c r="C760" s="1985" t="s">
        <v>2905</v>
      </c>
      <c r="D760" s="953" t="s">
        <v>201</v>
      </c>
      <c r="E760" s="1307" t="s">
        <v>73</v>
      </c>
      <c r="F760" s="1307" t="s">
        <v>1785</v>
      </c>
      <c r="G760" s="1307" t="s">
        <v>1752</v>
      </c>
      <c r="H760" s="980"/>
      <c r="I760" s="980"/>
      <c r="J760" s="980"/>
      <c r="K760" s="980"/>
      <c r="L760" s="980">
        <v>-491236</v>
      </c>
      <c r="M760" s="980"/>
      <c r="N760" s="980"/>
      <c r="O760" s="980"/>
      <c r="P760" s="981"/>
      <c r="Q760" s="1449"/>
      <c r="R760" s="980"/>
      <c r="S760" s="980"/>
      <c r="T760" s="980"/>
      <c r="U760" s="980"/>
      <c r="V760" s="980"/>
      <c r="W760" s="980"/>
      <c r="X760" s="981"/>
    </row>
    <row r="761" spans="1:24" ht="24" customHeight="1" x14ac:dyDescent="0.25">
      <c r="A761" s="1990"/>
      <c r="B761" s="1988"/>
      <c r="C761" s="1986"/>
      <c r="D761" s="953" t="s">
        <v>194</v>
      </c>
      <c r="E761" s="1307" t="s">
        <v>844</v>
      </c>
      <c r="F761" s="1307" t="s">
        <v>1802</v>
      </c>
      <c r="G761" s="1307" t="s">
        <v>1754</v>
      </c>
      <c r="H761" s="980"/>
      <c r="I761" s="980"/>
      <c r="J761" s="980">
        <f>386800+104436</f>
        <v>491236</v>
      </c>
      <c r="K761" s="980"/>
      <c r="L761" s="980"/>
      <c r="M761" s="980"/>
      <c r="N761" s="980"/>
      <c r="O761" s="980"/>
      <c r="P761" s="981"/>
      <c r="Q761" s="1449"/>
      <c r="R761" s="980"/>
      <c r="S761" s="980"/>
      <c r="T761" s="980"/>
      <c r="U761" s="980"/>
      <c r="V761" s="980"/>
      <c r="W761" s="980"/>
      <c r="X761" s="981"/>
    </row>
    <row r="762" spans="1:24" ht="33" customHeight="1" x14ac:dyDescent="0.25">
      <c r="A762" s="1989" t="s">
        <v>2622</v>
      </c>
      <c r="B762" s="1987" t="s">
        <v>2906</v>
      </c>
      <c r="C762" s="1985" t="s">
        <v>3017</v>
      </c>
      <c r="D762" s="953" t="s">
        <v>201</v>
      </c>
      <c r="E762" s="1307" t="s">
        <v>73</v>
      </c>
      <c r="F762" s="1307" t="s">
        <v>1785</v>
      </c>
      <c r="G762" s="1307" t="s">
        <v>1752</v>
      </c>
      <c r="H762" s="980"/>
      <c r="I762" s="980"/>
      <c r="J762" s="980"/>
      <c r="K762" s="980"/>
      <c r="L762" s="980">
        <v>-127000</v>
      </c>
      <c r="M762" s="980"/>
      <c r="N762" s="980"/>
      <c r="O762" s="980"/>
      <c r="P762" s="981"/>
      <c r="Q762" s="1449"/>
      <c r="R762" s="980"/>
      <c r="S762" s="980"/>
      <c r="T762" s="980"/>
      <c r="U762" s="980"/>
      <c r="V762" s="980"/>
      <c r="W762" s="980"/>
      <c r="X762" s="981"/>
    </row>
    <row r="763" spans="1:24" ht="33" customHeight="1" x14ac:dyDescent="0.25">
      <c r="A763" s="1990"/>
      <c r="B763" s="1988"/>
      <c r="C763" s="1986"/>
      <c r="D763" s="953" t="s">
        <v>194</v>
      </c>
      <c r="E763" s="1307" t="s">
        <v>561</v>
      </c>
      <c r="F763" s="1307" t="s">
        <v>867</v>
      </c>
      <c r="G763" s="1307" t="s">
        <v>1754</v>
      </c>
      <c r="H763" s="980"/>
      <c r="I763" s="980"/>
      <c r="J763" s="980">
        <f>100000+27000</f>
        <v>127000</v>
      </c>
      <c r="K763" s="980"/>
      <c r="L763" s="980"/>
      <c r="M763" s="980"/>
      <c r="N763" s="980"/>
      <c r="O763" s="980"/>
      <c r="P763" s="981"/>
      <c r="Q763" s="1449"/>
      <c r="R763" s="980"/>
      <c r="S763" s="980"/>
      <c r="T763" s="980"/>
      <c r="U763" s="980"/>
      <c r="V763" s="980"/>
      <c r="W763" s="980"/>
      <c r="X763" s="981"/>
    </row>
    <row r="764" spans="1:24" ht="26.25" customHeight="1" x14ac:dyDescent="0.25">
      <c r="A764" s="1989" t="s">
        <v>2907</v>
      </c>
      <c r="B764" s="1987" t="s">
        <v>2908</v>
      </c>
      <c r="C764" s="1996" t="s">
        <v>2909</v>
      </c>
      <c r="D764" s="953" t="s">
        <v>201</v>
      </c>
      <c r="E764" s="1307" t="s">
        <v>73</v>
      </c>
      <c r="F764" s="1307" t="s">
        <v>1785</v>
      </c>
      <c r="G764" s="1307" t="s">
        <v>1752</v>
      </c>
      <c r="H764" s="980"/>
      <c r="I764" s="980"/>
      <c r="J764" s="980"/>
      <c r="K764" s="980"/>
      <c r="L764" s="980">
        <v>-240000</v>
      </c>
      <c r="M764" s="980"/>
      <c r="N764" s="980"/>
      <c r="O764" s="980"/>
      <c r="P764" s="981"/>
      <c r="Q764" s="1449"/>
      <c r="R764" s="980"/>
      <c r="S764" s="980"/>
      <c r="T764" s="980"/>
      <c r="U764" s="980"/>
      <c r="V764" s="980"/>
      <c r="W764" s="980"/>
      <c r="X764" s="981"/>
    </row>
    <row r="765" spans="1:24" ht="26.25" customHeight="1" x14ac:dyDescent="0.25">
      <c r="A765" s="1990"/>
      <c r="B765" s="1988"/>
      <c r="C765" s="1996"/>
      <c r="D765" s="953" t="s">
        <v>194</v>
      </c>
      <c r="E765" s="1307" t="s">
        <v>641</v>
      </c>
      <c r="F765" s="1307" t="s">
        <v>1322</v>
      </c>
      <c r="G765" s="1307" t="s">
        <v>1754</v>
      </c>
      <c r="H765" s="980"/>
      <c r="I765" s="980"/>
      <c r="J765" s="980">
        <v>240000</v>
      </c>
      <c r="K765" s="980"/>
      <c r="L765" s="980"/>
      <c r="M765" s="980"/>
      <c r="N765" s="980"/>
      <c r="O765" s="980"/>
      <c r="P765" s="981"/>
      <c r="Q765" s="1449"/>
      <c r="R765" s="980"/>
      <c r="S765" s="980"/>
      <c r="T765" s="980"/>
      <c r="U765" s="980"/>
      <c r="V765" s="980"/>
      <c r="W765" s="980"/>
      <c r="X765" s="981"/>
    </row>
    <row r="766" spans="1:24" ht="24" customHeight="1" x14ac:dyDescent="0.25">
      <c r="A766" s="1989" t="s">
        <v>2910</v>
      </c>
      <c r="B766" s="1987" t="s">
        <v>2911</v>
      </c>
      <c r="C766" s="1985" t="s">
        <v>2912</v>
      </c>
      <c r="D766" s="953" t="s">
        <v>200</v>
      </c>
      <c r="E766" s="1307" t="s">
        <v>575</v>
      </c>
      <c r="F766" s="1307" t="s">
        <v>739</v>
      </c>
      <c r="G766" s="1307" t="s">
        <v>1752</v>
      </c>
      <c r="H766" s="980"/>
      <c r="I766" s="980"/>
      <c r="J766" s="980"/>
      <c r="K766" s="980"/>
      <c r="L766" s="980"/>
      <c r="M766" s="980"/>
      <c r="N766" s="980">
        <v>-80000</v>
      </c>
      <c r="O766" s="980"/>
      <c r="P766" s="981"/>
      <c r="Q766" s="1449"/>
      <c r="R766" s="980"/>
      <c r="S766" s="980"/>
      <c r="T766" s="980"/>
      <c r="U766" s="980"/>
      <c r="V766" s="980"/>
      <c r="W766" s="980"/>
      <c r="X766" s="981"/>
    </row>
    <row r="767" spans="1:24" ht="24" customHeight="1" x14ac:dyDescent="0.25">
      <c r="A767" s="1990"/>
      <c r="B767" s="1988"/>
      <c r="C767" s="1986"/>
      <c r="D767" s="953" t="s">
        <v>194</v>
      </c>
      <c r="E767" s="1307" t="s">
        <v>575</v>
      </c>
      <c r="F767" s="1307" t="s">
        <v>739</v>
      </c>
      <c r="G767" s="1307" t="s">
        <v>1754</v>
      </c>
      <c r="H767" s="980"/>
      <c r="I767" s="980"/>
      <c r="J767" s="980">
        <v>80000</v>
      </c>
      <c r="K767" s="980"/>
      <c r="L767" s="980"/>
      <c r="M767" s="980"/>
      <c r="N767" s="980"/>
      <c r="O767" s="980"/>
      <c r="P767" s="981"/>
      <c r="Q767" s="1449"/>
      <c r="R767" s="980"/>
      <c r="S767" s="980"/>
      <c r="T767" s="980"/>
      <c r="U767" s="980"/>
      <c r="V767" s="980"/>
      <c r="W767" s="980"/>
      <c r="X767" s="981"/>
    </row>
    <row r="768" spans="1:24" ht="30" customHeight="1" x14ac:dyDescent="0.25">
      <c r="A768" s="1989" t="s">
        <v>2631</v>
      </c>
      <c r="B768" s="1987" t="s">
        <v>2920</v>
      </c>
      <c r="C768" s="1985" t="s">
        <v>2921</v>
      </c>
      <c r="D768" s="953" t="s">
        <v>197</v>
      </c>
      <c r="E768" s="1307" t="s">
        <v>1297</v>
      </c>
      <c r="F768" s="1307" t="s">
        <v>1769</v>
      </c>
      <c r="G768" s="1307" t="s">
        <v>1752</v>
      </c>
      <c r="H768" s="980"/>
      <c r="I768" s="980"/>
      <c r="J768" s="980"/>
      <c r="K768" s="980"/>
      <c r="L768" s="980"/>
      <c r="M768" s="980"/>
      <c r="N768" s="980"/>
      <c r="O768" s="980">
        <v>-860000</v>
      </c>
      <c r="P768" s="981"/>
      <c r="Q768" s="1449"/>
      <c r="R768" s="980"/>
      <c r="S768" s="980"/>
      <c r="T768" s="980"/>
      <c r="U768" s="980"/>
      <c r="V768" s="980"/>
      <c r="W768" s="980"/>
      <c r="X768" s="981"/>
    </row>
    <row r="769" spans="1:24" ht="30" customHeight="1" x14ac:dyDescent="0.25">
      <c r="A769" s="1990"/>
      <c r="B769" s="1988"/>
      <c r="C769" s="1986"/>
      <c r="D769" s="953" t="s">
        <v>197</v>
      </c>
      <c r="E769" s="1307" t="s">
        <v>69</v>
      </c>
      <c r="F769" s="1307" t="s">
        <v>1830</v>
      </c>
      <c r="G769" s="1307" t="s">
        <v>1754</v>
      </c>
      <c r="H769" s="980"/>
      <c r="I769" s="980"/>
      <c r="J769" s="980"/>
      <c r="K769" s="980"/>
      <c r="L769" s="980"/>
      <c r="M769" s="980"/>
      <c r="N769" s="980"/>
      <c r="O769" s="980">
        <v>860000</v>
      </c>
      <c r="P769" s="981"/>
      <c r="Q769" s="1449"/>
      <c r="R769" s="980"/>
      <c r="S769" s="980"/>
      <c r="T769" s="980"/>
      <c r="U769" s="980"/>
      <c r="V769" s="980"/>
      <c r="W769" s="980"/>
      <c r="X769" s="981"/>
    </row>
    <row r="770" spans="1:24" ht="22.5" customHeight="1" x14ac:dyDescent="0.25">
      <c r="A770" s="1989" t="s">
        <v>2634</v>
      </c>
      <c r="B770" s="1987" t="s">
        <v>2924</v>
      </c>
      <c r="C770" s="1996" t="s">
        <v>2925</v>
      </c>
      <c r="D770" s="953" t="s">
        <v>201</v>
      </c>
      <c r="E770" s="1307" t="s">
        <v>73</v>
      </c>
      <c r="F770" s="1307" t="s">
        <v>1785</v>
      </c>
      <c r="G770" s="1307" t="s">
        <v>1752</v>
      </c>
      <c r="H770" s="980"/>
      <c r="I770" s="980"/>
      <c r="J770" s="980"/>
      <c r="K770" s="980"/>
      <c r="L770" s="980">
        <v>-1408500</v>
      </c>
      <c r="M770" s="980"/>
      <c r="N770" s="980"/>
      <c r="O770" s="980"/>
      <c r="P770" s="981"/>
      <c r="Q770" s="1449"/>
      <c r="R770" s="980"/>
      <c r="S770" s="980"/>
      <c r="T770" s="980"/>
      <c r="U770" s="980"/>
      <c r="V770" s="980"/>
      <c r="W770" s="980"/>
      <c r="X770" s="981"/>
    </row>
    <row r="771" spans="1:24" ht="22.5" customHeight="1" x14ac:dyDescent="0.25">
      <c r="A771" s="1990"/>
      <c r="B771" s="1988"/>
      <c r="C771" s="1996"/>
      <c r="D771" s="953" t="s">
        <v>203</v>
      </c>
      <c r="E771" s="1307" t="s">
        <v>1297</v>
      </c>
      <c r="F771" s="1307" t="s">
        <v>550</v>
      </c>
      <c r="G771" s="1307" t="s">
        <v>1754</v>
      </c>
      <c r="H771" s="980"/>
      <c r="I771" s="980"/>
      <c r="J771" s="980"/>
      <c r="K771" s="980"/>
      <c r="L771" s="980"/>
      <c r="M771" s="980"/>
      <c r="N771" s="980"/>
      <c r="O771" s="980"/>
      <c r="P771" s="981">
        <v>1408500</v>
      </c>
      <c r="Q771" s="1449"/>
      <c r="R771" s="980"/>
      <c r="S771" s="980"/>
      <c r="T771" s="980"/>
      <c r="U771" s="980"/>
      <c r="V771" s="980"/>
      <c r="W771" s="980"/>
      <c r="X771" s="981"/>
    </row>
    <row r="772" spans="1:24" ht="24.75" customHeight="1" x14ac:dyDescent="0.25">
      <c r="A772" s="1989" t="s">
        <v>2636</v>
      </c>
      <c r="B772" s="1987" t="s">
        <v>2926</v>
      </c>
      <c r="C772" s="1996" t="s">
        <v>2927</v>
      </c>
      <c r="D772" s="953" t="s">
        <v>201</v>
      </c>
      <c r="E772" s="1307" t="s">
        <v>73</v>
      </c>
      <c r="F772" s="1307" t="s">
        <v>1785</v>
      </c>
      <c r="G772" s="1307" t="s">
        <v>1752</v>
      </c>
      <c r="H772" s="980"/>
      <c r="I772" s="980"/>
      <c r="J772" s="980"/>
      <c r="K772" s="980"/>
      <c r="L772" s="980">
        <v>-1085850</v>
      </c>
      <c r="M772" s="980"/>
      <c r="N772" s="980"/>
      <c r="O772" s="980"/>
      <c r="P772" s="981"/>
      <c r="Q772" s="1449"/>
      <c r="R772" s="980"/>
      <c r="S772" s="980"/>
      <c r="T772" s="980"/>
      <c r="U772" s="980"/>
      <c r="V772" s="980"/>
      <c r="W772" s="980"/>
      <c r="X772" s="981"/>
    </row>
    <row r="773" spans="1:24" ht="24.75" customHeight="1" x14ac:dyDescent="0.25">
      <c r="A773" s="1990"/>
      <c r="B773" s="1988"/>
      <c r="C773" s="1996"/>
      <c r="D773" s="953" t="s">
        <v>203</v>
      </c>
      <c r="E773" s="1307" t="s">
        <v>1297</v>
      </c>
      <c r="F773" s="1307" t="s">
        <v>550</v>
      </c>
      <c r="G773" s="1307" t="s">
        <v>1754</v>
      </c>
      <c r="H773" s="980"/>
      <c r="I773" s="980"/>
      <c r="J773" s="980"/>
      <c r="K773" s="980"/>
      <c r="L773" s="980"/>
      <c r="M773" s="980"/>
      <c r="N773" s="980"/>
      <c r="O773" s="980"/>
      <c r="P773" s="981">
        <v>1085850</v>
      </c>
      <c r="Q773" s="1449"/>
      <c r="R773" s="980"/>
      <c r="S773" s="980"/>
      <c r="T773" s="980"/>
      <c r="U773" s="980"/>
      <c r="V773" s="980"/>
      <c r="W773" s="980"/>
      <c r="X773" s="981"/>
    </row>
    <row r="774" spans="1:24" ht="24" customHeight="1" x14ac:dyDescent="0.25">
      <c r="A774" s="1989" t="s">
        <v>2638</v>
      </c>
      <c r="B774" s="1987" t="s">
        <v>2928</v>
      </c>
      <c r="C774" s="1996" t="s">
        <v>2929</v>
      </c>
      <c r="D774" s="953" t="s">
        <v>201</v>
      </c>
      <c r="E774" s="1307" t="s">
        <v>73</v>
      </c>
      <c r="F774" s="1307" t="s">
        <v>1785</v>
      </c>
      <c r="G774" s="1307" t="s">
        <v>1752</v>
      </c>
      <c r="H774" s="980"/>
      <c r="I774" s="980"/>
      <c r="J774" s="980"/>
      <c r="K774" s="980"/>
      <c r="L774" s="980">
        <v>-634111</v>
      </c>
      <c r="M774" s="980"/>
      <c r="N774" s="980"/>
      <c r="O774" s="980"/>
      <c r="P774" s="981"/>
      <c r="Q774" s="1449"/>
      <c r="R774" s="980"/>
      <c r="S774" s="980"/>
      <c r="T774" s="980"/>
      <c r="U774" s="980"/>
      <c r="V774" s="980"/>
      <c r="W774" s="980"/>
      <c r="X774" s="981"/>
    </row>
    <row r="775" spans="1:24" ht="24" customHeight="1" x14ac:dyDescent="0.25">
      <c r="A775" s="1990"/>
      <c r="B775" s="1988"/>
      <c r="C775" s="1996"/>
      <c r="D775" s="953" t="s">
        <v>203</v>
      </c>
      <c r="E775" s="1307" t="s">
        <v>1297</v>
      </c>
      <c r="F775" s="1307" t="s">
        <v>550</v>
      </c>
      <c r="G775" s="1307" t="s">
        <v>1754</v>
      </c>
      <c r="H775" s="980"/>
      <c r="I775" s="980"/>
      <c r="J775" s="980"/>
      <c r="K775" s="980"/>
      <c r="L775" s="980"/>
      <c r="M775" s="980"/>
      <c r="N775" s="980"/>
      <c r="O775" s="980"/>
      <c r="P775" s="981">
        <v>634111</v>
      </c>
      <c r="Q775" s="1449"/>
      <c r="R775" s="980"/>
      <c r="S775" s="980"/>
      <c r="T775" s="980"/>
      <c r="U775" s="980"/>
      <c r="V775" s="980"/>
      <c r="W775" s="980"/>
      <c r="X775" s="981"/>
    </row>
    <row r="776" spans="1:24" ht="27" customHeight="1" x14ac:dyDescent="0.25">
      <c r="A776" s="1989" t="s">
        <v>2643</v>
      </c>
      <c r="B776" s="1987" t="s">
        <v>2931</v>
      </c>
      <c r="C776" s="1996" t="s">
        <v>2932</v>
      </c>
      <c r="D776" s="953" t="s">
        <v>201</v>
      </c>
      <c r="E776" s="1307" t="s">
        <v>73</v>
      </c>
      <c r="F776" s="1307" t="s">
        <v>1785</v>
      </c>
      <c r="G776" s="1307" t="s">
        <v>1752</v>
      </c>
      <c r="H776" s="980"/>
      <c r="I776" s="980"/>
      <c r="J776" s="980"/>
      <c r="K776" s="980"/>
      <c r="L776" s="980">
        <v>-1841170</v>
      </c>
      <c r="M776" s="980"/>
      <c r="N776" s="980"/>
      <c r="O776" s="980"/>
      <c r="P776" s="981"/>
      <c r="Q776" s="1449"/>
      <c r="R776" s="980"/>
      <c r="S776" s="980"/>
      <c r="T776" s="980"/>
      <c r="U776" s="980"/>
      <c r="V776" s="980"/>
      <c r="W776" s="980"/>
      <c r="X776" s="981"/>
    </row>
    <row r="777" spans="1:24" ht="27" customHeight="1" x14ac:dyDescent="0.25">
      <c r="A777" s="1990"/>
      <c r="B777" s="1988"/>
      <c r="C777" s="1996"/>
      <c r="D777" s="953" t="s">
        <v>203</v>
      </c>
      <c r="E777" s="1307" t="s">
        <v>1297</v>
      </c>
      <c r="F777" s="1307" t="s">
        <v>550</v>
      </c>
      <c r="G777" s="1307" t="s">
        <v>1754</v>
      </c>
      <c r="H777" s="980"/>
      <c r="I777" s="980"/>
      <c r="J777" s="980"/>
      <c r="K777" s="980"/>
      <c r="L777" s="980"/>
      <c r="M777" s="980"/>
      <c r="N777" s="980"/>
      <c r="O777" s="980"/>
      <c r="P777" s="981">
        <v>1841170</v>
      </c>
      <c r="Q777" s="1449"/>
      <c r="R777" s="980"/>
      <c r="S777" s="980"/>
      <c r="T777" s="980"/>
      <c r="U777" s="980"/>
      <c r="V777" s="980"/>
      <c r="W777" s="980"/>
      <c r="X777" s="981"/>
    </row>
    <row r="778" spans="1:24" ht="31.5" customHeight="1" x14ac:dyDescent="0.25">
      <c r="A778" s="1481" t="s">
        <v>2646</v>
      </c>
      <c r="B778" s="1479" t="s">
        <v>2933</v>
      </c>
      <c r="C778" s="1482" t="s">
        <v>2934</v>
      </c>
      <c r="D778" s="953" t="s">
        <v>194</v>
      </c>
      <c r="E778" s="1307" t="s">
        <v>73</v>
      </c>
      <c r="F778" s="1307" t="s">
        <v>453</v>
      </c>
      <c r="G778" s="1307" t="s">
        <v>1766</v>
      </c>
      <c r="H778" s="980">
        <f>-10000+10000</f>
        <v>0</v>
      </c>
      <c r="I778" s="980"/>
      <c r="J778" s="980"/>
      <c r="K778" s="980"/>
      <c r="L778" s="980"/>
      <c r="M778" s="980"/>
      <c r="N778" s="980"/>
      <c r="O778" s="980"/>
      <c r="P778" s="981"/>
      <c r="Q778" s="1449"/>
      <c r="R778" s="980"/>
      <c r="S778" s="980"/>
      <c r="T778" s="980"/>
      <c r="U778" s="980"/>
      <c r="V778" s="980"/>
      <c r="W778" s="980"/>
      <c r="X778" s="981"/>
    </row>
    <row r="779" spans="1:24" ht="20.25" customHeight="1" x14ac:dyDescent="0.25">
      <c r="A779" s="1989" t="s">
        <v>2647</v>
      </c>
      <c r="B779" s="1987" t="s">
        <v>2935</v>
      </c>
      <c r="C779" s="1985" t="s">
        <v>2700</v>
      </c>
      <c r="D779" s="953" t="s">
        <v>194</v>
      </c>
      <c r="E779" s="1307" t="s">
        <v>641</v>
      </c>
      <c r="F779" s="1307" t="s">
        <v>66</v>
      </c>
      <c r="G779" s="1307" t="s">
        <v>1754</v>
      </c>
      <c r="H779" s="980"/>
      <c r="I779" s="980"/>
      <c r="J779" s="980"/>
      <c r="K779" s="980"/>
      <c r="L779" s="980"/>
      <c r="M779" s="980"/>
      <c r="N779" s="980"/>
      <c r="O779" s="980"/>
      <c r="P779" s="981"/>
      <c r="Q779" s="1449"/>
      <c r="R779" s="980"/>
      <c r="S779" s="980"/>
      <c r="T779" s="980">
        <f>78740+21260</f>
        <v>100000</v>
      </c>
      <c r="U779" s="980"/>
      <c r="V779" s="980"/>
      <c r="W779" s="980"/>
      <c r="X779" s="981"/>
    </row>
    <row r="780" spans="1:24" ht="20.25" customHeight="1" x14ac:dyDescent="0.25">
      <c r="A780" s="1990"/>
      <c r="B780" s="1988"/>
      <c r="C780" s="1986"/>
      <c r="D780" s="953" t="s">
        <v>201</v>
      </c>
      <c r="E780" s="1307" t="s">
        <v>73</v>
      </c>
      <c r="F780" s="1307" t="s">
        <v>1785</v>
      </c>
      <c r="G780" s="1307" t="s">
        <v>1754</v>
      </c>
      <c r="H780" s="980"/>
      <c r="I780" s="980"/>
      <c r="J780" s="980"/>
      <c r="K780" s="980"/>
      <c r="L780" s="980">
        <v>100000</v>
      </c>
      <c r="M780" s="980"/>
      <c r="N780" s="980"/>
      <c r="O780" s="980"/>
      <c r="P780" s="981"/>
      <c r="Q780" s="1449"/>
      <c r="R780" s="980"/>
      <c r="S780" s="980"/>
      <c r="T780" s="980"/>
      <c r="U780" s="980"/>
      <c r="V780" s="980"/>
      <c r="W780" s="980"/>
      <c r="X780" s="981"/>
    </row>
    <row r="781" spans="1:24" ht="30.75" customHeight="1" x14ac:dyDescent="0.25">
      <c r="A781" s="1481" t="s">
        <v>2651</v>
      </c>
      <c r="B781" s="1479" t="s">
        <v>2954</v>
      </c>
      <c r="C781" s="1477" t="s">
        <v>2955</v>
      </c>
      <c r="D781" s="953" t="s">
        <v>194</v>
      </c>
      <c r="E781" s="1307" t="s">
        <v>73</v>
      </c>
      <c r="F781" s="1307" t="s">
        <v>553</v>
      </c>
      <c r="G781" s="1307" t="s">
        <v>1766</v>
      </c>
      <c r="H781" s="980"/>
      <c r="I781" s="980"/>
      <c r="J781" s="980">
        <f>-300000+300000</f>
        <v>0</v>
      </c>
      <c r="K781" s="980"/>
      <c r="L781" s="980"/>
      <c r="M781" s="980"/>
      <c r="N781" s="980"/>
      <c r="O781" s="980"/>
      <c r="P781" s="981"/>
      <c r="Q781" s="1449"/>
      <c r="R781" s="980"/>
      <c r="S781" s="980"/>
      <c r="T781" s="980"/>
      <c r="U781" s="980"/>
      <c r="V781" s="980"/>
      <c r="W781" s="980"/>
      <c r="X781" s="981"/>
    </row>
    <row r="782" spans="1:24" ht="23.25" customHeight="1" x14ac:dyDescent="0.25">
      <c r="A782" s="1989" t="s">
        <v>2668</v>
      </c>
      <c r="B782" s="1987" t="s">
        <v>2956</v>
      </c>
      <c r="C782" s="1985" t="s">
        <v>2957</v>
      </c>
      <c r="D782" s="953" t="s">
        <v>199</v>
      </c>
      <c r="E782" s="1307" t="s">
        <v>129</v>
      </c>
      <c r="F782" s="1307" t="s">
        <v>90</v>
      </c>
      <c r="G782" s="1307" t="s">
        <v>1752</v>
      </c>
      <c r="H782" s="980"/>
      <c r="I782" s="980"/>
      <c r="J782" s="980"/>
      <c r="K782" s="980"/>
      <c r="L782" s="980"/>
      <c r="M782" s="980">
        <f>-5151000-1390770</f>
        <v>-6541770</v>
      </c>
      <c r="N782" s="980"/>
      <c r="O782" s="980"/>
      <c r="P782" s="981"/>
      <c r="Q782" s="1449"/>
      <c r="R782" s="980"/>
      <c r="S782" s="980"/>
      <c r="T782" s="980"/>
      <c r="U782" s="980"/>
      <c r="V782" s="980"/>
      <c r="W782" s="980"/>
      <c r="X782" s="981"/>
    </row>
    <row r="783" spans="1:24" ht="23.25" customHeight="1" x14ac:dyDescent="0.25">
      <c r="A783" s="1990"/>
      <c r="B783" s="1988"/>
      <c r="C783" s="1986"/>
      <c r="D783" s="953" t="s">
        <v>200</v>
      </c>
      <c r="E783" s="1307" t="s">
        <v>129</v>
      </c>
      <c r="F783" s="1307" t="s">
        <v>90</v>
      </c>
      <c r="G783" s="1307" t="s">
        <v>1754</v>
      </c>
      <c r="H783" s="980"/>
      <c r="I783" s="980"/>
      <c r="J783" s="980"/>
      <c r="K783" s="980"/>
      <c r="L783" s="980"/>
      <c r="M783" s="980"/>
      <c r="N783" s="980">
        <f>5151000+1390770</f>
        <v>6541770</v>
      </c>
      <c r="O783" s="980"/>
      <c r="P783" s="981"/>
      <c r="Q783" s="1449"/>
      <c r="R783" s="980"/>
      <c r="S783" s="980"/>
      <c r="T783" s="980"/>
      <c r="U783" s="980"/>
      <c r="V783" s="980"/>
      <c r="W783" s="980"/>
      <c r="X783" s="981"/>
    </row>
    <row r="784" spans="1:24" ht="22.5" customHeight="1" x14ac:dyDescent="0.25">
      <c r="A784" s="1989" t="s">
        <v>2671</v>
      </c>
      <c r="B784" s="1987" t="s">
        <v>2959</v>
      </c>
      <c r="C784" s="1985" t="s">
        <v>2960</v>
      </c>
      <c r="D784" s="953" t="s">
        <v>201</v>
      </c>
      <c r="E784" s="1307" t="s">
        <v>73</v>
      </c>
      <c r="F784" s="1307" t="s">
        <v>1785</v>
      </c>
      <c r="G784" s="1307" t="s">
        <v>1752</v>
      </c>
      <c r="H784" s="980"/>
      <c r="I784" s="980"/>
      <c r="J784" s="980"/>
      <c r="K784" s="980"/>
      <c r="L784" s="980">
        <v>-5000000</v>
      </c>
      <c r="M784" s="980"/>
      <c r="N784" s="980"/>
      <c r="O784" s="980"/>
      <c r="P784" s="981"/>
      <c r="Q784" s="1449"/>
      <c r="R784" s="980"/>
      <c r="S784" s="980"/>
      <c r="T784" s="980"/>
      <c r="U784" s="980"/>
      <c r="V784" s="980"/>
      <c r="W784" s="980"/>
      <c r="X784" s="981"/>
    </row>
    <row r="785" spans="1:24" ht="22.5" customHeight="1" x14ac:dyDescent="0.25">
      <c r="A785" s="1990"/>
      <c r="B785" s="1988"/>
      <c r="C785" s="1986"/>
      <c r="D785" s="953" t="s">
        <v>199</v>
      </c>
      <c r="E785" s="1307" t="s">
        <v>844</v>
      </c>
      <c r="F785" s="1307" t="s">
        <v>1802</v>
      </c>
      <c r="G785" s="1307" t="s">
        <v>1754</v>
      </c>
      <c r="H785" s="980"/>
      <c r="I785" s="980"/>
      <c r="J785" s="980"/>
      <c r="K785" s="980"/>
      <c r="L785" s="980"/>
      <c r="M785" s="980">
        <f>3937008+1062992</f>
        <v>5000000</v>
      </c>
      <c r="N785" s="980"/>
      <c r="O785" s="980"/>
      <c r="P785" s="981"/>
      <c r="Q785" s="1449"/>
      <c r="R785" s="980"/>
      <c r="S785" s="980"/>
      <c r="T785" s="980"/>
      <c r="U785" s="980"/>
      <c r="V785" s="980"/>
      <c r="W785" s="980"/>
      <c r="X785" s="981"/>
    </row>
    <row r="786" spans="1:24" ht="30" customHeight="1" x14ac:dyDescent="0.25">
      <c r="A786" s="1989" t="s">
        <v>2672</v>
      </c>
      <c r="B786" s="1987" t="s">
        <v>2962</v>
      </c>
      <c r="C786" s="1985" t="s">
        <v>2963</v>
      </c>
      <c r="D786" s="953" t="s">
        <v>199</v>
      </c>
      <c r="E786" s="1307" t="s">
        <v>601</v>
      </c>
      <c r="F786" s="1307" t="s">
        <v>127</v>
      </c>
      <c r="G786" s="1307" t="s">
        <v>1752</v>
      </c>
      <c r="H786" s="980"/>
      <c r="I786" s="980"/>
      <c r="J786" s="980"/>
      <c r="K786" s="980"/>
      <c r="L786" s="980"/>
      <c r="M786" s="980">
        <v>-13365000</v>
      </c>
      <c r="N786" s="980"/>
      <c r="O786" s="980"/>
      <c r="P786" s="981"/>
      <c r="Q786" s="1449"/>
      <c r="R786" s="980"/>
      <c r="S786" s="980"/>
      <c r="T786" s="980"/>
      <c r="U786" s="980"/>
      <c r="V786" s="980"/>
      <c r="W786" s="980"/>
      <c r="X786" s="981"/>
    </row>
    <row r="787" spans="1:24" ht="30" customHeight="1" x14ac:dyDescent="0.25">
      <c r="A787" s="1990"/>
      <c r="B787" s="1988"/>
      <c r="C787" s="1986"/>
      <c r="D787" s="953" t="s">
        <v>194</v>
      </c>
      <c r="E787" s="1307" t="s">
        <v>73</v>
      </c>
      <c r="F787" s="1307" t="s">
        <v>2100</v>
      </c>
      <c r="G787" s="1307" t="s">
        <v>1754</v>
      </c>
      <c r="H787" s="980"/>
      <c r="I787" s="980"/>
      <c r="J787" s="980">
        <v>13365000</v>
      </c>
      <c r="K787" s="980"/>
      <c r="L787" s="980"/>
      <c r="M787" s="980"/>
      <c r="N787" s="980"/>
      <c r="O787" s="980"/>
      <c r="P787" s="981"/>
      <c r="Q787" s="1449"/>
      <c r="R787" s="980"/>
      <c r="S787" s="980"/>
      <c r="T787" s="980"/>
      <c r="U787" s="980"/>
      <c r="V787" s="980"/>
      <c r="W787" s="980"/>
      <c r="X787" s="981"/>
    </row>
    <row r="788" spans="1:24" ht="30.75" customHeight="1" x14ac:dyDescent="0.25">
      <c r="A788" s="1481" t="s">
        <v>2675</v>
      </c>
      <c r="B788" s="1479" t="s">
        <v>2964</v>
      </c>
      <c r="C788" s="1477" t="s">
        <v>2357</v>
      </c>
      <c r="D788" s="953" t="s">
        <v>194</v>
      </c>
      <c r="E788" s="1307" t="s">
        <v>130</v>
      </c>
      <c r="F788" s="1307" t="s">
        <v>152</v>
      </c>
      <c r="G788" s="1307" t="s">
        <v>1754</v>
      </c>
      <c r="H788" s="980"/>
      <c r="I788" s="980"/>
      <c r="J788" s="980">
        <f>5000000+1350000</f>
        <v>6350000</v>
      </c>
      <c r="K788" s="980"/>
      <c r="L788" s="980"/>
      <c r="M788" s="980"/>
      <c r="N788" s="980"/>
      <c r="O788" s="980"/>
      <c r="P788" s="981"/>
      <c r="Q788" s="1449"/>
      <c r="R788" s="980"/>
      <c r="S788" s="980"/>
      <c r="T788" s="980">
        <f>5000000+1350000</f>
        <v>6350000</v>
      </c>
      <c r="U788" s="980"/>
      <c r="V788" s="980"/>
      <c r="W788" s="980"/>
      <c r="X788" s="981"/>
    </row>
    <row r="789" spans="1:24" ht="17.25" customHeight="1" x14ac:dyDescent="0.25">
      <c r="A789" s="1989" t="s">
        <v>2678</v>
      </c>
      <c r="B789" s="1987" t="s">
        <v>2965</v>
      </c>
      <c r="C789" s="1985" t="s">
        <v>3016</v>
      </c>
      <c r="D789" s="953" t="s">
        <v>200</v>
      </c>
      <c r="E789" s="1307" t="s">
        <v>129</v>
      </c>
      <c r="F789" s="1307" t="s">
        <v>128</v>
      </c>
      <c r="G789" s="1307" t="s">
        <v>1752</v>
      </c>
      <c r="H789" s="980"/>
      <c r="I789" s="980"/>
      <c r="J789" s="980"/>
      <c r="K789" s="980"/>
      <c r="L789" s="980"/>
      <c r="M789" s="980"/>
      <c r="N789" s="980">
        <f>-6023622-1626378</f>
        <v>-7650000</v>
      </c>
      <c r="O789" s="980"/>
      <c r="P789" s="981"/>
      <c r="Q789" s="1449"/>
      <c r="R789" s="980"/>
      <c r="S789" s="980"/>
      <c r="T789" s="980"/>
      <c r="U789" s="980"/>
      <c r="V789" s="980"/>
      <c r="W789" s="980"/>
      <c r="X789" s="981"/>
    </row>
    <row r="790" spans="1:24" ht="17.25" customHeight="1" x14ac:dyDescent="0.25">
      <c r="A790" s="1995"/>
      <c r="B790" s="2007"/>
      <c r="C790" s="1993"/>
      <c r="D790" s="953" t="s">
        <v>199</v>
      </c>
      <c r="E790" s="1307" t="s">
        <v>129</v>
      </c>
      <c r="F790" s="1307" t="s">
        <v>128</v>
      </c>
      <c r="G790" s="1307" t="s">
        <v>1754</v>
      </c>
      <c r="H790" s="980"/>
      <c r="I790" s="980"/>
      <c r="J790" s="980"/>
      <c r="K790" s="980"/>
      <c r="L790" s="980"/>
      <c r="M790" s="980">
        <v>6023622</v>
      </c>
      <c r="N790" s="980"/>
      <c r="O790" s="980"/>
      <c r="P790" s="981"/>
      <c r="Q790" s="1449"/>
      <c r="R790" s="980"/>
      <c r="S790" s="980"/>
      <c r="T790" s="980"/>
      <c r="U790" s="980"/>
      <c r="V790" s="980"/>
      <c r="W790" s="980"/>
      <c r="X790" s="981"/>
    </row>
    <row r="791" spans="1:24" ht="17.25" customHeight="1" x14ac:dyDescent="0.25">
      <c r="A791" s="1990"/>
      <c r="B791" s="1988"/>
      <c r="C791" s="1986"/>
      <c r="D791" s="953" t="s">
        <v>194</v>
      </c>
      <c r="E791" s="1307" t="s">
        <v>129</v>
      </c>
      <c r="F791" s="1307" t="s">
        <v>128</v>
      </c>
      <c r="G791" s="1307" t="s">
        <v>1754</v>
      </c>
      <c r="H791" s="980"/>
      <c r="I791" s="980"/>
      <c r="J791" s="980">
        <v>1626378</v>
      </c>
      <c r="K791" s="980"/>
      <c r="L791" s="980"/>
      <c r="M791" s="980"/>
      <c r="N791" s="980"/>
      <c r="O791" s="980"/>
      <c r="P791" s="981"/>
      <c r="Q791" s="1449"/>
      <c r="R791" s="980"/>
      <c r="S791" s="980"/>
      <c r="T791" s="980"/>
      <c r="U791" s="980"/>
      <c r="V791" s="980"/>
      <c r="W791" s="980"/>
      <c r="X791" s="981"/>
    </row>
    <row r="792" spans="1:24" ht="18" customHeight="1" x14ac:dyDescent="0.25">
      <c r="A792" s="1989" t="s">
        <v>2680</v>
      </c>
      <c r="B792" s="1987" t="s">
        <v>2966</v>
      </c>
      <c r="C792" s="1985" t="s">
        <v>2967</v>
      </c>
      <c r="D792" s="953" t="s">
        <v>200</v>
      </c>
      <c r="E792" s="1307" t="s">
        <v>563</v>
      </c>
      <c r="F792" s="1307" t="s">
        <v>777</v>
      </c>
      <c r="G792" s="1307" t="s">
        <v>1752</v>
      </c>
      <c r="H792" s="980"/>
      <c r="I792" s="980"/>
      <c r="J792" s="980"/>
      <c r="K792" s="980"/>
      <c r="L792" s="980"/>
      <c r="M792" s="980"/>
      <c r="N792" s="980">
        <f>-34621550-9347819</f>
        <v>-43969369</v>
      </c>
      <c r="O792" s="980"/>
      <c r="P792" s="981"/>
      <c r="Q792" s="1449"/>
      <c r="R792" s="980"/>
      <c r="S792" s="980"/>
      <c r="T792" s="980"/>
      <c r="U792" s="980"/>
      <c r="V792" s="980"/>
      <c r="W792" s="980"/>
      <c r="X792" s="981"/>
    </row>
    <row r="793" spans="1:24" ht="18" customHeight="1" x14ac:dyDescent="0.25">
      <c r="A793" s="1995"/>
      <c r="B793" s="2007"/>
      <c r="C793" s="1993"/>
      <c r="D793" s="953" t="s">
        <v>199</v>
      </c>
      <c r="E793" s="1307" t="s">
        <v>563</v>
      </c>
      <c r="F793" s="1307" t="s">
        <v>777</v>
      </c>
      <c r="G793" s="1307" t="s">
        <v>1754</v>
      </c>
      <c r="H793" s="980"/>
      <c r="I793" s="980"/>
      <c r="J793" s="980"/>
      <c r="K793" s="980"/>
      <c r="L793" s="980"/>
      <c r="M793" s="980">
        <v>34621550</v>
      </c>
      <c r="N793" s="980"/>
      <c r="O793" s="980"/>
      <c r="P793" s="981"/>
      <c r="Q793" s="1449"/>
      <c r="R793" s="980"/>
      <c r="S793" s="980"/>
      <c r="T793" s="980"/>
      <c r="U793" s="980"/>
      <c r="V793" s="980"/>
      <c r="W793" s="980"/>
      <c r="X793" s="981"/>
    </row>
    <row r="794" spans="1:24" ht="18" customHeight="1" x14ac:dyDescent="0.25">
      <c r="A794" s="1990"/>
      <c r="B794" s="1988"/>
      <c r="C794" s="1986"/>
      <c r="D794" s="953" t="s">
        <v>194</v>
      </c>
      <c r="E794" s="1307" t="s">
        <v>563</v>
      </c>
      <c r="F794" s="1307" t="s">
        <v>777</v>
      </c>
      <c r="G794" s="1307" t="s">
        <v>1754</v>
      </c>
      <c r="H794" s="980"/>
      <c r="I794" s="980"/>
      <c r="J794" s="980">
        <v>9347819</v>
      </c>
      <c r="K794" s="980"/>
      <c r="L794" s="980"/>
      <c r="M794" s="980"/>
      <c r="N794" s="980"/>
      <c r="O794" s="980"/>
      <c r="P794" s="981"/>
      <c r="Q794" s="1449"/>
      <c r="R794" s="980"/>
      <c r="S794" s="980"/>
      <c r="T794" s="980"/>
      <c r="U794" s="980"/>
      <c r="V794" s="980"/>
      <c r="W794" s="980"/>
      <c r="X794" s="981"/>
    </row>
    <row r="795" spans="1:24" ht="33.75" customHeight="1" x14ac:dyDescent="0.25">
      <c r="A795" s="1481" t="s">
        <v>2683</v>
      </c>
      <c r="B795" s="1479" t="s">
        <v>2968</v>
      </c>
      <c r="C795" s="1477" t="s">
        <v>2969</v>
      </c>
      <c r="D795" s="953" t="s">
        <v>199</v>
      </c>
      <c r="E795" s="1307" t="s">
        <v>844</v>
      </c>
      <c r="F795" s="1307" t="s">
        <v>843</v>
      </c>
      <c r="G795" s="1307" t="s">
        <v>1766</v>
      </c>
      <c r="H795" s="980"/>
      <c r="I795" s="980"/>
      <c r="J795" s="980"/>
      <c r="K795" s="980"/>
      <c r="L795" s="980"/>
      <c r="M795" s="980">
        <f>-5395865+5395865</f>
        <v>0</v>
      </c>
      <c r="N795" s="980"/>
      <c r="O795" s="980"/>
      <c r="P795" s="981"/>
      <c r="Q795" s="1449"/>
      <c r="R795" s="980"/>
      <c r="S795" s="980"/>
      <c r="T795" s="980"/>
      <c r="U795" s="980"/>
      <c r="V795" s="980"/>
      <c r="W795" s="980"/>
      <c r="X795" s="981"/>
    </row>
    <row r="796" spans="1:24" ht="21.75" customHeight="1" x14ac:dyDescent="0.25">
      <c r="A796" s="1989" t="s">
        <v>2685</v>
      </c>
      <c r="B796" s="1987" t="s">
        <v>2970</v>
      </c>
      <c r="C796" s="1985" t="s">
        <v>2971</v>
      </c>
      <c r="D796" s="953" t="s">
        <v>194</v>
      </c>
      <c r="E796" s="1307" t="s">
        <v>73</v>
      </c>
      <c r="F796" s="1307" t="s">
        <v>453</v>
      </c>
      <c r="G796" s="1307" t="s">
        <v>1766</v>
      </c>
      <c r="H796" s="980">
        <f>-400000+400000</f>
        <v>0</v>
      </c>
      <c r="I796" s="980"/>
      <c r="J796" s="980"/>
      <c r="K796" s="980"/>
      <c r="L796" s="980"/>
      <c r="M796" s="980"/>
      <c r="N796" s="980"/>
      <c r="O796" s="980"/>
      <c r="P796" s="981"/>
      <c r="Q796" s="1449"/>
      <c r="R796" s="980"/>
      <c r="S796" s="980"/>
      <c r="T796" s="980"/>
      <c r="U796" s="980"/>
      <c r="V796" s="980"/>
      <c r="W796" s="980"/>
      <c r="X796" s="981"/>
    </row>
    <row r="797" spans="1:24" ht="21.75" customHeight="1" x14ac:dyDescent="0.25">
      <c r="A797" s="1990"/>
      <c r="B797" s="1988"/>
      <c r="C797" s="1986"/>
      <c r="D797" s="953" t="s">
        <v>194</v>
      </c>
      <c r="E797" s="1307" t="s">
        <v>73</v>
      </c>
      <c r="F797" s="1307" t="s">
        <v>553</v>
      </c>
      <c r="G797" s="1307" t="s">
        <v>1766</v>
      </c>
      <c r="H797" s="980">
        <f>-400000+400000</f>
        <v>0</v>
      </c>
      <c r="I797" s="980"/>
      <c r="J797" s="980"/>
      <c r="K797" s="980"/>
      <c r="L797" s="980"/>
      <c r="M797" s="980"/>
      <c r="N797" s="980"/>
      <c r="O797" s="980"/>
      <c r="P797" s="981"/>
      <c r="Q797" s="1449"/>
      <c r="R797" s="980"/>
      <c r="S797" s="980"/>
      <c r="T797" s="980"/>
      <c r="U797" s="980"/>
      <c r="V797" s="980"/>
      <c r="W797" s="980"/>
      <c r="X797" s="981"/>
    </row>
    <row r="798" spans="1:24" ht="31.5" customHeight="1" x14ac:dyDescent="0.25">
      <c r="A798" s="1481"/>
      <c r="B798" s="1483"/>
      <c r="C798" s="1482" t="s">
        <v>1862</v>
      </c>
      <c r="D798" s="953" t="s">
        <v>203</v>
      </c>
      <c r="E798" s="1307" t="s">
        <v>1753</v>
      </c>
      <c r="F798" s="1307" t="s">
        <v>550</v>
      </c>
      <c r="G798" s="1307" t="s">
        <v>1766</v>
      </c>
      <c r="H798" s="980"/>
      <c r="I798" s="980"/>
      <c r="J798" s="980"/>
      <c r="K798" s="980"/>
      <c r="L798" s="980"/>
      <c r="M798" s="980"/>
      <c r="N798" s="980"/>
      <c r="O798" s="980"/>
      <c r="P798" s="981">
        <f>-4+4</f>
        <v>0</v>
      </c>
      <c r="Q798" s="1449"/>
      <c r="R798" s="980"/>
      <c r="S798" s="980"/>
      <c r="T798" s="980"/>
      <c r="U798" s="980"/>
      <c r="V798" s="980"/>
      <c r="W798" s="980"/>
      <c r="X798" s="981"/>
    </row>
    <row r="799" spans="1:24" ht="31.5" customHeight="1" x14ac:dyDescent="0.25">
      <c r="A799" s="1481" t="s">
        <v>2980</v>
      </c>
      <c r="B799" s="1483" t="s">
        <v>2981</v>
      </c>
      <c r="C799" s="1482" t="s">
        <v>2982</v>
      </c>
      <c r="D799" s="953" t="s">
        <v>204</v>
      </c>
      <c r="E799" s="1307" t="s">
        <v>1753</v>
      </c>
      <c r="F799" s="1307" t="s">
        <v>1784</v>
      </c>
      <c r="G799" s="1307" t="s">
        <v>1754</v>
      </c>
      <c r="H799" s="980"/>
      <c r="I799" s="980"/>
      <c r="J799" s="980"/>
      <c r="K799" s="980"/>
      <c r="L799" s="980"/>
      <c r="M799" s="980"/>
      <c r="N799" s="980"/>
      <c r="O799" s="980"/>
      <c r="P799" s="981">
        <v>2125451</v>
      </c>
      <c r="Q799" s="1449"/>
      <c r="R799" s="980"/>
      <c r="S799" s="980"/>
      <c r="T799" s="980"/>
      <c r="U799" s="980"/>
      <c r="V799" s="980"/>
      <c r="W799" s="980"/>
      <c r="X799" s="981">
        <v>2125451</v>
      </c>
    </row>
    <row r="800" spans="1:24" ht="25.5" customHeight="1" x14ac:dyDescent="0.25">
      <c r="A800" s="1989" t="s">
        <v>2983</v>
      </c>
      <c r="B800" s="1991" t="s">
        <v>2984</v>
      </c>
      <c r="C800" s="1985" t="s">
        <v>2985</v>
      </c>
      <c r="D800" s="953" t="s">
        <v>204</v>
      </c>
      <c r="E800" s="1307" t="s">
        <v>1753</v>
      </c>
      <c r="F800" s="1307" t="s">
        <v>1784</v>
      </c>
      <c r="G800" s="1307" t="s">
        <v>1754</v>
      </c>
      <c r="H800" s="980"/>
      <c r="I800" s="980"/>
      <c r="J800" s="980"/>
      <c r="K800" s="980"/>
      <c r="L800" s="980"/>
      <c r="M800" s="980"/>
      <c r="N800" s="980"/>
      <c r="O800" s="980"/>
      <c r="P800" s="981"/>
      <c r="Q800" s="1449">
        <v>2523290</v>
      </c>
      <c r="R800" s="980"/>
      <c r="S800" s="980"/>
      <c r="T800" s="980"/>
      <c r="U800" s="980"/>
      <c r="V800" s="980"/>
      <c r="W800" s="980"/>
      <c r="X800" s="981"/>
    </row>
    <row r="801" spans="1:24" ht="25.5" customHeight="1" x14ac:dyDescent="0.25">
      <c r="A801" s="1990"/>
      <c r="B801" s="1992"/>
      <c r="C801" s="1986"/>
      <c r="D801" s="953" t="s">
        <v>201</v>
      </c>
      <c r="E801" s="1307" t="s">
        <v>73</v>
      </c>
      <c r="F801" s="1307" t="s">
        <v>1785</v>
      </c>
      <c r="G801" s="1307" t="s">
        <v>1754</v>
      </c>
      <c r="H801" s="980"/>
      <c r="I801" s="980"/>
      <c r="J801" s="980"/>
      <c r="K801" s="980"/>
      <c r="L801" s="980">
        <v>2523290</v>
      </c>
      <c r="M801" s="980"/>
      <c r="N801" s="980"/>
      <c r="O801" s="980"/>
      <c r="P801" s="981"/>
      <c r="Q801" s="1449"/>
      <c r="R801" s="980"/>
      <c r="S801" s="980"/>
      <c r="T801" s="980"/>
      <c r="U801" s="980"/>
      <c r="V801" s="980"/>
      <c r="W801" s="980"/>
      <c r="X801" s="981"/>
    </row>
    <row r="802" spans="1:24" ht="21" customHeight="1" x14ac:dyDescent="0.25">
      <c r="A802" s="1989" t="s">
        <v>2693</v>
      </c>
      <c r="B802" s="1991" t="s">
        <v>2987</v>
      </c>
      <c r="C802" s="1985" t="s">
        <v>2988</v>
      </c>
      <c r="D802" s="953" t="s">
        <v>194</v>
      </c>
      <c r="E802" s="1307" t="s">
        <v>130</v>
      </c>
      <c r="F802" s="1307" t="s">
        <v>1865</v>
      </c>
      <c r="G802" s="1307" t="s">
        <v>1752</v>
      </c>
      <c r="H802" s="980"/>
      <c r="I802" s="980"/>
      <c r="J802" s="980">
        <f>-1574803-425197</f>
        <v>-2000000</v>
      </c>
      <c r="K802" s="980"/>
      <c r="L802" s="980"/>
      <c r="M802" s="980"/>
      <c r="N802" s="980"/>
      <c r="O802" s="980"/>
      <c r="P802" s="981"/>
      <c r="Q802" s="1449"/>
      <c r="R802" s="980"/>
      <c r="S802" s="980"/>
      <c r="T802" s="980"/>
      <c r="U802" s="980"/>
      <c r="V802" s="980"/>
      <c r="W802" s="980"/>
      <c r="X802" s="981"/>
    </row>
    <row r="803" spans="1:24" ht="21" customHeight="1" x14ac:dyDescent="0.25">
      <c r="A803" s="1990"/>
      <c r="B803" s="1992"/>
      <c r="C803" s="1986"/>
      <c r="D803" s="953" t="s">
        <v>194</v>
      </c>
      <c r="E803" s="1307" t="s">
        <v>641</v>
      </c>
      <c r="F803" s="1307" t="s">
        <v>1755</v>
      </c>
      <c r="G803" s="1307" t="s">
        <v>1754</v>
      </c>
      <c r="H803" s="980"/>
      <c r="I803" s="980"/>
      <c r="J803" s="980">
        <f>1574803+425197</f>
        <v>2000000</v>
      </c>
      <c r="K803" s="980"/>
      <c r="L803" s="980"/>
      <c r="M803" s="980"/>
      <c r="N803" s="980"/>
      <c r="O803" s="980"/>
      <c r="P803" s="981"/>
      <c r="Q803" s="1449"/>
      <c r="R803" s="980"/>
      <c r="S803" s="980"/>
      <c r="T803" s="980"/>
      <c r="U803" s="980"/>
      <c r="V803" s="980"/>
      <c r="W803" s="980"/>
      <c r="X803" s="981"/>
    </row>
    <row r="804" spans="1:24" ht="19.5" customHeight="1" x14ac:dyDescent="0.25">
      <c r="A804" s="1989" t="s">
        <v>2695</v>
      </c>
      <c r="B804" s="1991" t="s">
        <v>2989</v>
      </c>
      <c r="C804" s="1985" t="s">
        <v>2990</v>
      </c>
      <c r="D804" s="953" t="s">
        <v>201</v>
      </c>
      <c r="E804" s="1307" t="s">
        <v>73</v>
      </c>
      <c r="F804" s="1307" t="s">
        <v>1785</v>
      </c>
      <c r="G804" s="1307" t="s">
        <v>1752</v>
      </c>
      <c r="H804" s="980"/>
      <c r="I804" s="980"/>
      <c r="J804" s="980"/>
      <c r="K804" s="980"/>
      <c r="L804" s="980">
        <v>-1270000</v>
      </c>
      <c r="M804" s="980"/>
      <c r="N804" s="980"/>
      <c r="O804" s="980"/>
      <c r="P804" s="981"/>
      <c r="Q804" s="1449"/>
      <c r="R804" s="980"/>
      <c r="S804" s="980"/>
      <c r="T804" s="980"/>
      <c r="U804" s="980"/>
      <c r="V804" s="980"/>
      <c r="W804" s="980"/>
      <c r="X804" s="981"/>
    </row>
    <row r="805" spans="1:24" ht="19.5" customHeight="1" x14ac:dyDescent="0.25">
      <c r="A805" s="1990"/>
      <c r="B805" s="1992"/>
      <c r="C805" s="1986"/>
      <c r="D805" s="953" t="s">
        <v>194</v>
      </c>
      <c r="E805" s="1307" t="s">
        <v>609</v>
      </c>
      <c r="F805" s="1307" t="s">
        <v>455</v>
      </c>
      <c r="G805" s="1307" t="s">
        <v>1754</v>
      </c>
      <c r="H805" s="980"/>
      <c r="I805" s="980"/>
      <c r="J805" s="980">
        <f>1000000+270000</f>
        <v>1270000</v>
      </c>
      <c r="K805" s="980"/>
      <c r="L805" s="980"/>
      <c r="M805" s="980"/>
      <c r="N805" s="980"/>
      <c r="O805" s="980"/>
      <c r="P805" s="981"/>
      <c r="Q805" s="1449"/>
      <c r="R805" s="980"/>
      <c r="S805" s="980"/>
      <c r="T805" s="980"/>
      <c r="U805" s="980"/>
      <c r="V805" s="980"/>
      <c r="W805" s="980"/>
      <c r="X805" s="981"/>
    </row>
    <row r="806" spans="1:24" ht="24.75" customHeight="1" x14ac:dyDescent="0.25">
      <c r="A806" s="1989" t="s">
        <v>2697</v>
      </c>
      <c r="B806" s="1991" t="s">
        <v>2991</v>
      </c>
      <c r="C806" s="1996" t="s">
        <v>2992</v>
      </c>
      <c r="D806" s="953" t="s">
        <v>201</v>
      </c>
      <c r="E806" s="1307" t="s">
        <v>73</v>
      </c>
      <c r="F806" s="1307" t="s">
        <v>1785</v>
      </c>
      <c r="G806" s="1307" t="s">
        <v>1752</v>
      </c>
      <c r="H806" s="980"/>
      <c r="I806" s="980"/>
      <c r="J806" s="980"/>
      <c r="K806" s="980"/>
      <c r="L806" s="980">
        <v>-209550</v>
      </c>
      <c r="M806" s="980"/>
      <c r="N806" s="980"/>
      <c r="O806" s="980"/>
      <c r="P806" s="981"/>
      <c r="Q806" s="1449"/>
      <c r="R806" s="980"/>
      <c r="S806" s="980"/>
      <c r="T806" s="980"/>
      <c r="U806" s="980"/>
      <c r="V806" s="980"/>
      <c r="W806" s="980"/>
      <c r="X806" s="981"/>
    </row>
    <row r="807" spans="1:24" ht="24.75" customHeight="1" x14ac:dyDescent="0.25">
      <c r="A807" s="1990"/>
      <c r="B807" s="1992"/>
      <c r="C807" s="1996"/>
      <c r="D807" s="953" t="s">
        <v>200</v>
      </c>
      <c r="E807" s="1307" t="s">
        <v>575</v>
      </c>
      <c r="F807" s="1307" t="s">
        <v>739</v>
      </c>
      <c r="G807" s="1307" t="s">
        <v>1754</v>
      </c>
      <c r="H807" s="980"/>
      <c r="I807" s="980"/>
      <c r="J807" s="980"/>
      <c r="K807" s="980"/>
      <c r="L807" s="980"/>
      <c r="M807" s="980"/>
      <c r="N807" s="980">
        <f>165000+44550</f>
        <v>209550</v>
      </c>
      <c r="O807" s="980"/>
      <c r="P807" s="981"/>
      <c r="Q807" s="1449"/>
      <c r="R807" s="980"/>
      <c r="S807" s="980"/>
      <c r="T807" s="980"/>
      <c r="U807" s="980"/>
      <c r="V807" s="980"/>
      <c r="W807" s="980"/>
      <c r="X807" s="981"/>
    </row>
    <row r="808" spans="1:24" ht="30.75" customHeight="1" x14ac:dyDescent="0.25">
      <c r="A808" s="1989" t="s">
        <v>2699</v>
      </c>
      <c r="B808" s="1991" t="s">
        <v>2993</v>
      </c>
      <c r="C808" s="1996" t="s">
        <v>2994</v>
      </c>
      <c r="D808" s="953" t="s">
        <v>201</v>
      </c>
      <c r="E808" s="1307" t="s">
        <v>73</v>
      </c>
      <c r="F808" s="1307" t="s">
        <v>1785</v>
      </c>
      <c r="G808" s="1307" t="s">
        <v>1752</v>
      </c>
      <c r="H808" s="980"/>
      <c r="I808" s="980"/>
      <c r="J808" s="980"/>
      <c r="K808" s="980"/>
      <c r="L808" s="980">
        <v>-543179</v>
      </c>
      <c r="M808" s="980"/>
      <c r="N808" s="980"/>
      <c r="O808" s="980"/>
      <c r="P808" s="981"/>
      <c r="Q808" s="1449"/>
      <c r="R808" s="980"/>
      <c r="S808" s="980"/>
      <c r="T808" s="980"/>
      <c r="U808" s="980"/>
      <c r="V808" s="980"/>
      <c r="W808" s="980"/>
      <c r="X808" s="981"/>
    </row>
    <row r="809" spans="1:24" ht="30.75" customHeight="1" x14ac:dyDescent="0.25">
      <c r="A809" s="1990"/>
      <c r="B809" s="1992"/>
      <c r="C809" s="1996"/>
      <c r="D809" s="953" t="s">
        <v>199</v>
      </c>
      <c r="E809" s="1307" t="s">
        <v>62</v>
      </c>
      <c r="F809" s="1307" t="s">
        <v>541</v>
      </c>
      <c r="G809" s="1307" t="s">
        <v>1754</v>
      </c>
      <c r="H809" s="980"/>
      <c r="I809" s="980"/>
      <c r="J809" s="980"/>
      <c r="K809" s="980"/>
      <c r="L809" s="980"/>
      <c r="M809" s="980">
        <f>427700+115479</f>
        <v>543179</v>
      </c>
      <c r="N809" s="980"/>
      <c r="O809" s="980"/>
      <c r="P809" s="981"/>
      <c r="Q809" s="1449"/>
      <c r="R809" s="980"/>
      <c r="S809" s="980"/>
      <c r="T809" s="980"/>
      <c r="U809" s="980"/>
      <c r="V809" s="980"/>
      <c r="W809" s="980"/>
      <c r="X809" s="981"/>
    </row>
    <row r="810" spans="1:24" ht="17.25" customHeight="1" x14ac:dyDescent="0.25">
      <c r="A810" s="1989" t="s">
        <v>2718</v>
      </c>
      <c r="B810" s="1991" t="s">
        <v>2995</v>
      </c>
      <c r="C810" s="1985" t="s">
        <v>2996</v>
      </c>
      <c r="D810" s="953" t="s">
        <v>204</v>
      </c>
      <c r="E810" s="1307" t="s">
        <v>1762</v>
      </c>
      <c r="F810" s="1307" t="s">
        <v>1761</v>
      </c>
      <c r="G810" s="1307" t="s">
        <v>1754</v>
      </c>
      <c r="H810" s="980"/>
      <c r="I810" s="980"/>
      <c r="J810" s="980"/>
      <c r="K810" s="980"/>
      <c r="L810" s="980"/>
      <c r="M810" s="980"/>
      <c r="N810" s="980"/>
      <c r="O810" s="980"/>
      <c r="P810" s="981"/>
      <c r="Q810" s="1449"/>
      <c r="R810" s="980"/>
      <c r="S810" s="980">
        <f>44402908+567625831+2856674</f>
        <v>614885413</v>
      </c>
      <c r="T810" s="980"/>
      <c r="U810" s="980"/>
      <c r="V810" s="980"/>
      <c r="W810" s="980"/>
      <c r="X810" s="981"/>
    </row>
    <row r="811" spans="1:24" ht="17.25" customHeight="1" x14ac:dyDescent="0.25">
      <c r="A811" s="1995"/>
      <c r="B811" s="1994"/>
      <c r="C811" s="1993"/>
      <c r="D811" s="953" t="s">
        <v>201</v>
      </c>
      <c r="E811" s="1307" t="s">
        <v>73</v>
      </c>
      <c r="F811" s="1307" t="s">
        <v>1785</v>
      </c>
      <c r="G811" s="1307" t="s">
        <v>1754</v>
      </c>
      <c r="H811" s="980"/>
      <c r="I811" s="980"/>
      <c r="J811" s="980"/>
      <c r="K811" s="980"/>
      <c r="L811" s="980">
        <v>423176559</v>
      </c>
      <c r="M811" s="980"/>
      <c r="N811" s="980"/>
      <c r="O811" s="980"/>
      <c r="P811" s="981"/>
      <c r="Q811" s="1449"/>
      <c r="R811" s="980"/>
      <c r="S811" s="980"/>
      <c r="T811" s="980"/>
      <c r="U811" s="980"/>
      <c r="V811" s="980"/>
      <c r="W811" s="980"/>
      <c r="X811" s="981"/>
    </row>
    <row r="812" spans="1:24" ht="17.25" customHeight="1" x14ac:dyDescent="0.25">
      <c r="A812" s="1990"/>
      <c r="B812" s="1992"/>
      <c r="C812" s="1986"/>
      <c r="D812" s="953" t="s">
        <v>201</v>
      </c>
      <c r="E812" s="1307" t="s">
        <v>73</v>
      </c>
      <c r="F812" s="1307" t="s">
        <v>1785</v>
      </c>
      <c r="G812" s="1307" t="s">
        <v>1754</v>
      </c>
      <c r="H812" s="980"/>
      <c r="I812" s="980"/>
      <c r="J812" s="980"/>
      <c r="K812" s="980"/>
      <c r="L812" s="980">
        <v>191708854</v>
      </c>
      <c r="M812" s="980"/>
      <c r="N812" s="980"/>
      <c r="O812" s="980"/>
      <c r="P812" s="981"/>
      <c r="Q812" s="1449"/>
      <c r="R812" s="980"/>
      <c r="S812" s="980"/>
      <c r="T812" s="980"/>
      <c r="U812" s="980"/>
      <c r="V812" s="980"/>
      <c r="W812" s="980"/>
      <c r="X812" s="981"/>
    </row>
    <row r="813" spans="1:24" ht="23.25" customHeight="1" x14ac:dyDescent="0.25">
      <c r="A813" s="1989" t="s">
        <v>2720</v>
      </c>
      <c r="B813" s="1991" t="s">
        <v>2997</v>
      </c>
      <c r="C813" s="1985" t="s">
        <v>2999</v>
      </c>
      <c r="D813" s="953" t="s">
        <v>199</v>
      </c>
      <c r="E813" s="1307" t="s">
        <v>129</v>
      </c>
      <c r="F813" s="1307" t="s">
        <v>90</v>
      </c>
      <c r="G813" s="1307" t="s">
        <v>1752</v>
      </c>
      <c r="H813" s="980"/>
      <c r="I813" s="980"/>
      <c r="J813" s="980"/>
      <c r="K813" s="980"/>
      <c r="L813" s="980"/>
      <c r="M813" s="980">
        <f>-935000-252450</f>
        <v>-1187450</v>
      </c>
      <c r="N813" s="980"/>
      <c r="O813" s="980"/>
      <c r="P813" s="981"/>
      <c r="Q813" s="1449"/>
      <c r="R813" s="980"/>
      <c r="S813" s="980"/>
      <c r="T813" s="980"/>
      <c r="U813" s="980"/>
      <c r="V813" s="980"/>
      <c r="W813" s="980"/>
      <c r="X813" s="981"/>
    </row>
    <row r="814" spans="1:24" ht="23.25" customHeight="1" x14ac:dyDescent="0.25">
      <c r="A814" s="1990"/>
      <c r="B814" s="1992"/>
      <c r="C814" s="1986"/>
      <c r="D814" s="953" t="s">
        <v>199</v>
      </c>
      <c r="E814" s="1307" t="s">
        <v>129</v>
      </c>
      <c r="F814" s="1307" t="s">
        <v>151</v>
      </c>
      <c r="G814" s="1307" t="s">
        <v>1754</v>
      </c>
      <c r="H814" s="980"/>
      <c r="I814" s="980"/>
      <c r="J814" s="980"/>
      <c r="K814" s="980"/>
      <c r="L814" s="980"/>
      <c r="M814" s="980">
        <f>935000+252450</f>
        <v>1187450</v>
      </c>
      <c r="N814" s="980"/>
      <c r="O814" s="980"/>
      <c r="P814" s="981"/>
      <c r="Q814" s="1449"/>
      <c r="R814" s="980"/>
      <c r="S814" s="980"/>
      <c r="T814" s="980"/>
      <c r="U814" s="980"/>
      <c r="V814" s="980"/>
      <c r="W814" s="980"/>
      <c r="X814" s="981"/>
    </row>
    <row r="815" spans="1:24" ht="18.75" customHeight="1" x14ac:dyDescent="0.25">
      <c r="A815" s="1989" t="s">
        <v>2728</v>
      </c>
      <c r="B815" s="1991" t="s">
        <v>3000</v>
      </c>
      <c r="C815" s="1985" t="s">
        <v>2815</v>
      </c>
      <c r="D815" s="953" t="s">
        <v>194</v>
      </c>
      <c r="E815" s="1307" t="s">
        <v>1781</v>
      </c>
      <c r="F815" s="1307" t="s">
        <v>1780</v>
      </c>
      <c r="G815" s="1307" t="s">
        <v>1754</v>
      </c>
      <c r="H815" s="980"/>
      <c r="I815" s="980"/>
      <c r="J815" s="980"/>
      <c r="K815" s="980"/>
      <c r="L815" s="980"/>
      <c r="M815" s="980"/>
      <c r="N815" s="980"/>
      <c r="O815" s="980"/>
      <c r="P815" s="981"/>
      <c r="Q815" s="1449"/>
      <c r="R815" s="980"/>
      <c r="S815" s="980"/>
      <c r="T815" s="980">
        <v>22275750</v>
      </c>
      <c r="U815" s="980"/>
      <c r="V815" s="980"/>
      <c r="W815" s="980"/>
      <c r="X815" s="981"/>
    </row>
    <row r="816" spans="1:24" ht="18.75" customHeight="1" x14ac:dyDescent="0.25">
      <c r="A816" s="1990"/>
      <c r="B816" s="1992"/>
      <c r="C816" s="1986"/>
      <c r="D816" s="953" t="s">
        <v>201</v>
      </c>
      <c r="E816" s="1307" t="s">
        <v>73</v>
      </c>
      <c r="F816" s="1307" t="s">
        <v>1785</v>
      </c>
      <c r="G816" s="1307" t="s">
        <v>1754</v>
      </c>
      <c r="H816" s="980"/>
      <c r="I816" s="980"/>
      <c r="J816" s="980"/>
      <c r="K816" s="980"/>
      <c r="L816" s="980">
        <v>22275750</v>
      </c>
      <c r="M816" s="980"/>
      <c r="N816" s="980"/>
      <c r="O816" s="980"/>
      <c r="P816" s="981"/>
      <c r="Q816" s="1449"/>
      <c r="R816" s="980"/>
      <c r="S816" s="980"/>
      <c r="T816" s="980"/>
      <c r="U816" s="980"/>
      <c r="V816" s="980"/>
      <c r="W816" s="980"/>
      <c r="X816" s="981"/>
    </row>
    <row r="817" spans="1:24" ht="23.25" customHeight="1" x14ac:dyDescent="0.25">
      <c r="A817" s="1481"/>
      <c r="B817" s="1483"/>
      <c r="C817" s="1477" t="s">
        <v>1871</v>
      </c>
      <c r="D817" s="953" t="s">
        <v>203</v>
      </c>
      <c r="E817" s="1307" t="s">
        <v>1297</v>
      </c>
      <c r="F817" s="1307" t="s">
        <v>550</v>
      </c>
      <c r="G817" s="1307" t="s">
        <v>1766</v>
      </c>
      <c r="H817" s="980"/>
      <c r="I817" s="980"/>
      <c r="J817" s="980"/>
      <c r="K817" s="980"/>
      <c r="L817" s="980"/>
      <c r="M817" s="980"/>
      <c r="N817" s="980"/>
      <c r="O817" s="980"/>
      <c r="P817" s="981">
        <f>-151030+151030</f>
        <v>0</v>
      </c>
      <c r="Q817" s="1449"/>
      <c r="R817" s="980"/>
      <c r="S817" s="980"/>
      <c r="T817" s="980"/>
      <c r="U817" s="980"/>
      <c r="V817" s="980"/>
      <c r="W817" s="980"/>
      <c r="X817" s="981"/>
    </row>
    <row r="818" spans="1:24" ht="23.25" customHeight="1" x14ac:dyDescent="0.25">
      <c r="A818" s="1989" t="s">
        <v>2732</v>
      </c>
      <c r="B818" s="1991" t="s">
        <v>3002</v>
      </c>
      <c r="C818" s="1996" t="s">
        <v>3003</v>
      </c>
      <c r="D818" s="953" t="s">
        <v>201</v>
      </c>
      <c r="E818" s="1307" t="s">
        <v>73</v>
      </c>
      <c r="F818" s="1307" t="s">
        <v>1785</v>
      </c>
      <c r="G818" s="1307" t="s">
        <v>1752</v>
      </c>
      <c r="H818" s="980"/>
      <c r="I818" s="980"/>
      <c r="J818" s="980"/>
      <c r="K818" s="980"/>
      <c r="L818" s="980">
        <v>-4375978</v>
      </c>
      <c r="M818" s="980"/>
      <c r="N818" s="980"/>
      <c r="O818" s="980"/>
      <c r="P818" s="981"/>
      <c r="Q818" s="1449"/>
      <c r="R818" s="980"/>
      <c r="S818" s="980"/>
      <c r="T818" s="980"/>
      <c r="U818" s="980"/>
      <c r="V818" s="980"/>
      <c r="W818" s="980"/>
      <c r="X818" s="981"/>
    </row>
    <row r="819" spans="1:24" ht="23.25" customHeight="1" x14ac:dyDescent="0.25">
      <c r="A819" s="1990"/>
      <c r="B819" s="1992"/>
      <c r="C819" s="1996"/>
      <c r="D819" s="953" t="s">
        <v>199</v>
      </c>
      <c r="E819" s="1307" t="s">
        <v>641</v>
      </c>
      <c r="F819" s="1307" t="s">
        <v>133</v>
      </c>
      <c r="G819" s="1307" t="s">
        <v>1754</v>
      </c>
      <c r="H819" s="980"/>
      <c r="I819" s="980"/>
      <c r="J819" s="980"/>
      <c r="K819" s="980"/>
      <c r="L819" s="980"/>
      <c r="M819" s="980">
        <f>3445652+930326</f>
        <v>4375978</v>
      </c>
      <c r="N819" s="980"/>
      <c r="O819" s="980"/>
      <c r="P819" s="981"/>
      <c r="Q819" s="1449"/>
      <c r="R819" s="980"/>
      <c r="S819" s="980"/>
      <c r="T819" s="980"/>
      <c r="U819" s="980"/>
      <c r="V819" s="980"/>
      <c r="W819" s="980"/>
      <c r="X819" s="981"/>
    </row>
    <row r="820" spans="1:24" ht="18.75" customHeight="1" x14ac:dyDescent="0.25">
      <c r="A820" s="1989" t="s">
        <v>2736</v>
      </c>
      <c r="B820" s="1991" t="s">
        <v>3006</v>
      </c>
      <c r="C820" s="1985" t="s">
        <v>3007</v>
      </c>
      <c r="D820" s="953" t="s">
        <v>194</v>
      </c>
      <c r="E820" s="1307" t="s">
        <v>130</v>
      </c>
      <c r="F820" s="1307" t="s">
        <v>153</v>
      </c>
      <c r="G820" s="1307" t="s">
        <v>1754</v>
      </c>
      <c r="H820" s="980"/>
      <c r="I820" s="980"/>
      <c r="J820" s="980"/>
      <c r="K820" s="980"/>
      <c r="L820" s="980"/>
      <c r="M820" s="980"/>
      <c r="N820" s="980"/>
      <c r="O820" s="980"/>
      <c r="P820" s="981"/>
      <c r="Q820" s="1449"/>
      <c r="R820" s="980"/>
      <c r="S820" s="980"/>
      <c r="T820" s="980">
        <v>58950</v>
      </c>
      <c r="U820" s="980"/>
      <c r="V820" s="980"/>
      <c r="W820" s="980"/>
      <c r="X820" s="981"/>
    </row>
    <row r="821" spans="1:24" ht="18.75" customHeight="1" x14ac:dyDescent="0.25">
      <c r="A821" s="1990"/>
      <c r="B821" s="1992"/>
      <c r="C821" s="1986"/>
      <c r="D821" s="953" t="s">
        <v>201</v>
      </c>
      <c r="E821" s="1307" t="s">
        <v>73</v>
      </c>
      <c r="F821" s="1307" t="s">
        <v>1785</v>
      </c>
      <c r="G821" s="1307" t="s">
        <v>1754</v>
      </c>
      <c r="H821" s="980"/>
      <c r="I821" s="980"/>
      <c r="J821" s="980"/>
      <c r="K821" s="980"/>
      <c r="L821" s="980">
        <v>58950</v>
      </c>
      <c r="M821" s="980"/>
      <c r="N821" s="980"/>
      <c r="O821" s="980"/>
      <c r="P821" s="981"/>
      <c r="Q821" s="1449"/>
      <c r="R821" s="980"/>
      <c r="S821" s="980"/>
      <c r="T821" s="980"/>
      <c r="U821" s="980"/>
      <c r="V821" s="980"/>
      <c r="W821" s="980"/>
      <c r="X821" s="981"/>
    </row>
    <row r="822" spans="1:24" ht="33" customHeight="1" x14ac:dyDescent="0.25">
      <c r="A822" s="1481" t="s">
        <v>2738</v>
      </c>
      <c r="B822" s="1483" t="s">
        <v>3008</v>
      </c>
      <c r="C822" s="1477" t="s">
        <v>3009</v>
      </c>
      <c r="D822" s="953" t="s">
        <v>194</v>
      </c>
      <c r="E822" s="1307" t="s">
        <v>1940</v>
      </c>
      <c r="F822" s="1307" t="s">
        <v>2745</v>
      </c>
      <c r="G822" s="1307" t="s">
        <v>1766</v>
      </c>
      <c r="H822" s="980"/>
      <c r="I822" s="980"/>
      <c r="J822" s="980">
        <f>-3200000-400008+3600008</f>
        <v>0</v>
      </c>
      <c r="K822" s="980"/>
      <c r="L822" s="980"/>
      <c r="M822" s="980"/>
      <c r="N822" s="980"/>
      <c r="O822" s="980"/>
      <c r="P822" s="981"/>
      <c r="Q822" s="1449"/>
      <c r="R822" s="980"/>
      <c r="S822" s="980"/>
      <c r="T822" s="980"/>
      <c r="U822" s="980"/>
      <c r="V822" s="980"/>
      <c r="W822" s="980"/>
      <c r="X822" s="981"/>
    </row>
    <row r="823" spans="1:24" ht="32.25" customHeight="1" x14ac:dyDescent="0.25">
      <c r="A823" s="1481" t="s">
        <v>2740</v>
      </c>
      <c r="B823" s="1483" t="s">
        <v>3010</v>
      </c>
      <c r="C823" s="1477" t="s">
        <v>3011</v>
      </c>
      <c r="D823" s="953" t="s">
        <v>194</v>
      </c>
      <c r="E823" s="1307" t="s">
        <v>62</v>
      </c>
      <c r="F823" s="1307" t="s">
        <v>541</v>
      </c>
      <c r="G823" s="1307" t="s">
        <v>1766</v>
      </c>
      <c r="H823" s="980"/>
      <c r="I823" s="980"/>
      <c r="J823" s="980">
        <f>-221000+221000</f>
        <v>0</v>
      </c>
      <c r="K823" s="980"/>
      <c r="L823" s="980"/>
      <c r="M823" s="980"/>
      <c r="N823" s="980"/>
      <c r="O823" s="980"/>
      <c r="P823" s="981"/>
      <c r="Q823" s="1449"/>
      <c r="R823" s="980"/>
      <c r="S823" s="980"/>
      <c r="T823" s="980"/>
      <c r="U823" s="980"/>
      <c r="V823" s="980"/>
      <c r="W823" s="980"/>
      <c r="X823" s="981"/>
    </row>
    <row r="824" spans="1:24" ht="24" customHeight="1" x14ac:dyDescent="0.25">
      <c r="A824" s="1989" t="s">
        <v>2741</v>
      </c>
      <c r="B824" s="1991" t="s">
        <v>3012</v>
      </c>
      <c r="C824" s="1985" t="s">
        <v>3013</v>
      </c>
      <c r="D824" s="953" t="s">
        <v>199</v>
      </c>
      <c r="E824" s="1307" t="s">
        <v>844</v>
      </c>
      <c r="F824" s="1307" t="s">
        <v>843</v>
      </c>
      <c r="G824" s="1307" t="s">
        <v>1752</v>
      </c>
      <c r="H824" s="980"/>
      <c r="I824" s="980"/>
      <c r="J824" s="980"/>
      <c r="K824" s="980"/>
      <c r="L824" s="980"/>
      <c r="M824" s="980">
        <f>-1586000-428220</f>
        <v>-2014220</v>
      </c>
      <c r="N824" s="980"/>
      <c r="O824" s="980"/>
      <c r="P824" s="981"/>
      <c r="Q824" s="1449"/>
      <c r="R824" s="980"/>
      <c r="S824" s="980"/>
      <c r="T824" s="980"/>
      <c r="U824" s="980"/>
      <c r="V824" s="980"/>
      <c r="W824" s="980"/>
      <c r="X824" s="981"/>
    </row>
    <row r="825" spans="1:24" ht="24" customHeight="1" x14ac:dyDescent="0.25">
      <c r="A825" s="1990"/>
      <c r="B825" s="1992"/>
      <c r="C825" s="1986"/>
      <c r="D825" s="953" t="s">
        <v>199</v>
      </c>
      <c r="E825" s="1307" t="s">
        <v>844</v>
      </c>
      <c r="F825" s="1307" t="s">
        <v>3014</v>
      </c>
      <c r="G825" s="1307" t="s">
        <v>1754</v>
      </c>
      <c r="H825" s="980"/>
      <c r="I825" s="980"/>
      <c r="J825" s="980"/>
      <c r="K825" s="980"/>
      <c r="L825" s="980"/>
      <c r="M825" s="980">
        <f>1586000+428220</f>
        <v>2014220</v>
      </c>
      <c r="N825" s="980"/>
      <c r="O825" s="980"/>
      <c r="P825" s="981"/>
      <c r="Q825" s="1449"/>
      <c r="R825" s="980"/>
      <c r="S825" s="980"/>
      <c r="T825" s="980"/>
      <c r="U825" s="980"/>
      <c r="V825" s="980"/>
      <c r="W825" s="980"/>
      <c r="X825" s="981"/>
    </row>
    <row r="826" spans="1:24" x14ac:dyDescent="0.25">
      <c r="A826" s="1488"/>
      <c r="B826" s="1486"/>
      <c r="C826" s="1259"/>
      <c r="D826" s="953"/>
      <c r="E826" s="1307"/>
      <c r="F826" s="1307"/>
      <c r="G826" s="1307"/>
      <c r="H826" s="980"/>
      <c r="I826" s="980"/>
      <c r="J826" s="980"/>
      <c r="K826" s="980"/>
      <c r="L826" s="980"/>
      <c r="M826" s="980"/>
      <c r="N826" s="980"/>
      <c r="O826" s="980"/>
      <c r="P826" s="981"/>
      <c r="Q826" s="1449"/>
      <c r="R826" s="980"/>
      <c r="S826" s="980"/>
      <c r="T826" s="980"/>
      <c r="U826" s="980"/>
      <c r="V826" s="980"/>
      <c r="W826" s="980"/>
      <c r="X826" s="981"/>
    </row>
    <row r="827" spans="1:24" ht="18.75" x14ac:dyDescent="0.3">
      <c r="A827" s="2021" t="s">
        <v>1663</v>
      </c>
      <c r="B827" s="2022"/>
      <c r="C827" s="2022"/>
      <c r="D827" s="956"/>
      <c r="E827" s="956"/>
      <c r="F827" s="956"/>
      <c r="G827" s="956"/>
      <c r="H827" s="1595">
        <f>SUM(H640:H826)+H623</f>
        <v>33155288</v>
      </c>
      <c r="I827" s="1595">
        <f t="shared" ref="I827:X827" si="2">SUM(I640:I826)+I623</f>
        <v>4271729</v>
      </c>
      <c r="J827" s="1595">
        <f t="shared" si="2"/>
        <v>308279326</v>
      </c>
      <c r="K827" s="1595">
        <f t="shared" si="2"/>
        <v>-68810</v>
      </c>
      <c r="L827" s="1595">
        <f t="shared" si="2"/>
        <v>768957637</v>
      </c>
      <c r="M827" s="1595">
        <f t="shared" si="2"/>
        <v>227738488</v>
      </c>
      <c r="N827" s="1595">
        <f t="shared" si="2"/>
        <v>19205227</v>
      </c>
      <c r="O827" s="1595">
        <f t="shared" si="2"/>
        <v>4462301</v>
      </c>
      <c r="P827" s="1596">
        <f t="shared" si="2"/>
        <v>336741224</v>
      </c>
      <c r="Q827" s="1597">
        <f t="shared" si="2"/>
        <v>654439667</v>
      </c>
      <c r="R827" s="1595">
        <f t="shared" si="2"/>
        <v>54255209</v>
      </c>
      <c r="S827" s="1595">
        <f t="shared" si="2"/>
        <v>624147343</v>
      </c>
      <c r="T827" s="1595">
        <f t="shared" si="2"/>
        <v>70690326</v>
      </c>
      <c r="U827" s="1595">
        <f t="shared" si="2"/>
        <v>0</v>
      </c>
      <c r="V827" s="1595">
        <f t="shared" si="2"/>
        <v>0</v>
      </c>
      <c r="W827" s="1595">
        <f t="shared" si="2"/>
        <v>990750</v>
      </c>
      <c r="X827" s="1596">
        <f t="shared" si="2"/>
        <v>298219115</v>
      </c>
    </row>
    <row r="828" spans="1:24" ht="18.75" customHeight="1" x14ac:dyDescent="0.25">
      <c r="H828" s="959"/>
      <c r="I828" s="959"/>
      <c r="J828" s="959"/>
      <c r="K828" s="959"/>
      <c r="L828" s="959"/>
      <c r="M828" s="959"/>
      <c r="N828" s="959"/>
      <c r="O828" s="959"/>
      <c r="P828" s="959"/>
      <c r="Q828" s="959"/>
      <c r="R828" s="959"/>
      <c r="S828" s="959"/>
      <c r="T828" s="959"/>
      <c r="U828" s="959"/>
      <c r="V828" s="959"/>
      <c r="W828" s="959"/>
      <c r="X828" s="959"/>
    </row>
    <row r="829" spans="1:24" ht="19.5" customHeight="1" x14ac:dyDescent="0.25">
      <c r="H829" s="959"/>
      <c r="I829" s="959"/>
      <c r="J829" s="959"/>
      <c r="K829" s="959"/>
      <c r="L829" s="959"/>
      <c r="M829" s="959"/>
      <c r="N829" s="959"/>
      <c r="O829" s="959"/>
      <c r="P829" s="959"/>
      <c r="Q829" s="959"/>
      <c r="R829" s="959"/>
      <c r="S829" s="959"/>
      <c r="T829" s="959"/>
      <c r="U829" s="959"/>
      <c r="V829" s="959"/>
      <c r="W829" s="959"/>
      <c r="X829" s="959"/>
    </row>
    <row r="830" spans="1:24" x14ac:dyDescent="0.25">
      <c r="Q830" s="937"/>
    </row>
    <row r="831" spans="1:24" x14ac:dyDescent="0.25">
      <c r="Q831" s="937"/>
    </row>
    <row r="832" spans="1:24" ht="23.25" customHeight="1" x14ac:dyDescent="0.25">
      <c r="I832" s="2001" t="s">
        <v>1664</v>
      </c>
      <c r="J832" s="2001"/>
      <c r="K832" s="2001"/>
      <c r="L832" s="2001">
        <v>10339703921</v>
      </c>
      <c r="M832" s="2001"/>
      <c r="N832" s="966"/>
      <c r="O832" s="966"/>
      <c r="P832" s="966"/>
      <c r="Q832" s="966"/>
      <c r="R832" s="2001" t="s">
        <v>1665</v>
      </c>
      <c r="S832" s="2001"/>
      <c r="T832" s="2001"/>
      <c r="U832" s="2001">
        <v>10339703921</v>
      </c>
      <c r="V832" s="2001"/>
    </row>
    <row r="833" spans="1:24" ht="24.75" customHeight="1" x14ac:dyDescent="0.25">
      <c r="I833" s="2001" t="s">
        <v>1666</v>
      </c>
      <c r="J833" s="2001"/>
      <c r="K833" s="2001"/>
      <c r="L833" s="2001">
        <f>SUM(H827:P827)</f>
        <v>1702742410</v>
      </c>
      <c r="M833" s="2001"/>
      <c r="N833" s="966"/>
      <c r="O833" s="966"/>
      <c r="P833" s="966"/>
      <c r="Q833" s="966"/>
      <c r="R833" s="2001" t="s">
        <v>1666</v>
      </c>
      <c r="S833" s="2001"/>
      <c r="T833" s="2001"/>
      <c r="U833" s="2001">
        <f>SUM(Q827:X827)</f>
        <v>1702742410</v>
      </c>
      <c r="V833" s="2001"/>
    </row>
    <row r="834" spans="1:24" ht="24.75" customHeight="1" x14ac:dyDescent="0.25">
      <c r="I834" s="2001" t="s">
        <v>1512</v>
      </c>
      <c r="J834" s="2001"/>
      <c r="K834" s="2001"/>
      <c r="L834" s="2001">
        <f>+L832+L833</f>
        <v>12042446331</v>
      </c>
      <c r="M834" s="2001"/>
      <c r="N834" s="966"/>
      <c r="O834" s="966"/>
      <c r="P834" s="966"/>
      <c r="Q834" s="966"/>
      <c r="R834" s="2001" t="s">
        <v>1512</v>
      </c>
      <c r="S834" s="2001"/>
      <c r="T834" s="2001"/>
      <c r="U834" s="2001">
        <f>+U832+U833</f>
        <v>12042446331</v>
      </c>
      <c r="V834" s="2001"/>
    </row>
    <row r="835" spans="1:24" x14ac:dyDescent="0.25">
      <c r="Q835" s="937"/>
    </row>
    <row r="836" spans="1:24" x14ac:dyDescent="0.25">
      <c r="Q836" s="937"/>
    </row>
    <row r="837" spans="1:24" x14ac:dyDescent="0.25">
      <c r="Q837" s="937"/>
    </row>
    <row r="838" spans="1:24" x14ac:dyDescent="0.25">
      <c r="Q838" s="937"/>
    </row>
    <row r="839" spans="1:24" x14ac:dyDescent="0.25">
      <c r="Q839" s="937"/>
    </row>
    <row r="840" spans="1:24" ht="15.75" x14ac:dyDescent="0.25">
      <c r="A840" s="2010" t="s">
        <v>3372</v>
      </c>
      <c r="B840" s="2010"/>
      <c r="C840" s="2010"/>
      <c r="D840" s="2010"/>
      <c r="E840" s="2010"/>
      <c r="F840" s="2010"/>
      <c r="G840" s="2010"/>
      <c r="H840" s="2010"/>
      <c r="I840" s="2010"/>
      <c r="J840" s="2010"/>
      <c r="K840" s="2010"/>
      <c r="L840" s="2010"/>
      <c r="M840" s="2010"/>
      <c r="N840" s="2010"/>
      <c r="O840" s="2010"/>
      <c r="P840" s="2010"/>
      <c r="Q840" s="2010"/>
      <c r="R840" s="2010"/>
      <c r="S840" s="2010"/>
      <c r="T840" s="2010"/>
      <c r="U840" s="2010"/>
      <c r="V840" s="2010"/>
      <c r="W840" s="2010"/>
      <c r="X840" s="2010"/>
    </row>
    <row r="841" spans="1:24" ht="15.75" x14ac:dyDescent="0.25">
      <c r="A841" s="1246"/>
      <c r="B841" s="1246"/>
      <c r="C841" s="1246"/>
      <c r="D841" s="1246"/>
      <c r="E841" s="1246"/>
      <c r="F841" s="1246"/>
      <c r="G841" s="1246"/>
      <c r="H841" s="1246"/>
      <c r="I841" s="1246"/>
      <c r="J841" s="1246"/>
      <c r="K841" s="1246"/>
      <c r="L841" s="1246"/>
      <c r="M841" s="1246"/>
      <c r="N841" s="1246"/>
      <c r="O841" s="1246"/>
      <c r="P841" s="1246"/>
      <c r="Q841" s="1246"/>
      <c r="R841" s="1246"/>
      <c r="S841" s="1246"/>
      <c r="T841" s="1246"/>
      <c r="U841" s="1246"/>
      <c r="V841" s="1246"/>
      <c r="W841" s="1246"/>
      <c r="X841" s="1246"/>
    </row>
    <row r="842" spans="1:24" x14ac:dyDescent="0.25">
      <c r="A842" s="938"/>
      <c r="B842" s="930"/>
      <c r="C842" s="931"/>
      <c r="D842" s="932"/>
      <c r="E842" s="933"/>
      <c r="F842" s="934"/>
      <c r="G842" s="933"/>
      <c r="H842" s="935"/>
      <c r="I842" s="935"/>
      <c r="J842" s="935"/>
      <c r="K842" s="935"/>
      <c r="L842" s="936"/>
      <c r="M842" s="935"/>
      <c r="N842" s="935"/>
      <c r="O842" s="935"/>
      <c r="P842" s="936"/>
      <c r="Q842" s="935"/>
      <c r="R842" s="935"/>
      <c r="S842" s="935"/>
      <c r="T842" s="935"/>
      <c r="U842" s="935"/>
      <c r="V842" s="935"/>
      <c r="W842" s="935"/>
      <c r="X842" s="939"/>
    </row>
    <row r="843" spans="1:24" ht="17.25" customHeight="1" x14ac:dyDescent="0.25">
      <c r="A843" s="2005" t="s">
        <v>37</v>
      </c>
      <c r="B843" s="1773" t="s">
        <v>1640</v>
      </c>
      <c r="C843" s="2008" t="s">
        <v>2</v>
      </c>
      <c r="D843" s="1997" t="s">
        <v>1641</v>
      </c>
      <c r="E843" s="1997" t="s">
        <v>116</v>
      </c>
      <c r="F843" s="1997" t="s">
        <v>1642</v>
      </c>
      <c r="G843" s="1997" t="s">
        <v>1643</v>
      </c>
      <c r="H843" s="1999" t="s">
        <v>1644</v>
      </c>
      <c r="I843" s="1999"/>
      <c r="J843" s="1999"/>
      <c r="K843" s="1999"/>
      <c r="L843" s="1999"/>
      <c r="M843" s="1999"/>
      <c r="N843" s="1999"/>
      <c r="O843" s="2000"/>
      <c r="P843" s="1248"/>
      <c r="Q843" s="2011" t="s">
        <v>1645</v>
      </c>
      <c r="R843" s="1999"/>
      <c r="S843" s="1999"/>
      <c r="T843" s="1999"/>
      <c r="U843" s="1999"/>
      <c r="V843" s="1999"/>
      <c r="W843" s="1999"/>
      <c r="X843" s="2012"/>
    </row>
    <row r="844" spans="1:24" ht="75.75" customHeight="1" x14ac:dyDescent="0.25">
      <c r="A844" s="2006"/>
      <c r="B844" s="1774"/>
      <c r="C844" s="2009"/>
      <c r="D844" s="1998"/>
      <c r="E844" s="1998"/>
      <c r="F844" s="1998"/>
      <c r="G844" s="1998"/>
      <c r="H844" s="941" t="s">
        <v>1646</v>
      </c>
      <c r="I844" s="942" t="s">
        <v>1647</v>
      </c>
      <c r="J844" s="941" t="s">
        <v>1648</v>
      </c>
      <c r="K844" s="941" t="s">
        <v>1649</v>
      </c>
      <c r="L844" s="941" t="s">
        <v>1650</v>
      </c>
      <c r="M844" s="941" t="s">
        <v>1651</v>
      </c>
      <c r="N844" s="941" t="s">
        <v>1652</v>
      </c>
      <c r="O844" s="942" t="s">
        <v>1653</v>
      </c>
      <c r="P844" s="944" t="s">
        <v>1654</v>
      </c>
      <c r="Q844" s="999" t="s">
        <v>1655</v>
      </c>
      <c r="R844" s="942" t="s">
        <v>1656</v>
      </c>
      <c r="S844" s="941" t="s">
        <v>1657</v>
      </c>
      <c r="T844" s="941" t="s">
        <v>1658</v>
      </c>
      <c r="U844" s="942" t="s">
        <v>1659</v>
      </c>
      <c r="V844" s="942" t="s">
        <v>1660</v>
      </c>
      <c r="W844" s="942" t="s">
        <v>1661</v>
      </c>
      <c r="X844" s="944" t="s">
        <v>1662</v>
      </c>
    </row>
    <row r="845" spans="1:24" ht="30.75" customHeight="1" x14ac:dyDescent="0.25">
      <c r="A845" s="2014" t="s">
        <v>2743</v>
      </c>
      <c r="B845" s="2013" t="s">
        <v>3027</v>
      </c>
      <c r="C845" s="2015" t="s">
        <v>3028</v>
      </c>
      <c r="D845" s="946" t="s">
        <v>233</v>
      </c>
      <c r="E845" s="1141" t="s">
        <v>641</v>
      </c>
      <c r="F845" s="1141" t="s">
        <v>66</v>
      </c>
      <c r="G845" s="1141" t="s">
        <v>1754</v>
      </c>
      <c r="H845" s="949"/>
      <c r="I845" s="949"/>
      <c r="J845" s="949"/>
      <c r="K845" s="949"/>
      <c r="L845" s="949"/>
      <c r="M845" s="949"/>
      <c r="N845" s="949"/>
      <c r="O845" s="949"/>
      <c r="P845" s="976"/>
      <c r="Q845" s="1448"/>
      <c r="R845" s="949"/>
      <c r="S845" s="949"/>
      <c r="T845" s="949"/>
      <c r="U845" s="949">
        <v>4064000</v>
      </c>
      <c r="V845" s="949"/>
      <c r="W845" s="949"/>
      <c r="X845" s="976"/>
    </row>
    <row r="846" spans="1:24" ht="30.75" customHeight="1" x14ac:dyDescent="0.25">
      <c r="A846" s="1990"/>
      <c r="B846" s="1992"/>
      <c r="C846" s="1986"/>
      <c r="D846" s="953" t="s">
        <v>199</v>
      </c>
      <c r="E846" s="1307" t="s">
        <v>641</v>
      </c>
      <c r="F846" s="1307" t="s">
        <v>133</v>
      </c>
      <c r="G846" s="1307" t="s">
        <v>1754</v>
      </c>
      <c r="H846" s="980"/>
      <c r="I846" s="980"/>
      <c r="J846" s="980"/>
      <c r="K846" s="980"/>
      <c r="L846" s="980"/>
      <c r="M846" s="980">
        <v>4064000</v>
      </c>
      <c r="N846" s="980"/>
      <c r="O846" s="980"/>
      <c r="P846" s="981"/>
      <c r="Q846" s="1449"/>
      <c r="R846" s="980"/>
      <c r="S846" s="980"/>
      <c r="T846" s="980"/>
      <c r="U846" s="980"/>
      <c r="V846" s="980"/>
      <c r="W846" s="980"/>
      <c r="X846" s="981"/>
    </row>
    <row r="847" spans="1:24" ht="24.75" customHeight="1" x14ac:dyDescent="0.25">
      <c r="A847" s="1989" t="s">
        <v>2749</v>
      </c>
      <c r="B847" s="1991" t="s">
        <v>3029</v>
      </c>
      <c r="C847" s="1996" t="s">
        <v>3030</v>
      </c>
      <c r="D847" s="953" t="s">
        <v>201</v>
      </c>
      <c r="E847" s="1307" t="s">
        <v>73</v>
      </c>
      <c r="F847" s="1307" t="s">
        <v>1785</v>
      </c>
      <c r="G847" s="1307" t="s">
        <v>1752</v>
      </c>
      <c r="H847" s="980"/>
      <c r="I847" s="980"/>
      <c r="J847" s="980"/>
      <c r="K847" s="980"/>
      <c r="L847" s="980">
        <v>-293370</v>
      </c>
      <c r="M847" s="980"/>
      <c r="N847" s="980"/>
      <c r="O847" s="980"/>
      <c r="P847" s="981"/>
      <c r="Q847" s="1449"/>
      <c r="R847" s="980"/>
      <c r="S847" s="980"/>
      <c r="T847" s="980"/>
      <c r="U847" s="980"/>
      <c r="V847" s="980"/>
      <c r="W847" s="980"/>
      <c r="X847" s="981"/>
    </row>
    <row r="848" spans="1:24" ht="24.75" customHeight="1" x14ac:dyDescent="0.25">
      <c r="A848" s="1990"/>
      <c r="B848" s="1992"/>
      <c r="C848" s="1996"/>
      <c r="D848" s="953" t="s">
        <v>200</v>
      </c>
      <c r="E848" s="1307" t="s">
        <v>575</v>
      </c>
      <c r="F848" s="1307" t="s">
        <v>739</v>
      </c>
      <c r="G848" s="1307" t="s">
        <v>1754</v>
      </c>
      <c r="H848" s="980"/>
      <c r="I848" s="980"/>
      <c r="J848" s="980"/>
      <c r="K848" s="980"/>
      <c r="L848" s="980"/>
      <c r="M848" s="980"/>
      <c r="N848" s="980">
        <f>231000+62370</f>
        <v>293370</v>
      </c>
      <c r="O848" s="980"/>
      <c r="P848" s="981"/>
      <c r="Q848" s="1449"/>
      <c r="R848" s="980"/>
      <c r="S848" s="980"/>
      <c r="T848" s="980"/>
      <c r="U848" s="980"/>
      <c r="V848" s="980"/>
      <c r="W848" s="980"/>
      <c r="X848" s="981"/>
    </row>
    <row r="849" spans="1:24" ht="18" customHeight="1" x14ac:dyDescent="0.25">
      <c r="A849" s="1989" t="s">
        <v>2752</v>
      </c>
      <c r="B849" s="1991" t="s">
        <v>3031</v>
      </c>
      <c r="C849" s="1985" t="s">
        <v>3032</v>
      </c>
      <c r="D849" s="953" t="s">
        <v>201</v>
      </c>
      <c r="E849" s="1307" t="s">
        <v>73</v>
      </c>
      <c r="F849" s="1307" t="s">
        <v>1785</v>
      </c>
      <c r="G849" s="1307" t="s">
        <v>1752</v>
      </c>
      <c r="H849" s="980"/>
      <c r="I849" s="980"/>
      <c r="J849" s="980"/>
      <c r="K849" s="980"/>
      <c r="L849" s="980">
        <v>-5980000</v>
      </c>
      <c r="M849" s="980"/>
      <c r="N849" s="980"/>
      <c r="O849" s="980"/>
      <c r="P849" s="981"/>
      <c r="Q849" s="1449"/>
      <c r="R849" s="980"/>
      <c r="S849" s="980"/>
      <c r="T849" s="980"/>
      <c r="U849" s="980"/>
      <c r="V849" s="980"/>
      <c r="W849" s="980"/>
      <c r="X849" s="981"/>
    </row>
    <row r="850" spans="1:24" ht="18" customHeight="1" x14ac:dyDescent="0.25">
      <c r="A850" s="1995"/>
      <c r="B850" s="1994"/>
      <c r="C850" s="1993"/>
      <c r="D850" s="953" t="s">
        <v>194</v>
      </c>
      <c r="E850" s="1307" t="s">
        <v>130</v>
      </c>
      <c r="F850" s="1307" t="s">
        <v>2900</v>
      </c>
      <c r="G850" s="1307" t="s">
        <v>1754</v>
      </c>
      <c r="H850" s="980">
        <v>1980000</v>
      </c>
      <c r="I850" s="980"/>
      <c r="J850" s="980"/>
      <c r="K850" s="980"/>
      <c r="L850" s="980"/>
      <c r="M850" s="980"/>
      <c r="N850" s="980"/>
      <c r="O850" s="980"/>
      <c r="P850" s="981"/>
      <c r="Q850" s="1449"/>
      <c r="R850" s="980"/>
      <c r="S850" s="980"/>
      <c r="T850" s="980"/>
      <c r="U850" s="980"/>
      <c r="V850" s="980"/>
      <c r="W850" s="980"/>
      <c r="X850" s="981"/>
    </row>
    <row r="851" spans="1:24" ht="18" customHeight="1" x14ac:dyDescent="0.25">
      <c r="A851" s="1990"/>
      <c r="B851" s="1992"/>
      <c r="C851" s="1986"/>
      <c r="D851" s="953" t="s">
        <v>202</v>
      </c>
      <c r="E851" s="1307" t="s">
        <v>1294</v>
      </c>
      <c r="F851" s="1307" t="s">
        <v>2031</v>
      </c>
      <c r="G851" s="1307" t="s">
        <v>1754</v>
      </c>
      <c r="H851" s="980"/>
      <c r="I851" s="980"/>
      <c r="J851" s="980"/>
      <c r="K851" s="980">
        <v>4000000</v>
      </c>
      <c r="L851" s="980"/>
      <c r="M851" s="980"/>
      <c r="N851" s="980"/>
      <c r="O851" s="980"/>
      <c r="P851" s="981"/>
      <c r="Q851" s="1449"/>
      <c r="R851" s="980"/>
      <c r="S851" s="980"/>
      <c r="T851" s="980"/>
      <c r="U851" s="980"/>
      <c r="V851" s="980"/>
      <c r="W851" s="980"/>
      <c r="X851" s="981"/>
    </row>
    <row r="852" spans="1:24" ht="24.75" customHeight="1" x14ac:dyDescent="0.25">
      <c r="A852" s="1989" t="s">
        <v>2754</v>
      </c>
      <c r="B852" s="1991" t="s">
        <v>3033</v>
      </c>
      <c r="C852" s="1996" t="s">
        <v>3034</v>
      </c>
      <c r="D852" s="953" t="s">
        <v>201</v>
      </c>
      <c r="E852" s="1307" t="s">
        <v>73</v>
      </c>
      <c r="F852" s="1307" t="s">
        <v>1785</v>
      </c>
      <c r="G852" s="1307" t="s">
        <v>1752</v>
      </c>
      <c r="H852" s="980"/>
      <c r="I852" s="980"/>
      <c r="J852" s="980"/>
      <c r="K852" s="980"/>
      <c r="L852" s="980">
        <v>-1121359</v>
      </c>
      <c r="M852" s="980"/>
      <c r="N852" s="980"/>
      <c r="O852" s="980"/>
      <c r="P852" s="981"/>
      <c r="Q852" s="1449"/>
      <c r="R852" s="980"/>
      <c r="S852" s="980"/>
      <c r="T852" s="980"/>
      <c r="U852" s="980"/>
      <c r="V852" s="980"/>
      <c r="W852" s="980"/>
      <c r="X852" s="981"/>
    </row>
    <row r="853" spans="1:24" ht="24.75" customHeight="1" x14ac:dyDescent="0.25">
      <c r="A853" s="1990"/>
      <c r="B853" s="1992"/>
      <c r="C853" s="1996"/>
      <c r="D853" s="953" t="s">
        <v>199</v>
      </c>
      <c r="E853" s="1307" t="s">
        <v>1368</v>
      </c>
      <c r="F853" s="1307" t="s">
        <v>1412</v>
      </c>
      <c r="G853" s="1307" t="s">
        <v>1754</v>
      </c>
      <c r="H853" s="980"/>
      <c r="I853" s="980"/>
      <c r="J853" s="980"/>
      <c r="K853" s="980"/>
      <c r="L853" s="980"/>
      <c r="M853" s="980">
        <f>882960+238399</f>
        <v>1121359</v>
      </c>
      <c r="N853" s="980"/>
      <c r="O853" s="980"/>
      <c r="P853" s="981"/>
      <c r="Q853" s="1449"/>
      <c r="R853" s="980"/>
      <c r="S853" s="980"/>
      <c r="T853" s="980"/>
      <c r="U853" s="980"/>
      <c r="V853" s="980"/>
      <c r="W853" s="980"/>
      <c r="X853" s="981"/>
    </row>
    <row r="854" spans="1:24" ht="19.5" customHeight="1" x14ac:dyDescent="0.25">
      <c r="A854" s="1989" t="s">
        <v>2756</v>
      </c>
      <c r="B854" s="1991" t="s">
        <v>3036</v>
      </c>
      <c r="C854" s="1985" t="s">
        <v>3037</v>
      </c>
      <c r="D854" s="953" t="s">
        <v>201</v>
      </c>
      <c r="E854" s="1307" t="s">
        <v>73</v>
      </c>
      <c r="F854" s="1307" t="s">
        <v>1785</v>
      </c>
      <c r="G854" s="1307" t="s">
        <v>1752</v>
      </c>
      <c r="H854" s="980"/>
      <c r="I854" s="980"/>
      <c r="J854" s="980"/>
      <c r="K854" s="980"/>
      <c r="L854" s="980">
        <v>-150000</v>
      </c>
      <c r="M854" s="980"/>
      <c r="N854" s="980"/>
      <c r="O854" s="980"/>
      <c r="P854" s="981"/>
      <c r="Q854" s="1449"/>
      <c r="R854" s="980"/>
      <c r="S854" s="980"/>
      <c r="T854" s="980"/>
      <c r="U854" s="980"/>
      <c r="V854" s="980"/>
      <c r="W854" s="980"/>
      <c r="X854" s="981"/>
    </row>
    <row r="855" spans="1:24" ht="19.5" customHeight="1" x14ac:dyDescent="0.25">
      <c r="A855" s="1990"/>
      <c r="B855" s="1992"/>
      <c r="C855" s="1986"/>
      <c r="D855" s="953" t="s">
        <v>198</v>
      </c>
      <c r="E855" s="1307" t="s">
        <v>76</v>
      </c>
      <c r="F855" s="1307" t="s">
        <v>1830</v>
      </c>
      <c r="G855" s="1307" t="s">
        <v>1754</v>
      </c>
      <c r="H855" s="980"/>
      <c r="I855" s="980"/>
      <c r="J855" s="980"/>
      <c r="K855" s="980"/>
      <c r="L855" s="980">
        <v>150000</v>
      </c>
      <c r="M855" s="980"/>
      <c r="N855" s="980"/>
      <c r="O855" s="980"/>
      <c r="P855" s="981"/>
      <c r="Q855" s="1449"/>
      <c r="R855" s="980"/>
      <c r="S855" s="980"/>
      <c r="T855" s="980"/>
      <c r="U855" s="980"/>
      <c r="V855" s="980"/>
      <c r="W855" s="980"/>
      <c r="X855" s="981"/>
    </row>
    <row r="856" spans="1:24" ht="24.75" customHeight="1" x14ac:dyDescent="0.25">
      <c r="A856" s="1989" t="s">
        <v>2758</v>
      </c>
      <c r="B856" s="1991" t="s">
        <v>3040</v>
      </c>
      <c r="C856" s="1996" t="s">
        <v>3041</v>
      </c>
      <c r="D856" s="953" t="s">
        <v>201</v>
      </c>
      <c r="E856" s="1307" t="s">
        <v>73</v>
      </c>
      <c r="F856" s="1307" t="s">
        <v>1785</v>
      </c>
      <c r="G856" s="1307" t="s">
        <v>1752</v>
      </c>
      <c r="H856" s="980"/>
      <c r="I856" s="980"/>
      <c r="J856" s="980"/>
      <c r="K856" s="980"/>
      <c r="L856" s="980">
        <v>-3946144</v>
      </c>
      <c r="M856" s="980"/>
      <c r="N856" s="980"/>
      <c r="O856" s="980"/>
      <c r="P856" s="981"/>
      <c r="Q856" s="1449"/>
      <c r="R856" s="980"/>
      <c r="S856" s="980"/>
      <c r="T856" s="980"/>
      <c r="U856" s="980"/>
      <c r="V856" s="980"/>
      <c r="W856" s="980"/>
      <c r="X856" s="981"/>
    </row>
    <row r="857" spans="1:24" ht="24.75" customHeight="1" x14ac:dyDescent="0.25">
      <c r="A857" s="1990"/>
      <c r="B857" s="1992"/>
      <c r="C857" s="1996"/>
      <c r="D857" s="953" t="s">
        <v>203</v>
      </c>
      <c r="E857" s="1307" t="s">
        <v>1297</v>
      </c>
      <c r="F857" s="1307" t="s">
        <v>550</v>
      </c>
      <c r="G857" s="1307" t="s">
        <v>1754</v>
      </c>
      <c r="H857" s="980"/>
      <c r="I857" s="980"/>
      <c r="J857" s="980"/>
      <c r="K857" s="980"/>
      <c r="L857" s="980"/>
      <c r="M857" s="980"/>
      <c r="N857" s="980"/>
      <c r="O857" s="980"/>
      <c r="P857" s="981">
        <v>3946144</v>
      </c>
      <c r="Q857" s="1449"/>
      <c r="R857" s="980"/>
      <c r="S857" s="980"/>
      <c r="T857" s="980"/>
      <c r="U857" s="980"/>
      <c r="V857" s="980"/>
      <c r="W857" s="980"/>
      <c r="X857" s="981"/>
    </row>
    <row r="858" spans="1:24" ht="24.75" customHeight="1" x14ac:dyDescent="0.25">
      <c r="A858" s="1989" t="s">
        <v>2761</v>
      </c>
      <c r="B858" s="1991" t="s">
        <v>3042</v>
      </c>
      <c r="C858" s="1996" t="s">
        <v>3043</v>
      </c>
      <c r="D858" s="953" t="s">
        <v>201</v>
      </c>
      <c r="E858" s="1307" t="s">
        <v>73</v>
      </c>
      <c r="F858" s="1307" t="s">
        <v>1785</v>
      </c>
      <c r="G858" s="1307" t="s">
        <v>1752</v>
      </c>
      <c r="H858" s="980"/>
      <c r="I858" s="980"/>
      <c r="J858" s="980"/>
      <c r="K858" s="980"/>
      <c r="L858" s="980">
        <v>-196977</v>
      </c>
      <c r="M858" s="980"/>
      <c r="N858" s="980"/>
      <c r="O858" s="980"/>
      <c r="P858" s="981"/>
      <c r="Q858" s="1449"/>
      <c r="R858" s="980"/>
      <c r="S858" s="980"/>
      <c r="T858" s="980"/>
      <c r="U858" s="980"/>
      <c r="V858" s="980"/>
      <c r="W858" s="980"/>
      <c r="X858" s="981"/>
    </row>
    <row r="859" spans="1:24" ht="24.75" customHeight="1" x14ac:dyDescent="0.25">
      <c r="A859" s="1990"/>
      <c r="B859" s="1992"/>
      <c r="C859" s="1996"/>
      <c r="D859" s="953" t="s">
        <v>203</v>
      </c>
      <c r="E859" s="1307" t="s">
        <v>1297</v>
      </c>
      <c r="F859" s="1307" t="s">
        <v>550</v>
      </c>
      <c r="G859" s="1307" t="s">
        <v>1754</v>
      </c>
      <c r="H859" s="980"/>
      <c r="I859" s="980"/>
      <c r="J859" s="980"/>
      <c r="K859" s="980"/>
      <c r="L859" s="980"/>
      <c r="M859" s="980"/>
      <c r="N859" s="980"/>
      <c r="O859" s="980"/>
      <c r="P859" s="981">
        <v>196977</v>
      </c>
      <c r="Q859" s="1449"/>
      <c r="R859" s="980"/>
      <c r="S859" s="980"/>
      <c r="T859" s="980"/>
      <c r="U859" s="980"/>
      <c r="V859" s="980"/>
      <c r="W859" s="980"/>
      <c r="X859" s="981"/>
    </row>
    <row r="860" spans="1:24" ht="30" customHeight="1" x14ac:dyDescent="0.25">
      <c r="A860" s="1989" t="s">
        <v>2767</v>
      </c>
      <c r="B860" s="1991" t="s">
        <v>3044</v>
      </c>
      <c r="C860" s="1996" t="s">
        <v>3045</v>
      </c>
      <c r="D860" s="953" t="s">
        <v>201</v>
      </c>
      <c r="E860" s="1307" t="s">
        <v>73</v>
      </c>
      <c r="F860" s="1307" t="s">
        <v>1785</v>
      </c>
      <c r="G860" s="1307" t="s">
        <v>1752</v>
      </c>
      <c r="H860" s="980"/>
      <c r="I860" s="980"/>
      <c r="J860" s="980"/>
      <c r="K860" s="980"/>
      <c r="L860" s="980">
        <v>-125730</v>
      </c>
      <c r="M860" s="980"/>
      <c r="N860" s="980"/>
      <c r="O860" s="980"/>
      <c r="P860" s="981"/>
      <c r="Q860" s="1449"/>
      <c r="R860" s="980"/>
      <c r="S860" s="980"/>
      <c r="T860" s="980"/>
      <c r="U860" s="980"/>
      <c r="V860" s="980"/>
      <c r="W860" s="980"/>
      <c r="X860" s="981"/>
    </row>
    <row r="861" spans="1:24" ht="30" customHeight="1" x14ac:dyDescent="0.25">
      <c r="A861" s="1990"/>
      <c r="B861" s="1992"/>
      <c r="C861" s="1996"/>
      <c r="D861" s="953" t="s">
        <v>203</v>
      </c>
      <c r="E861" s="1307" t="s">
        <v>1297</v>
      </c>
      <c r="F861" s="1307" t="s">
        <v>550</v>
      </c>
      <c r="G861" s="1307" t="s">
        <v>1754</v>
      </c>
      <c r="H861" s="980"/>
      <c r="I861" s="980"/>
      <c r="J861" s="980"/>
      <c r="K861" s="980"/>
      <c r="L861" s="980"/>
      <c r="M861" s="980"/>
      <c r="N861" s="980"/>
      <c r="O861" s="980"/>
      <c r="P861" s="981">
        <v>125730</v>
      </c>
      <c r="Q861" s="1449"/>
      <c r="R861" s="980"/>
      <c r="S861" s="980"/>
      <c r="T861" s="980"/>
      <c r="U861" s="980"/>
      <c r="V861" s="980"/>
      <c r="W861" s="980"/>
      <c r="X861" s="981"/>
    </row>
    <row r="862" spans="1:24" ht="34.5" customHeight="1" x14ac:dyDescent="0.25">
      <c r="A862" s="1481" t="s">
        <v>2770</v>
      </c>
      <c r="B862" s="1483" t="s">
        <v>3046</v>
      </c>
      <c r="C862" s="1482" t="s">
        <v>3047</v>
      </c>
      <c r="D862" s="953" t="s">
        <v>194</v>
      </c>
      <c r="E862" s="1307" t="s">
        <v>648</v>
      </c>
      <c r="F862" s="1307" t="s">
        <v>135</v>
      </c>
      <c r="G862" s="1307" t="s">
        <v>1766</v>
      </c>
      <c r="H862" s="980"/>
      <c r="I862" s="980"/>
      <c r="J862" s="980">
        <f>-70000+70000</f>
        <v>0</v>
      </c>
      <c r="K862" s="980"/>
      <c r="L862" s="980"/>
      <c r="M862" s="980"/>
      <c r="N862" s="980"/>
      <c r="O862" s="980"/>
      <c r="P862" s="981"/>
      <c r="Q862" s="1449"/>
      <c r="R862" s="980"/>
      <c r="S862" s="980"/>
      <c r="T862" s="980"/>
      <c r="U862" s="980"/>
      <c r="V862" s="980"/>
      <c r="W862" s="980"/>
      <c r="X862" s="981"/>
    </row>
    <row r="863" spans="1:24" ht="34.5" customHeight="1" x14ac:dyDescent="0.25">
      <c r="A863" s="1481" t="s">
        <v>2772</v>
      </c>
      <c r="B863" s="1483" t="s">
        <v>3048</v>
      </c>
      <c r="C863" s="1482" t="s">
        <v>3049</v>
      </c>
      <c r="D863" s="953" t="s">
        <v>194</v>
      </c>
      <c r="E863" s="1307" t="s">
        <v>62</v>
      </c>
      <c r="F863" s="1307" t="s">
        <v>541</v>
      </c>
      <c r="G863" s="1307" t="s">
        <v>1766</v>
      </c>
      <c r="H863" s="980"/>
      <c r="I863" s="980"/>
      <c r="J863" s="980">
        <f>-60000+60000</f>
        <v>0</v>
      </c>
      <c r="K863" s="980"/>
      <c r="L863" s="980"/>
      <c r="M863" s="980"/>
      <c r="N863" s="980"/>
      <c r="O863" s="980"/>
      <c r="P863" s="981"/>
      <c r="Q863" s="1449"/>
      <c r="R863" s="980"/>
      <c r="S863" s="980"/>
      <c r="T863" s="980"/>
      <c r="U863" s="980"/>
      <c r="V863" s="980"/>
      <c r="W863" s="980"/>
      <c r="X863" s="981"/>
    </row>
    <row r="864" spans="1:24" ht="20.25" customHeight="1" x14ac:dyDescent="0.25">
      <c r="A864" s="1989" t="s">
        <v>2774</v>
      </c>
      <c r="B864" s="1991" t="s">
        <v>3050</v>
      </c>
      <c r="C864" s="1985" t="s">
        <v>2700</v>
      </c>
      <c r="D864" s="953" t="s">
        <v>194</v>
      </c>
      <c r="E864" s="1307" t="s">
        <v>641</v>
      </c>
      <c r="F864" s="1307" t="s">
        <v>66</v>
      </c>
      <c r="G864" s="1307" t="s">
        <v>1754</v>
      </c>
      <c r="H864" s="980"/>
      <c r="I864" s="980"/>
      <c r="J864" s="980"/>
      <c r="K864" s="980"/>
      <c r="L864" s="980"/>
      <c r="M864" s="980"/>
      <c r="N864" s="980"/>
      <c r="O864" s="980"/>
      <c r="P864" s="981"/>
      <c r="Q864" s="1449"/>
      <c r="R864" s="980"/>
      <c r="S864" s="980"/>
      <c r="T864" s="980">
        <f>78740+21260</f>
        <v>100000</v>
      </c>
      <c r="U864" s="980"/>
      <c r="V864" s="980"/>
      <c r="W864" s="980"/>
      <c r="X864" s="981"/>
    </row>
    <row r="865" spans="1:24" ht="20.25" customHeight="1" x14ac:dyDescent="0.25">
      <c r="A865" s="1990"/>
      <c r="B865" s="1992"/>
      <c r="C865" s="1986"/>
      <c r="D865" s="953" t="s">
        <v>201</v>
      </c>
      <c r="E865" s="1307" t="s">
        <v>73</v>
      </c>
      <c r="F865" s="1307" t="s">
        <v>1785</v>
      </c>
      <c r="G865" s="1307" t="s">
        <v>1754</v>
      </c>
      <c r="H865" s="980"/>
      <c r="I865" s="980"/>
      <c r="J865" s="980"/>
      <c r="K865" s="980"/>
      <c r="L865" s="980">
        <v>100000</v>
      </c>
      <c r="M865" s="980"/>
      <c r="N865" s="980"/>
      <c r="O865" s="980"/>
      <c r="P865" s="981"/>
      <c r="Q865" s="1449"/>
      <c r="R865" s="980"/>
      <c r="S865" s="980"/>
      <c r="T865" s="980"/>
      <c r="U865" s="980"/>
      <c r="V865" s="980"/>
      <c r="W865" s="980"/>
      <c r="X865" s="981"/>
    </row>
    <row r="866" spans="1:24" ht="32.25" customHeight="1" x14ac:dyDescent="0.25">
      <c r="A866" s="1481" t="s">
        <v>2776</v>
      </c>
      <c r="B866" s="1483" t="s">
        <v>3052</v>
      </c>
      <c r="C866" s="1482" t="s">
        <v>3053</v>
      </c>
      <c r="D866" s="953" t="s">
        <v>194</v>
      </c>
      <c r="E866" s="1307" t="s">
        <v>609</v>
      </c>
      <c r="F866" s="1307" t="s">
        <v>455</v>
      </c>
      <c r="G866" s="1307" t="s">
        <v>1754</v>
      </c>
      <c r="H866" s="980"/>
      <c r="I866" s="980"/>
      <c r="J866" s="980">
        <f>5000000+1350000</f>
        <v>6350000</v>
      </c>
      <c r="K866" s="980"/>
      <c r="L866" s="980"/>
      <c r="M866" s="980"/>
      <c r="N866" s="980"/>
      <c r="O866" s="980"/>
      <c r="P866" s="981"/>
      <c r="Q866" s="1449"/>
      <c r="R866" s="980"/>
      <c r="S866" s="980"/>
      <c r="T866" s="980">
        <f>5000000+1350000</f>
        <v>6350000</v>
      </c>
      <c r="U866" s="980"/>
      <c r="V866" s="980"/>
      <c r="W866" s="980"/>
      <c r="X866" s="981"/>
    </row>
    <row r="867" spans="1:24" ht="27" customHeight="1" x14ac:dyDescent="0.25">
      <c r="A867" s="1488"/>
      <c r="B867" s="1486"/>
      <c r="C867" s="1482" t="s">
        <v>2291</v>
      </c>
      <c r="D867" s="953" t="s">
        <v>203</v>
      </c>
      <c r="E867" s="1307" t="s">
        <v>1297</v>
      </c>
      <c r="F867" s="1307" t="s">
        <v>550</v>
      </c>
      <c r="G867" s="1307" t="s">
        <v>1766</v>
      </c>
      <c r="H867" s="980"/>
      <c r="I867" s="980"/>
      <c r="J867" s="980"/>
      <c r="K867" s="980"/>
      <c r="L867" s="980"/>
      <c r="M867" s="980"/>
      <c r="N867" s="980"/>
      <c r="O867" s="980"/>
      <c r="P867" s="981">
        <f>-157800+157800</f>
        <v>0</v>
      </c>
      <c r="Q867" s="1449"/>
      <c r="R867" s="980"/>
      <c r="S867" s="980"/>
      <c r="T867" s="980"/>
      <c r="U867" s="980"/>
      <c r="V867" s="980"/>
      <c r="W867" s="980"/>
      <c r="X867" s="981"/>
    </row>
    <row r="868" spans="1:24" ht="75.75" customHeight="1" x14ac:dyDescent="0.25">
      <c r="A868" s="1488" t="s">
        <v>2780</v>
      </c>
      <c r="B868" s="1486" t="s">
        <v>3058</v>
      </c>
      <c r="C868" s="1482" t="s">
        <v>3059</v>
      </c>
      <c r="D868" s="953" t="s">
        <v>198</v>
      </c>
      <c r="E868" s="1307" t="s">
        <v>76</v>
      </c>
      <c r="F868" s="1307" t="s">
        <v>1830</v>
      </c>
      <c r="G868" s="1307" t="s">
        <v>1766</v>
      </c>
      <c r="H868" s="980"/>
      <c r="I868" s="980"/>
      <c r="J868" s="980"/>
      <c r="K868" s="980"/>
      <c r="L868" s="980">
        <f>-100000+100000</f>
        <v>0</v>
      </c>
      <c r="M868" s="980"/>
      <c r="N868" s="980"/>
      <c r="O868" s="980"/>
      <c r="P868" s="981"/>
      <c r="Q868" s="1449"/>
      <c r="R868" s="980"/>
      <c r="S868" s="980"/>
      <c r="T868" s="980"/>
      <c r="U868" s="980"/>
      <c r="V868" s="980"/>
      <c r="W868" s="980"/>
      <c r="X868" s="981"/>
    </row>
    <row r="869" spans="1:24" ht="24" customHeight="1" x14ac:dyDescent="0.25">
      <c r="A869" s="1989" t="s">
        <v>2784</v>
      </c>
      <c r="B869" s="1991" t="s">
        <v>3061</v>
      </c>
      <c r="C869" s="1985" t="s">
        <v>3062</v>
      </c>
      <c r="D869" s="953" t="s">
        <v>198</v>
      </c>
      <c r="E869" s="1307" t="s">
        <v>1297</v>
      </c>
      <c r="F869" s="1307" t="s">
        <v>1769</v>
      </c>
      <c r="G869" s="1307" t="s">
        <v>1752</v>
      </c>
      <c r="H869" s="980"/>
      <c r="I869" s="980"/>
      <c r="J869" s="980"/>
      <c r="K869" s="980"/>
      <c r="L869" s="980">
        <v>-70000</v>
      </c>
      <c r="M869" s="980"/>
      <c r="N869" s="980"/>
      <c r="O869" s="980"/>
      <c r="P869" s="981"/>
      <c r="Q869" s="1449"/>
      <c r="R869" s="980"/>
      <c r="S869" s="980"/>
      <c r="T869" s="980"/>
      <c r="U869" s="980"/>
      <c r="V869" s="980"/>
      <c r="W869" s="980"/>
      <c r="X869" s="981"/>
    </row>
    <row r="870" spans="1:24" ht="24" customHeight="1" x14ac:dyDescent="0.25">
      <c r="A870" s="1990"/>
      <c r="B870" s="1992"/>
      <c r="C870" s="1986"/>
      <c r="D870" s="953" t="s">
        <v>197</v>
      </c>
      <c r="E870" s="1307" t="s">
        <v>1297</v>
      </c>
      <c r="F870" s="1307" t="s">
        <v>1769</v>
      </c>
      <c r="G870" s="1307" t="s">
        <v>1754</v>
      </c>
      <c r="H870" s="980"/>
      <c r="I870" s="980"/>
      <c r="J870" s="980"/>
      <c r="K870" s="980"/>
      <c r="L870" s="980"/>
      <c r="M870" s="980"/>
      <c r="N870" s="980"/>
      <c r="O870" s="980">
        <v>70000</v>
      </c>
      <c r="P870" s="981"/>
      <c r="Q870" s="1449"/>
      <c r="R870" s="980"/>
      <c r="S870" s="980"/>
      <c r="T870" s="980"/>
      <c r="U870" s="980"/>
      <c r="V870" s="980"/>
      <c r="W870" s="980"/>
      <c r="X870" s="981"/>
    </row>
    <row r="871" spans="1:24" ht="40.5" customHeight="1" x14ac:dyDescent="0.25">
      <c r="A871" s="1989" t="s">
        <v>2785</v>
      </c>
      <c r="B871" s="1991" t="s">
        <v>3064</v>
      </c>
      <c r="C871" s="1985" t="s">
        <v>3065</v>
      </c>
      <c r="D871" s="953" t="s">
        <v>201</v>
      </c>
      <c r="E871" s="1307" t="s">
        <v>73</v>
      </c>
      <c r="F871" s="1307" t="s">
        <v>1785</v>
      </c>
      <c r="G871" s="1307" t="s">
        <v>1752</v>
      </c>
      <c r="H871" s="980"/>
      <c r="I871" s="980"/>
      <c r="J871" s="980"/>
      <c r="K871" s="980"/>
      <c r="L871" s="980">
        <v>-50000</v>
      </c>
      <c r="M871" s="980"/>
      <c r="N871" s="980"/>
      <c r="O871" s="980"/>
      <c r="P871" s="981"/>
      <c r="Q871" s="1449"/>
      <c r="R871" s="980"/>
      <c r="S871" s="980"/>
      <c r="T871" s="980"/>
      <c r="U871" s="980"/>
      <c r="V871" s="980"/>
      <c r="W871" s="980"/>
      <c r="X871" s="981"/>
    </row>
    <row r="872" spans="1:24" ht="40.5" customHeight="1" x14ac:dyDescent="0.25">
      <c r="A872" s="1990"/>
      <c r="B872" s="1992"/>
      <c r="C872" s="1986"/>
      <c r="D872" s="953" t="s">
        <v>198</v>
      </c>
      <c r="E872" s="1307" t="s">
        <v>76</v>
      </c>
      <c r="F872" s="1307" t="s">
        <v>1830</v>
      </c>
      <c r="G872" s="1307" t="s">
        <v>1754</v>
      </c>
      <c r="H872" s="980"/>
      <c r="I872" s="980"/>
      <c r="J872" s="980"/>
      <c r="K872" s="980"/>
      <c r="L872" s="980">
        <v>50000</v>
      </c>
      <c r="M872" s="980"/>
      <c r="N872" s="980"/>
      <c r="O872" s="980"/>
      <c r="P872" s="981"/>
      <c r="Q872" s="1449"/>
      <c r="R872" s="980"/>
      <c r="S872" s="980"/>
      <c r="T872" s="980"/>
      <c r="U872" s="980"/>
      <c r="V872" s="980"/>
      <c r="W872" s="980"/>
      <c r="X872" s="981"/>
    </row>
    <row r="873" spans="1:24" ht="24" customHeight="1" x14ac:dyDescent="0.25">
      <c r="A873" s="1989" t="s">
        <v>2793</v>
      </c>
      <c r="B873" s="1991" t="s">
        <v>3066</v>
      </c>
      <c r="C873" s="1996" t="s">
        <v>3067</v>
      </c>
      <c r="D873" s="953" t="s">
        <v>201</v>
      </c>
      <c r="E873" s="1307" t="s">
        <v>73</v>
      </c>
      <c r="F873" s="1307" t="s">
        <v>1785</v>
      </c>
      <c r="G873" s="1307" t="s">
        <v>1752</v>
      </c>
      <c r="H873" s="980"/>
      <c r="I873" s="980"/>
      <c r="J873" s="980"/>
      <c r="K873" s="980"/>
      <c r="L873" s="980">
        <v>-1002500</v>
      </c>
      <c r="M873" s="980"/>
      <c r="N873" s="980"/>
      <c r="O873" s="980"/>
      <c r="P873" s="981"/>
      <c r="Q873" s="1449"/>
      <c r="R873" s="980"/>
      <c r="S873" s="980"/>
      <c r="T873" s="980"/>
      <c r="U873" s="980"/>
      <c r="V873" s="980"/>
      <c r="W873" s="980"/>
      <c r="X873" s="981"/>
    </row>
    <row r="874" spans="1:24" ht="24" customHeight="1" x14ac:dyDescent="0.25">
      <c r="A874" s="1990"/>
      <c r="B874" s="1992"/>
      <c r="C874" s="1996"/>
      <c r="D874" s="953" t="s">
        <v>203</v>
      </c>
      <c r="E874" s="1307" t="s">
        <v>1297</v>
      </c>
      <c r="F874" s="1307" t="s">
        <v>550</v>
      </c>
      <c r="G874" s="1307" t="s">
        <v>1754</v>
      </c>
      <c r="H874" s="980"/>
      <c r="I874" s="980"/>
      <c r="J874" s="980"/>
      <c r="K874" s="980"/>
      <c r="L874" s="980"/>
      <c r="M874" s="980"/>
      <c r="N874" s="980"/>
      <c r="O874" s="980"/>
      <c r="P874" s="981">
        <v>1002500</v>
      </c>
      <c r="Q874" s="1449"/>
      <c r="R874" s="980"/>
      <c r="S874" s="980"/>
      <c r="T874" s="980"/>
      <c r="U874" s="980"/>
      <c r="V874" s="980"/>
      <c r="W874" s="980"/>
      <c r="X874" s="981"/>
    </row>
    <row r="875" spans="1:24" ht="26.25" customHeight="1" x14ac:dyDescent="0.25">
      <c r="A875" s="1989" t="s">
        <v>2795</v>
      </c>
      <c r="B875" s="1991" t="s">
        <v>3069</v>
      </c>
      <c r="C875" s="1996" t="s">
        <v>3070</v>
      </c>
      <c r="D875" s="953" t="s">
        <v>201</v>
      </c>
      <c r="E875" s="1307" t="s">
        <v>73</v>
      </c>
      <c r="F875" s="1307" t="s">
        <v>1785</v>
      </c>
      <c r="G875" s="1307" t="s">
        <v>1752</v>
      </c>
      <c r="H875" s="980"/>
      <c r="I875" s="980"/>
      <c r="J875" s="980"/>
      <c r="K875" s="980"/>
      <c r="L875" s="980">
        <v>-1990000</v>
      </c>
      <c r="M875" s="980"/>
      <c r="N875" s="980"/>
      <c r="O875" s="980"/>
      <c r="P875" s="981"/>
      <c r="Q875" s="1449"/>
      <c r="R875" s="980"/>
      <c r="S875" s="980"/>
      <c r="T875" s="980"/>
      <c r="U875" s="980"/>
      <c r="V875" s="980"/>
      <c r="W875" s="980"/>
      <c r="X875" s="981"/>
    </row>
    <row r="876" spans="1:24" ht="26.25" customHeight="1" x14ac:dyDescent="0.25">
      <c r="A876" s="1990"/>
      <c r="B876" s="1992"/>
      <c r="C876" s="1996"/>
      <c r="D876" s="953" t="s">
        <v>199</v>
      </c>
      <c r="E876" s="1307" t="s">
        <v>641</v>
      </c>
      <c r="F876" s="1307" t="s">
        <v>1322</v>
      </c>
      <c r="G876" s="1307" t="s">
        <v>1754</v>
      </c>
      <c r="H876" s="980"/>
      <c r="I876" s="980"/>
      <c r="J876" s="980"/>
      <c r="K876" s="980"/>
      <c r="L876" s="980"/>
      <c r="M876" s="980">
        <v>1990000</v>
      </c>
      <c r="N876" s="980"/>
      <c r="O876" s="980"/>
      <c r="P876" s="981"/>
      <c r="Q876" s="1449"/>
      <c r="R876" s="980"/>
      <c r="S876" s="980"/>
      <c r="T876" s="980"/>
      <c r="U876" s="980"/>
      <c r="V876" s="980"/>
      <c r="W876" s="980"/>
      <c r="X876" s="981"/>
    </row>
    <row r="877" spans="1:24" ht="24" customHeight="1" x14ac:dyDescent="0.25">
      <c r="A877" s="1989" t="s">
        <v>2798</v>
      </c>
      <c r="B877" s="1991" t="s">
        <v>3071</v>
      </c>
      <c r="C877" s="1996" t="s">
        <v>3072</v>
      </c>
      <c r="D877" s="953" t="s">
        <v>201</v>
      </c>
      <c r="E877" s="1307" t="s">
        <v>73</v>
      </c>
      <c r="F877" s="1307" t="s">
        <v>1785</v>
      </c>
      <c r="G877" s="1307" t="s">
        <v>1752</v>
      </c>
      <c r="H877" s="980"/>
      <c r="I877" s="980"/>
      <c r="J877" s="980"/>
      <c r="K877" s="980"/>
      <c r="L877" s="980">
        <v>-1929735</v>
      </c>
      <c r="M877" s="980"/>
      <c r="N877" s="980"/>
      <c r="O877" s="980"/>
      <c r="P877" s="981"/>
      <c r="Q877" s="1449"/>
      <c r="R877" s="980"/>
      <c r="S877" s="980"/>
      <c r="T877" s="980"/>
      <c r="U877" s="980"/>
      <c r="V877" s="980"/>
      <c r="W877" s="980"/>
      <c r="X877" s="981"/>
    </row>
    <row r="878" spans="1:24" ht="24" customHeight="1" x14ac:dyDescent="0.25">
      <c r="A878" s="1990"/>
      <c r="B878" s="1992"/>
      <c r="C878" s="1996"/>
      <c r="D878" s="953">
        <v>6</v>
      </c>
      <c r="E878" s="1307" t="s">
        <v>561</v>
      </c>
      <c r="F878" s="1307" t="s">
        <v>867</v>
      </c>
      <c r="G878" s="1307" t="s">
        <v>1754</v>
      </c>
      <c r="H878" s="980"/>
      <c r="I878" s="980"/>
      <c r="J878" s="980"/>
      <c r="K878" s="980"/>
      <c r="L878" s="980"/>
      <c r="M878" s="980">
        <f>1519476+410259</f>
        <v>1929735</v>
      </c>
      <c r="N878" s="980"/>
      <c r="O878" s="980"/>
      <c r="P878" s="981"/>
      <c r="Q878" s="1449"/>
      <c r="R878" s="980"/>
      <c r="S878" s="980"/>
      <c r="T878" s="980"/>
      <c r="U878" s="980"/>
      <c r="V878" s="980"/>
      <c r="W878" s="980"/>
      <c r="X878" s="981"/>
    </row>
    <row r="879" spans="1:24" ht="32.25" customHeight="1" x14ac:dyDescent="0.25">
      <c r="A879" s="1989" t="s">
        <v>2800</v>
      </c>
      <c r="B879" s="1991" t="s">
        <v>3073</v>
      </c>
      <c r="C879" s="1996" t="s">
        <v>3074</v>
      </c>
      <c r="D879" s="953" t="s">
        <v>201</v>
      </c>
      <c r="E879" s="1307" t="s">
        <v>73</v>
      </c>
      <c r="F879" s="1307" t="s">
        <v>1785</v>
      </c>
      <c r="G879" s="1307" t="s">
        <v>1752</v>
      </c>
      <c r="H879" s="980"/>
      <c r="I879" s="980"/>
      <c r="J879" s="980"/>
      <c r="K879" s="980"/>
      <c r="L879" s="980">
        <v>-7138924</v>
      </c>
      <c r="M879" s="980"/>
      <c r="N879" s="980"/>
      <c r="O879" s="980"/>
      <c r="P879" s="981"/>
      <c r="Q879" s="1449"/>
      <c r="R879" s="980"/>
      <c r="S879" s="980"/>
      <c r="T879" s="980"/>
      <c r="U879" s="980"/>
      <c r="V879" s="980"/>
      <c r="W879" s="980"/>
      <c r="X879" s="981"/>
    </row>
    <row r="880" spans="1:24" ht="32.25" customHeight="1" x14ac:dyDescent="0.25">
      <c r="A880" s="1990"/>
      <c r="B880" s="1992"/>
      <c r="C880" s="1996"/>
      <c r="D880" s="953" t="s">
        <v>194</v>
      </c>
      <c r="E880" s="1307" t="s">
        <v>641</v>
      </c>
      <c r="F880" s="1307" t="s">
        <v>1755</v>
      </c>
      <c r="G880" s="1307" t="s">
        <v>1754</v>
      </c>
      <c r="H880" s="980"/>
      <c r="I880" s="980"/>
      <c r="J880" s="980">
        <f>5621200+1517724</f>
        <v>7138924</v>
      </c>
      <c r="K880" s="980"/>
      <c r="L880" s="980"/>
      <c r="M880" s="980"/>
      <c r="N880" s="980"/>
      <c r="O880" s="980"/>
      <c r="P880" s="981"/>
      <c r="Q880" s="1449"/>
      <c r="R880" s="980"/>
      <c r="S880" s="980"/>
      <c r="T880" s="980"/>
      <c r="U880" s="980"/>
      <c r="V880" s="980"/>
      <c r="W880" s="980"/>
      <c r="X880" s="981"/>
    </row>
    <row r="881" spans="1:24" ht="19.5" customHeight="1" x14ac:dyDescent="0.25">
      <c r="A881" s="1989" t="s">
        <v>2802</v>
      </c>
      <c r="B881" s="1991" t="s">
        <v>3075</v>
      </c>
      <c r="C881" s="1985" t="s">
        <v>3076</v>
      </c>
      <c r="D881" s="953" t="s">
        <v>201</v>
      </c>
      <c r="E881" s="1307" t="s">
        <v>73</v>
      </c>
      <c r="F881" s="1307" t="s">
        <v>1785</v>
      </c>
      <c r="G881" s="1307" t="s">
        <v>1752</v>
      </c>
      <c r="H881" s="980"/>
      <c r="I881" s="980"/>
      <c r="J881" s="980"/>
      <c r="K881" s="980"/>
      <c r="L881" s="980">
        <v>-6096000</v>
      </c>
      <c r="M881" s="980"/>
      <c r="N881" s="980"/>
      <c r="O881" s="980"/>
      <c r="P881" s="981"/>
      <c r="Q881" s="1449"/>
      <c r="R881" s="980"/>
      <c r="S881" s="980"/>
      <c r="T881" s="980"/>
      <c r="U881" s="980"/>
      <c r="V881" s="980"/>
      <c r="W881" s="980"/>
      <c r="X881" s="981"/>
    </row>
    <row r="882" spans="1:24" ht="19.5" customHeight="1" x14ac:dyDescent="0.25">
      <c r="A882" s="1995"/>
      <c r="B882" s="1994"/>
      <c r="C882" s="1993"/>
      <c r="D882" s="953" t="s">
        <v>194</v>
      </c>
      <c r="E882" s="1307" t="s">
        <v>557</v>
      </c>
      <c r="F882" s="1307" t="s">
        <v>462</v>
      </c>
      <c r="G882" s="1307" t="s">
        <v>1754</v>
      </c>
      <c r="H882" s="980"/>
      <c r="I882" s="980"/>
      <c r="J882" s="980">
        <f>600000+162000</f>
        <v>762000</v>
      </c>
      <c r="K882" s="980"/>
      <c r="L882" s="980"/>
      <c r="M882" s="980"/>
      <c r="N882" s="980"/>
      <c r="O882" s="980"/>
      <c r="P882" s="981"/>
      <c r="Q882" s="1449"/>
      <c r="R882" s="980"/>
      <c r="S882" s="980"/>
      <c r="T882" s="980"/>
      <c r="U882" s="980"/>
      <c r="V882" s="980"/>
      <c r="W882" s="980"/>
      <c r="X882" s="981"/>
    </row>
    <row r="883" spans="1:24" ht="19.5" customHeight="1" x14ac:dyDescent="0.25">
      <c r="A883" s="1995"/>
      <c r="B883" s="1994"/>
      <c r="C883" s="1993"/>
      <c r="D883" s="953" t="s">
        <v>194</v>
      </c>
      <c r="E883" s="1307" t="s">
        <v>62</v>
      </c>
      <c r="F883" s="1307" t="s">
        <v>541</v>
      </c>
      <c r="G883" s="1307" t="s">
        <v>1754</v>
      </c>
      <c r="H883" s="980"/>
      <c r="I883" s="980"/>
      <c r="J883" s="980">
        <f>4000000+1080000</f>
        <v>5080000</v>
      </c>
      <c r="K883" s="980"/>
      <c r="L883" s="980"/>
      <c r="M883" s="980"/>
      <c r="N883" s="980"/>
      <c r="O883" s="980"/>
      <c r="P883" s="981"/>
      <c r="Q883" s="1449"/>
      <c r="R883" s="980"/>
      <c r="S883" s="980"/>
      <c r="T883" s="980"/>
      <c r="U883" s="980"/>
      <c r="V883" s="980"/>
      <c r="W883" s="980"/>
      <c r="X883" s="981"/>
    </row>
    <row r="884" spans="1:24" ht="19.5" customHeight="1" x14ac:dyDescent="0.25">
      <c r="A884" s="1990"/>
      <c r="B884" s="1992"/>
      <c r="C884" s="1986"/>
      <c r="D884" s="953" t="s">
        <v>194</v>
      </c>
      <c r="E884" s="1307" t="s">
        <v>74</v>
      </c>
      <c r="F884" s="1307" t="s">
        <v>1408</v>
      </c>
      <c r="G884" s="1307" t="s">
        <v>1754</v>
      </c>
      <c r="H884" s="980"/>
      <c r="I884" s="980"/>
      <c r="J884" s="980">
        <f>200000+54000</f>
        <v>254000</v>
      </c>
      <c r="K884" s="980"/>
      <c r="L884" s="980"/>
      <c r="M884" s="980"/>
      <c r="N884" s="980"/>
      <c r="O884" s="980"/>
      <c r="P884" s="981"/>
      <c r="Q884" s="1449"/>
      <c r="R884" s="980"/>
      <c r="S884" s="980"/>
      <c r="T884" s="980"/>
      <c r="U884" s="980"/>
      <c r="V884" s="980"/>
      <c r="W884" s="980"/>
      <c r="X884" s="981"/>
    </row>
    <row r="885" spans="1:24" ht="75.75" customHeight="1" x14ac:dyDescent="0.25">
      <c r="A885" s="1481"/>
      <c r="B885" s="1483"/>
      <c r="C885" s="1477" t="s">
        <v>3077</v>
      </c>
      <c r="D885" s="953"/>
      <c r="E885" s="1307"/>
      <c r="F885" s="1307"/>
      <c r="G885" s="1307"/>
      <c r="H885" s="980"/>
      <c r="I885" s="980"/>
      <c r="J885" s="980"/>
      <c r="K885" s="980"/>
      <c r="L885" s="980"/>
      <c r="M885" s="980"/>
      <c r="N885" s="980"/>
      <c r="O885" s="980"/>
      <c r="P885" s="981"/>
      <c r="Q885" s="1449"/>
      <c r="R885" s="980"/>
      <c r="S885" s="980"/>
      <c r="T885" s="980"/>
      <c r="U885" s="980"/>
      <c r="V885" s="980"/>
      <c r="W885" s="980"/>
      <c r="X885" s="981"/>
    </row>
    <row r="886" spans="1:24" ht="76.5" customHeight="1" x14ac:dyDescent="0.25">
      <c r="A886" s="1481"/>
      <c r="B886" s="1483"/>
      <c r="C886" s="1477" t="s">
        <v>3155</v>
      </c>
      <c r="D886" s="953"/>
      <c r="E886" s="1307"/>
      <c r="F886" s="1307"/>
      <c r="G886" s="1307"/>
      <c r="H886" s="980"/>
      <c r="I886" s="980"/>
      <c r="J886" s="980"/>
      <c r="K886" s="980"/>
      <c r="L886" s="980"/>
      <c r="M886" s="980"/>
      <c r="N886" s="980"/>
      <c r="O886" s="980"/>
      <c r="P886" s="981"/>
      <c r="Q886" s="1449"/>
      <c r="R886" s="980"/>
      <c r="S886" s="980"/>
      <c r="T886" s="980"/>
      <c r="U886" s="980"/>
      <c r="V886" s="980"/>
      <c r="W886" s="980"/>
      <c r="X886" s="981"/>
    </row>
    <row r="887" spans="1:24" ht="22.5" customHeight="1" x14ac:dyDescent="0.25">
      <c r="A887" s="1989" t="s">
        <v>2804</v>
      </c>
      <c r="B887" s="1991" t="s">
        <v>3080</v>
      </c>
      <c r="C887" s="1985" t="s">
        <v>3081</v>
      </c>
      <c r="D887" s="953" t="s">
        <v>201</v>
      </c>
      <c r="E887" s="1307" t="s">
        <v>73</v>
      </c>
      <c r="F887" s="1307" t="s">
        <v>1785</v>
      </c>
      <c r="G887" s="1307" t="s">
        <v>1752</v>
      </c>
      <c r="H887" s="980"/>
      <c r="I887" s="980"/>
      <c r="J887" s="980"/>
      <c r="K887" s="980"/>
      <c r="L887" s="980">
        <v>-500000</v>
      </c>
      <c r="M887" s="980"/>
      <c r="N887" s="980"/>
      <c r="O887" s="980"/>
      <c r="P887" s="981"/>
      <c r="Q887" s="1449"/>
      <c r="R887" s="980"/>
      <c r="S887" s="980"/>
      <c r="T887" s="980"/>
      <c r="U887" s="980"/>
      <c r="V887" s="980"/>
      <c r="W887" s="980"/>
      <c r="X887" s="981"/>
    </row>
    <row r="888" spans="1:24" ht="22.5" customHeight="1" x14ac:dyDescent="0.25">
      <c r="A888" s="1995"/>
      <c r="B888" s="1994"/>
      <c r="C888" s="1993"/>
      <c r="D888" s="953" t="s">
        <v>194</v>
      </c>
      <c r="E888" s="1307" t="s">
        <v>130</v>
      </c>
      <c r="F888" s="1307" t="s">
        <v>2900</v>
      </c>
      <c r="G888" s="1307" t="s">
        <v>1754</v>
      </c>
      <c r="H888" s="980"/>
      <c r="I888" s="980"/>
      <c r="J888" s="980">
        <v>300000</v>
      </c>
      <c r="K888" s="980"/>
      <c r="L888" s="980"/>
      <c r="M888" s="980"/>
      <c r="N888" s="980"/>
      <c r="O888" s="980"/>
      <c r="P888" s="981"/>
      <c r="Q888" s="1449"/>
      <c r="R888" s="980"/>
      <c r="S888" s="980"/>
      <c r="T888" s="980"/>
      <c r="U888" s="980"/>
      <c r="V888" s="980"/>
      <c r="W888" s="980"/>
      <c r="X888" s="981"/>
    </row>
    <row r="889" spans="1:24" ht="22.5" customHeight="1" x14ac:dyDescent="0.25">
      <c r="A889" s="1990"/>
      <c r="B889" s="1992"/>
      <c r="C889" s="1986"/>
      <c r="D889" s="953">
        <v>1</v>
      </c>
      <c r="E889" s="1307" t="s">
        <v>617</v>
      </c>
      <c r="F889" s="1307" t="s">
        <v>2066</v>
      </c>
      <c r="G889" s="1307" t="s">
        <v>1754</v>
      </c>
      <c r="H889" s="980"/>
      <c r="I889" s="980"/>
      <c r="J889" s="980">
        <f>148480+9000+42520</f>
        <v>200000</v>
      </c>
      <c r="K889" s="980"/>
      <c r="L889" s="980"/>
      <c r="M889" s="980"/>
      <c r="N889" s="980"/>
      <c r="O889" s="980"/>
      <c r="P889" s="981"/>
      <c r="Q889" s="1449"/>
      <c r="R889" s="980"/>
      <c r="S889" s="980"/>
      <c r="T889" s="980"/>
      <c r="U889" s="980"/>
      <c r="V889" s="980"/>
      <c r="W889" s="980"/>
      <c r="X889" s="981"/>
    </row>
    <row r="890" spans="1:24" ht="27" customHeight="1" x14ac:dyDescent="0.25">
      <c r="A890" s="1989" t="s">
        <v>2807</v>
      </c>
      <c r="B890" s="1991" t="s">
        <v>3082</v>
      </c>
      <c r="C890" s="1996" t="s">
        <v>3083</v>
      </c>
      <c r="D890" s="953" t="s">
        <v>201</v>
      </c>
      <c r="E890" s="1307" t="s">
        <v>73</v>
      </c>
      <c r="F890" s="1307" t="s">
        <v>1785</v>
      </c>
      <c r="G890" s="1307" t="s">
        <v>1752</v>
      </c>
      <c r="H890" s="980"/>
      <c r="I890" s="980"/>
      <c r="J890" s="980"/>
      <c r="K890" s="980"/>
      <c r="L890" s="980">
        <v>-164999</v>
      </c>
      <c r="M890" s="980"/>
      <c r="N890" s="980"/>
      <c r="O890" s="980"/>
      <c r="P890" s="981"/>
      <c r="Q890" s="1449"/>
      <c r="R890" s="980"/>
      <c r="S890" s="980"/>
      <c r="T890" s="980"/>
      <c r="U890" s="980"/>
      <c r="V890" s="980"/>
      <c r="W890" s="980"/>
      <c r="X890" s="981"/>
    </row>
    <row r="891" spans="1:24" ht="27" customHeight="1" x14ac:dyDescent="0.25">
      <c r="A891" s="1990"/>
      <c r="B891" s="1992"/>
      <c r="C891" s="1996"/>
      <c r="D891" s="953" t="s">
        <v>203</v>
      </c>
      <c r="E891" s="1307" t="s">
        <v>1297</v>
      </c>
      <c r="F891" s="1307" t="s">
        <v>550</v>
      </c>
      <c r="G891" s="1307" t="s">
        <v>1754</v>
      </c>
      <c r="H891" s="980"/>
      <c r="I891" s="980"/>
      <c r="J891" s="980"/>
      <c r="K891" s="980"/>
      <c r="L891" s="980"/>
      <c r="M891" s="980"/>
      <c r="N891" s="980"/>
      <c r="O891" s="980"/>
      <c r="P891" s="981">
        <v>164999</v>
      </c>
      <c r="Q891" s="1449"/>
      <c r="R891" s="980"/>
      <c r="S891" s="980"/>
      <c r="T891" s="980"/>
      <c r="U891" s="980"/>
      <c r="V891" s="980"/>
      <c r="W891" s="980"/>
      <c r="X891" s="981"/>
    </row>
    <row r="892" spans="1:24" ht="25.5" customHeight="1" x14ac:dyDescent="0.25">
      <c r="A892" s="1989" t="s">
        <v>2810</v>
      </c>
      <c r="B892" s="1991" t="s">
        <v>3084</v>
      </c>
      <c r="C892" s="1996" t="s">
        <v>3083</v>
      </c>
      <c r="D892" s="953" t="s">
        <v>201</v>
      </c>
      <c r="E892" s="1307" t="s">
        <v>73</v>
      </c>
      <c r="F892" s="1307" t="s">
        <v>1785</v>
      </c>
      <c r="G892" s="1307" t="s">
        <v>1752</v>
      </c>
      <c r="H892" s="980"/>
      <c r="I892" s="980"/>
      <c r="J892" s="980"/>
      <c r="K892" s="980"/>
      <c r="L892" s="980">
        <v>-174225</v>
      </c>
      <c r="M892" s="980"/>
      <c r="N892" s="980"/>
      <c r="O892" s="980"/>
      <c r="P892" s="981"/>
      <c r="Q892" s="1449"/>
      <c r="R892" s="980"/>
      <c r="S892" s="980"/>
      <c r="T892" s="980"/>
      <c r="U892" s="980"/>
      <c r="V892" s="980"/>
      <c r="W892" s="980"/>
      <c r="X892" s="981"/>
    </row>
    <row r="893" spans="1:24" ht="25.5" customHeight="1" x14ac:dyDescent="0.25">
      <c r="A893" s="1990"/>
      <c r="B893" s="1992"/>
      <c r="C893" s="1996"/>
      <c r="D893" s="953" t="s">
        <v>203</v>
      </c>
      <c r="E893" s="1307" t="s">
        <v>1297</v>
      </c>
      <c r="F893" s="1307" t="s">
        <v>550</v>
      </c>
      <c r="G893" s="1307" t="s">
        <v>2032</v>
      </c>
      <c r="H893" s="980"/>
      <c r="I893" s="980"/>
      <c r="J893" s="980"/>
      <c r="K893" s="980"/>
      <c r="L893" s="980"/>
      <c r="M893" s="980"/>
      <c r="N893" s="980"/>
      <c r="O893" s="980"/>
      <c r="P893" s="981">
        <v>174225</v>
      </c>
      <c r="Q893" s="1449"/>
      <c r="R893" s="980"/>
      <c r="S893" s="980"/>
      <c r="T893" s="980"/>
      <c r="U893" s="980"/>
      <c r="V893" s="980"/>
      <c r="W893" s="980"/>
      <c r="X893" s="981"/>
    </row>
    <row r="894" spans="1:24" ht="17.25" customHeight="1" x14ac:dyDescent="0.25">
      <c r="A894" s="1989" t="s">
        <v>2814</v>
      </c>
      <c r="B894" s="1991" t="s">
        <v>3085</v>
      </c>
      <c r="C894" s="1985" t="s">
        <v>3086</v>
      </c>
      <c r="D894" s="953" t="s">
        <v>194</v>
      </c>
      <c r="E894" s="1307" t="s">
        <v>73</v>
      </c>
      <c r="F894" s="1307" t="s">
        <v>453</v>
      </c>
      <c r="G894" s="1307" t="s">
        <v>1766</v>
      </c>
      <c r="H894" s="980">
        <f>-370200+370200</f>
        <v>0</v>
      </c>
      <c r="I894" s="980">
        <v>-345462</v>
      </c>
      <c r="J894" s="980"/>
      <c r="K894" s="980"/>
      <c r="L894" s="980"/>
      <c r="M894" s="980"/>
      <c r="N894" s="980"/>
      <c r="O894" s="980"/>
      <c r="P894" s="981"/>
      <c r="Q894" s="1449"/>
      <c r="R894" s="980"/>
      <c r="S894" s="980"/>
      <c r="T894" s="980"/>
      <c r="U894" s="980"/>
      <c r="V894" s="980"/>
      <c r="W894" s="980"/>
      <c r="X894" s="981"/>
    </row>
    <row r="895" spans="1:24" ht="17.25" customHeight="1" x14ac:dyDescent="0.25">
      <c r="A895" s="1995"/>
      <c r="B895" s="1994"/>
      <c r="C895" s="1993"/>
      <c r="D895" s="953" t="s">
        <v>194</v>
      </c>
      <c r="E895" s="1307" t="s">
        <v>73</v>
      </c>
      <c r="F895" s="1307" t="s">
        <v>553</v>
      </c>
      <c r="G895" s="1307" t="s">
        <v>1766</v>
      </c>
      <c r="H895" s="980">
        <f>-1174259+1000000+161700+12559</f>
        <v>0</v>
      </c>
      <c r="I895" s="980"/>
      <c r="J895" s="980"/>
      <c r="K895" s="980"/>
      <c r="L895" s="980"/>
      <c r="M895" s="980"/>
      <c r="N895" s="980"/>
      <c r="O895" s="980"/>
      <c r="P895" s="981"/>
      <c r="Q895" s="1449"/>
      <c r="R895" s="980"/>
      <c r="S895" s="980"/>
      <c r="T895" s="980"/>
      <c r="U895" s="980"/>
      <c r="V895" s="980"/>
      <c r="W895" s="980"/>
      <c r="X895" s="981"/>
    </row>
    <row r="896" spans="1:24" ht="17.25" customHeight="1" x14ac:dyDescent="0.25">
      <c r="A896" s="1995"/>
      <c r="B896" s="1994"/>
      <c r="C896" s="1993"/>
      <c r="D896" s="953" t="s">
        <v>194</v>
      </c>
      <c r="E896" s="1307" t="s">
        <v>1940</v>
      </c>
      <c r="F896" s="1307" t="s">
        <v>2745</v>
      </c>
      <c r="G896" s="1307" t="s">
        <v>1754</v>
      </c>
      <c r="H896" s="980"/>
      <c r="I896" s="980">
        <v>262357</v>
      </c>
      <c r="J896" s="980"/>
      <c r="K896" s="980"/>
      <c r="L896" s="980"/>
      <c r="M896" s="980"/>
      <c r="N896" s="980"/>
      <c r="O896" s="980"/>
      <c r="P896" s="981"/>
      <c r="Q896" s="1449"/>
      <c r="R896" s="980"/>
      <c r="S896" s="980"/>
      <c r="T896" s="980"/>
      <c r="U896" s="980"/>
      <c r="V896" s="980"/>
      <c r="W896" s="980"/>
      <c r="X896" s="981"/>
    </row>
    <row r="897" spans="1:24" ht="17.25" customHeight="1" x14ac:dyDescent="0.25">
      <c r="A897" s="1995"/>
      <c r="B897" s="1994"/>
      <c r="C897" s="1993"/>
      <c r="D897" s="953" t="s">
        <v>194</v>
      </c>
      <c r="E897" s="1307" t="s">
        <v>609</v>
      </c>
      <c r="F897" s="1307" t="s">
        <v>455</v>
      </c>
      <c r="G897" s="1307" t="s">
        <v>1754</v>
      </c>
      <c r="H897" s="980">
        <f>600000+15600+450000</f>
        <v>1065600</v>
      </c>
      <c r="I897" s="980"/>
      <c r="J897" s="980"/>
      <c r="K897" s="980"/>
      <c r="L897" s="980"/>
      <c r="M897" s="980"/>
      <c r="N897" s="980"/>
      <c r="O897" s="980"/>
      <c r="P897" s="981"/>
      <c r="Q897" s="1449"/>
      <c r="R897" s="980"/>
      <c r="S897" s="980"/>
      <c r="T897" s="980"/>
      <c r="U897" s="980"/>
      <c r="V897" s="980"/>
      <c r="W897" s="980"/>
      <c r="X897" s="981"/>
    </row>
    <row r="898" spans="1:24" ht="17.25" customHeight="1" x14ac:dyDescent="0.25">
      <c r="A898" s="1995"/>
      <c r="B898" s="1994"/>
      <c r="C898" s="1993"/>
      <c r="D898" s="953" t="s">
        <v>194</v>
      </c>
      <c r="E898" s="1307" t="s">
        <v>130</v>
      </c>
      <c r="F898" s="1307" t="s">
        <v>457</v>
      </c>
      <c r="G898" s="1307" t="s">
        <v>1766</v>
      </c>
      <c r="H898" s="980">
        <f>-1062759+1000000+62759</f>
        <v>0</v>
      </c>
      <c r="I898" s="980"/>
      <c r="J898" s="980"/>
      <c r="K898" s="980"/>
      <c r="L898" s="980"/>
      <c r="M898" s="980"/>
      <c r="N898" s="980"/>
      <c r="O898" s="980"/>
      <c r="P898" s="981"/>
      <c r="Q898" s="1449"/>
      <c r="R898" s="980"/>
      <c r="S898" s="980"/>
      <c r="T898" s="980"/>
      <c r="U898" s="980"/>
      <c r="V898" s="980"/>
      <c r="W898" s="980"/>
      <c r="X898" s="981"/>
    </row>
    <row r="899" spans="1:24" ht="17.25" customHeight="1" x14ac:dyDescent="0.25">
      <c r="A899" s="1995"/>
      <c r="B899" s="1994"/>
      <c r="C899" s="1993"/>
      <c r="D899" s="953" t="s">
        <v>194</v>
      </c>
      <c r="E899" s="1307" t="s">
        <v>648</v>
      </c>
      <c r="F899" s="1307" t="s">
        <v>135</v>
      </c>
      <c r="G899" s="1307" t="s">
        <v>1766</v>
      </c>
      <c r="H899" s="980">
        <f>-700000+700000</f>
        <v>0</v>
      </c>
      <c r="I899" s="980"/>
      <c r="J899" s="980"/>
      <c r="K899" s="980"/>
      <c r="L899" s="980"/>
      <c r="M899" s="980"/>
      <c r="N899" s="980"/>
      <c r="O899" s="980"/>
      <c r="P899" s="981"/>
      <c r="Q899" s="1449"/>
      <c r="R899" s="980"/>
      <c r="S899" s="980"/>
      <c r="T899" s="980"/>
      <c r="U899" s="980"/>
      <c r="V899" s="980"/>
      <c r="W899" s="980"/>
      <c r="X899" s="981"/>
    </row>
    <row r="900" spans="1:24" ht="17.25" customHeight="1" x14ac:dyDescent="0.25">
      <c r="A900" s="1995"/>
      <c r="B900" s="1994"/>
      <c r="C900" s="1993"/>
      <c r="D900" s="953" t="s">
        <v>194</v>
      </c>
      <c r="E900" s="1307" t="s">
        <v>557</v>
      </c>
      <c r="F900" s="1307" t="s">
        <v>460</v>
      </c>
      <c r="G900" s="1307" t="s">
        <v>1766</v>
      </c>
      <c r="H900" s="980">
        <f>-668000+650000+18000</f>
        <v>0</v>
      </c>
      <c r="I900" s="980">
        <v>11486</v>
      </c>
      <c r="J900" s="980"/>
      <c r="K900" s="980"/>
      <c r="L900" s="980"/>
      <c r="M900" s="980"/>
      <c r="N900" s="980"/>
      <c r="O900" s="980"/>
      <c r="P900" s="981"/>
      <c r="Q900" s="1449"/>
      <c r="R900" s="980"/>
      <c r="S900" s="980"/>
      <c r="T900" s="980"/>
      <c r="U900" s="980"/>
      <c r="V900" s="980"/>
      <c r="W900" s="980"/>
      <c r="X900" s="981"/>
    </row>
    <row r="901" spans="1:24" ht="17.25" customHeight="1" x14ac:dyDescent="0.25">
      <c r="A901" s="1995"/>
      <c r="B901" s="1994"/>
      <c r="C901" s="1993"/>
      <c r="D901" s="953" t="s">
        <v>194</v>
      </c>
      <c r="E901" s="1307" t="s">
        <v>557</v>
      </c>
      <c r="F901" s="1307" t="s">
        <v>462</v>
      </c>
      <c r="G901" s="1307" t="s">
        <v>1766</v>
      </c>
      <c r="H901" s="980">
        <f>-3722514+3700000+54000+30000</f>
        <v>61486</v>
      </c>
      <c r="I901" s="980"/>
      <c r="J901" s="980"/>
      <c r="K901" s="980"/>
      <c r="L901" s="980"/>
      <c r="M901" s="980"/>
      <c r="N901" s="980"/>
      <c r="O901" s="980"/>
      <c r="P901" s="981"/>
      <c r="Q901" s="1449"/>
      <c r="R901" s="980"/>
      <c r="S901" s="980"/>
      <c r="T901" s="980"/>
      <c r="U901" s="980"/>
      <c r="V901" s="980"/>
      <c r="W901" s="980"/>
      <c r="X901" s="981"/>
    </row>
    <row r="902" spans="1:24" ht="17.25" customHeight="1" x14ac:dyDescent="0.25">
      <c r="A902" s="1995"/>
      <c r="B902" s="1994"/>
      <c r="C902" s="1993"/>
      <c r="D902" s="953" t="s">
        <v>194</v>
      </c>
      <c r="E902" s="1307" t="s">
        <v>1758</v>
      </c>
      <c r="F902" s="1307" t="s">
        <v>1449</v>
      </c>
      <c r="G902" s="1307" t="s">
        <v>1752</v>
      </c>
      <c r="H902" s="980">
        <v>-1065600</v>
      </c>
      <c r="I902" s="980"/>
      <c r="J902" s="980"/>
      <c r="K902" s="980"/>
      <c r="L902" s="980"/>
      <c r="M902" s="980"/>
      <c r="N902" s="980"/>
      <c r="O902" s="980"/>
      <c r="P902" s="981"/>
      <c r="Q902" s="1449"/>
      <c r="R902" s="980"/>
      <c r="S902" s="980"/>
      <c r="T902" s="980"/>
      <c r="U902" s="980"/>
      <c r="V902" s="980"/>
      <c r="W902" s="980"/>
      <c r="X902" s="981"/>
    </row>
    <row r="903" spans="1:24" ht="17.25" customHeight="1" x14ac:dyDescent="0.25">
      <c r="A903" s="1995"/>
      <c r="B903" s="1994"/>
      <c r="C903" s="1993"/>
      <c r="D903" s="953" t="s">
        <v>194</v>
      </c>
      <c r="E903" s="1307" t="s">
        <v>1940</v>
      </c>
      <c r="F903" s="1307" t="s">
        <v>1939</v>
      </c>
      <c r="G903" s="1307" t="s">
        <v>1754</v>
      </c>
      <c r="H903" s="980"/>
      <c r="I903" s="980">
        <v>60133</v>
      </c>
      <c r="J903" s="980"/>
      <c r="K903" s="980"/>
      <c r="L903" s="980"/>
      <c r="M903" s="980"/>
      <c r="N903" s="980"/>
      <c r="O903" s="980"/>
      <c r="P903" s="981"/>
      <c r="Q903" s="1449"/>
      <c r="R903" s="980"/>
      <c r="S903" s="980"/>
      <c r="T903" s="980"/>
      <c r="U903" s="980"/>
      <c r="V903" s="980"/>
      <c r="W903" s="980"/>
      <c r="X903" s="981"/>
    </row>
    <row r="904" spans="1:24" ht="17.25" customHeight="1" x14ac:dyDescent="0.25">
      <c r="A904" s="1990"/>
      <c r="B904" s="1992"/>
      <c r="C904" s="1986"/>
      <c r="D904" s="953" t="s">
        <v>194</v>
      </c>
      <c r="E904" s="1307" t="s">
        <v>62</v>
      </c>
      <c r="F904" s="1307" t="s">
        <v>541</v>
      </c>
      <c r="G904" s="1307" t="s">
        <v>1766</v>
      </c>
      <c r="H904" s="980">
        <f>-2971594+2877049+44545</f>
        <v>-50000</v>
      </c>
      <c r="I904" s="980"/>
      <c r="J904" s="980"/>
      <c r="K904" s="980"/>
      <c r="L904" s="980"/>
      <c r="M904" s="980"/>
      <c r="N904" s="980"/>
      <c r="O904" s="980"/>
      <c r="P904" s="981"/>
      <c r="Q904" s="1449"/>
      <c r="R904" s="980"/>
      <c r="S904" s="980"/>
      <c r="T904" s="980"/>
      <c r="U904" s="980"/>
      <c r="V904" s="980"/>
      <c r="W904" s="980"/>
      <c r="X904" s="981"/>
    </row>
    <row r="905" spans="1:24" ht="24" customHeight="1" x14ac:dyDescent="0.25">
      <c r="A905" s="1488" t="s">
        <v>2816</v>
      </c>
      <c r="B905" s="1486" t="s">
        <v>3087</v>
      </c>
      <c r="C905" s="1259" t="s">
        <v>3088</v>
      </c>
      <c r="D905" s="953" t="s">
        <v>194</v>
      </c>
      <c r="E905" s="1307" t="s">
        <v>1753</v>
      </c>
      <c r="F905" s="1307" t="s">
        <v>1784</v>
      </c>
      <c r="G905" s="1307" t="s">
        <v>1754</v>
      </c>
      <c r="H905" s="980"/>
      <c r="I905" s="980"/>
      <c r="J905" s="980"/>
      <c r="K905" s="980"/>
      <c r="L905" s="980"/>
      <c r="M905" s="980"/>
      <c r="N905" s="980"/>
      <c r="O905" s="980"/>
      <c r="P905" s="981">
        <v>107109604</v>
      </c>
      <c r="Q905" s="1449"/>
      <c r="R905" s="980"/>
      <c r="S905" s="980"/>
      <c r="T905" s="980"/>
      <c r="U905" s="980"/>
      <c r="V905" s="980"/>
      <c r="W905" s="980"/>
      <c r="X905" s="981">
        <v>107109604</v>
      </c>
    </row>
    <row r="906" spans="1:24" ht="30" customHeight="1" x14ac:dyDescent="0.25">
      <c r="A906" s="1989" t="s">
        <v>2818</v>
      </c>
      <c r="B906" s="1991" t="s">
        <v>3089</v>
      </c>
      <c r="C906" s="1996" t="s">
        <v>3090</v>
      </c>
      <c r="D906" s="953" t="s">
        <v>201</v>
      </c>
      <c r="E906" s="1307" t="s">
        <v>73</v>
      </c>
      <c r="F906" s="1307" t="s">
        <v>1785</v>
      </c>
      <c r="G906" s="1307" t="s">
        <v>1752</v>
      </c>
      <c r="H906" s="980"/>
      <c r="I906" s="980"/>
      <c r="J906" s="980"/>
      <c r="K906" s="980"/>
      <c r="L906" s="980">
        <v>-12763500</v>
      </c>
      <c r="M906" s="980"/>
      <c r="N906" s="980"/>
      <c r="O906" s="980"/>
      <c r="P906" s="981"/>
      <c r="Q906" s="1449"/>
      <c r="R906" s="980"/>
      <c r="S906" s="980"/>
      <c r="T906" s="980"/>
      <c r="U906" s="980"/>
      <c r="V906" s="980"/>
      <c r="W906" s="980"/>
      <c r="X906" s="981"/>
    </row>
    <row r="907" spans="1:24" ht="30" customHeight="1" x14ac:dyDescent="0.25">
      <c r="A907" s="1990"/>
      <c r="B907" s="1992"/>
      <c r="C907" s="1996"/>
      <c r="D907" s="953" t="s">
        <v>199</v>
      </c>
      <c r="E907" s="1307" t="s">
        <v>561</v>
      </c>
      <c r="F907" s="1307" t="s">
        <v>866</v>
      </c>
      <c r="G907" s="1307" t="s">
        <v>1754</v>
      </c>
      <c r="H907" s="980"/>
      <c r="I907" s="980"/>
      <c r="J907" s="980"/>
      <c r="K907" s="980"/>
      <c r="L907" s="980"/>
      <c r="M907" s="980">
        <f>10050000+2713500</f>
        <v>12763500</v>
      </c>
      <c r="N907" s="980"/>
      <c r="O907" s="980"/>
      <c r="P907" s="981"/>
      <c r="Q907" s="1449"/>
      <c r="R907" s="980"/>
      <c r="S907" s="980"/>
      <c r="T907" s="980"/>
      <c r="U907" s="980"/>
      <c r="V907" s="980"/>
      <c r="W907" s="980"/>
      <c r="X907" s="981"/>
    </row>
    <row r="908" spans="1:24" ht="23.25" customHeight="1" x14ac:dyDescent="0.25">
      <c r="A908" s="1989" t="s">
        <v>2821</v>
      </c>
      <c r="B908" s="1991" t="s">
        <v>3091</v>
      </c>
      <c r="C908" s="1996" t="s">
        <v>3092</v>
      </c>
      <c r="D908" s="953" t="s">
        <v>201</v>
      </c>
      <c r="E908" s="1307" t="s">
        <v>73</v>
      </c>
      <c r="F908" s="1307" t="s">
        <v>1785</v>
      </c>
      <c r="G908" s="1307" t="s">
        <v>1752</v>
      </c>
      <c r="H908" s="980"/>
      <c r="I908" s="980"/>
      <c r="J908" s="980"/>
      <c r="K908" s="980"/>
      <c r="L908" s="980">
        <v>-682101</v>
      </c>
      <c r="M908" s="980"/>
      <c r="N908" s="980"/>
      <c r="O908" s="980"/>
      <c r="P908" s="981"/>
      <c r="Q908" s="1449"/>
      <c r="R908" s="980"/>
      <c r="S908" s="980"/>
      <c r="T908" s="980"/>
      <c r="U908" s="980"/>
      <c r="V908" s="980"/>
      <c r="W908" s="980"/>
      <c r="X908" s="981"/>
    </row>
    <row r="909" spans="1:24" ht="23.25" customHeight="1" x14ac:dyDescent="0.25">
      <c r="A909" s="1990"/>
      <c r="B909" s="1992"/>
      <c r="C909" s="1996"/>
      <c r="D909" s="953" t="s">
        <v>203</v>
      </c>
      <c r="E909" s="1307" t="s">
        <v>1297</v>
      </c>
      <c r="F909" s="1307" t="s">
        <v>550</v>
      </c>
      <c r="G909" s="1307" t="s">
        <v>1754</v>
      </c>
      <c r="H909" s="980"/>
      <c r="I909" s="980"/>
      <c r="J909" s="980"/>
      <c r="K909" s="980"/>
      <c r="L909" s="980"/>
      <c r="M909" s="980"/>
      <c r="N909" s="980"/>
      <c r="O909" s="980"/>
      <c r="P909" s="981">
        <v>682101</v>
      </c>
      <c r="Q909" s="1449"/>
      <c r="R909" s="980"/>
      <c r="S909" s="980"/>
      <c r="T909" s="980"/>
      <c r="U909" s="980"/>
      <c r="V909" s="980"/>
      <c r="W909" s="980"/>
      <c r="X909" s="981"/>
    </row>
    <row r="910" spans="1:24" ht="23.25" customHeight="1" x14ac:dyDescent="0.25">
      <c r="A910" s="1989" t="s">
        <v>2823</v>
      </c>
      <c r="B910" s="1991" t="s">
        <v>3093</v>
      </c>
      <c r="C910" s="1996" t="s">
        <v>3094</v>
      </c>
      <c r="D910" s="953" t="s">
        <v>201</v>
      </c>
      <c r="E910" s="1307" t="s">
        <v>73</v>
      </c>
      <c r="F910" s="1307" t="s">
        <v>1785</v>
      </c>
      <c r="G910" s="1307" t="s">
        <v>1752</v>
      </c>
      <c r="H910" s="980"/>
      <c r="I910" s="980"/>
      <c r="J910" s="980"/>
      <c r="K910" s="980"/>
      <c r="L910" s="980">
        <v>-8265</v>
      </c>
      <c r="M910" s="980"/>
      <c r="N910" s="980"/>
      <c r="O910" s="980"/>
      <c r="P910" s="981"/>
      <c r="Q910" s="1449"/>
      <c r="R910" s="980"/>
      <c r="S910" s="980"/>
      <c r="T910" s="980"/>
      <c r="U910" s="980"/>
      <c r="V910" s="980"/>
      <c r="W910" s="980"/>
      <c r="X910" s="981"/>
    </row>
    <row r="911" spans="1:24" ht="23.25" customHeight="1" x14ac:dyDescent="0.25">
      <c r="A911" s="1990"/>
      <c r="B911" s="1992"/>
      <c r="C911" s="1996"/>
      <c r="D911" s="953" t="s">
        <v>200</v>
      </c>
      <c r="E911" s="1307" t="s">
        <v>641</v>
      </c>
      <c r="F911" s="1307" t="s">
        <v>133</v>
      </c>
      <c r="G911" s="1307" t="s">
        <v>1754</v>
      </c>
      <c r="H911" s="980"/>
      <c r="I911" s="980"/>
      <c r="J911" s="980"/>
      <c r="K911" s="980"/>
      <c r="L911" s="980"/>
      <c r="M911" s="980"/>
      <c r="N911" s="980">
        <f>6508+1757</f>
        <v>8265</v>
      </c>
      <c r="O911" s="980"/>
      <c r="P911" s="981"/>
      <c r="Q911" s="1449"/>
      <c r="R911" s="980"/>
      <c r="S911" s="980"/>
      <c r="T911" s="980"/>
      <c r="U911" s="980"/>
      <c r="V911" s="980"/>
      <c r="W911" s="980"/>
      <c r="X911" s="981"/>
    </row>
    <row r="912" spans="1:24" ht="30" customHeight="1" x14ac:dyDescent="0.25">
      <c r="A912" s="1989" t="s">
        <v>2826</v>
      </c>
      <c r="B912" s="1991" t="s">
        <v>3095</v>
      </c>
      <c r="C912" s="1996" t="s">
        <v>3096</v>
      </c>
      <c r="D912" s="953" t="s">
        <v>201</v>
      </c>
      <c r="E912" s="1307" t="s">
        <v>73</v>
      </c>
      <c r="F912" s="1307" t="s">
        <v>1785</v>
      </c>
      <c r="G912" s="1307" t="s">
        <v>1752</v>
      </c>
      <c r="H912" s="980"/>
      <c r="I912" s="980"/>
      <c r="J912" s="980"/>
      <c r="K912" s="980"/>
      <c r="L912" s="980">
        <v>-44450</v>
      </c>
      <c r="M912" s="980"/>
      <c r="N912" s="980"/>
      <c r="O912" s="980"/>
      <c r="P912" s="981"/>
      <c r="Q912" s="1449"/>
      <c r="R912" s="980"/>
      <c r="S912" s="980"/>
      <c r="T912" s="980"/>
      <c r="U912" s="980"/>
      <c r="V912" s="980"/>
      <c r="W912" s="980"/>
      <c r="X912" s="981"/>
    </row>
    <row r="913" spans="1:24" ht="30" customHeight="1" x14ac:dyDescent="0.25">
      <c r="A913" s="1990"/>
      <c r="B913" s="1992"/>
      <c r="C913" s="1996"/>
      <c r="D913" s="953" t="s">
        <v>199</v>
      </c>
      <c r="E913" s="1307" t="s">
        <v>561</v>
      </c>
      <c r="F913" s="1307" t="s">
        <v>866</v>
      </c>
      <c r="G913" s="1307" t="s">
        <v>1754</v>
      </c>
      <c r="H913" s="980"/>
      <c r="I913" s="980"/>
      <c r="J913" s="980"/>
      <c r="K913" s="980"/>
      <c r="L913" s="980"/>
      <c r="M913" s="980">
        <f>35000+9450</f>
        <v>44450</v>
      </c>
      <c r="N913" s="980"/>
      <c r="O913" s="980"/>
      <c r="P913" s="981"/>
      <c r="Q913" s="1449"/>
      <c r="R913" s="980"/>
      <c r="S913" s="980"/>
      <c r="T913" s="980"/>
      <c r="U913" s="980"/>
      <c r="V913" s="980"/>
      <c r="W913" s="980"/>
      <c r="X913" s="981"/>
    </row>
    <row r="914" spans="1:24" ht="31.5" customHeight="1" x14ac:dyDescent="0.25">
      <c r="A914" s="1989" t="s">
        <v>3097</v>
      </c>
      <c r="B914" s="1991" t="s">
        <v>3098</v>
      </c>
      <c r="C914" s="1985" t="s">
        <v>3145</v>
      </c>
      <c r="D914" s="953" t="s">
        <v>199</v>
      </c>
      <c r="E914" s="1307" t="s">
        <v>561</v>
      </c>
      <c r="F914" s="1307" t="s">
        <v>866</v>
      </c>
      <c r="G914" s="1307" t="s">
        <v>1752</v>
      </c>
      <c r="H914" s="980"/>
      <c r="I914" s="980"/>
      <c r="J914" s="980"/>
      <c r="K914" s="980"/>
      <c r="L914" s="980"/>
      <c r="M914" s="980">
        <v>-120767389</v>
      </c>
      <c r="N914" s="980"/>
      <c r="O914" s="980"/>
      <c r="P914" s="981"/>
      <c r="Q914" s="1449"/>
      <c r="R914" s="980"/>
      <c r="S914" s="980"/>
      <c r="T914" s="980"/>
      <c r="U914" s="980"/>
      <c r="V914" s="980"/>
      <c r="W914" s="980"/>
      <c r="X914" s="981"/>
    </row>
    <row r="915" spans="1:24" ht="31.5" customHeight="1" x14ac:dyDescent="0.25">
      <c r="A915" s="1990"/>
      <c r="B915" s="1992"/>
      <c r="C915" s="1986"/>
      <c r="D915" s="953" t="s">
        <v>194</v>
      </c>
      <c r="E915" s="1307" t="s">
        <v>561</v>
      </c>
      <c r="F915" s="1307" t="s">
        <v>866</v>
      </c>
      <c r="G915" s="1307" t="s">
        <v>1754</v>
      </c>
      <c r="H915" s="980"/>
      <c r="I915" s="980"/>
      <c r="J915" s="980">
        <v>120767389</v>
      </c>
      <c r="K915" s="980"/>
      <c r="L915" s="980"/>
      <c r="M915" s="980"/>
      <c r="N915" s="980"/>
      <c r="O915" s="980"/>
      <c r="P915" s="981"/>
      <c r="Q915" s="1449"/>
      <c r="R915" s="980"/>
      <c r="S915" s="980"/>
      <c r="T915" s="980"/>
      <c r="U915" s="980"/>
      <c r="V915" s="980"/>
      <c r="W915" s="980"/>
      <c r="X915" s="981"/>
    </row>
    <row r="916" spans="1:24" ht="30.75" customHeight="1" x14ac:dyDescent="0.25">
      <c r="A916" s="1989" t="s">
        <v>2829</v>
      </c>
      <c r="B916" s="1991" t="s">
        <v>3100</v>
      </c>
      <c r="C916" s="1996" t="s">
        <v>3101</v>
      </c>
      <c r="D916" s="953" t="s">
        <v>201</v>
      </c>
      <c r="E916" s="1307" t="s">
        <v>73</v>
      </c>
      <c r="F916" s="1307" t="s">
        <v>1785</v>
      </c>
      <c r="G916" s="1307" t="s">
        <v>1752</v>
      </c>
      <c r="H916" s="980"/>
      <c r="I916" s="980"/>
      <c r="J916" s="980"/>
      <c r="K916" s="980"/>
      <c r="L916" s="980">
        <v>-209550</v>
      </c>
      <c r="M916" s="980"/>
      <c r="N916" s="980"/>
      <c r="O916" s="980"/>
      <c r="P916" s="981"/>
      <c r="Q916" s="1449"/>
      <c r="R916" s="980"/>
      <c r="S916" s="980"/>
      <c r="T916" s="980"/>
      <c r="U916" s="980"/>
      <c r="V916" s="980"/>
      <c r="W916" s="980"/>
      <c r="X916" s="981"/>
    </row>
    <row r="917" spans="1:24" ht="30.75" customHeight="1" x14ac:dyDescent="0.25">
      <c r="A917" s="1990"/>
      <c r="B917" s="1992"/>
      <c r="C917" s="1996"/>
      <c r="D917" s="953" t="s">
        <v>194</v>
      </c>
      <c r="E917" s="1307" t="s">
        <v>561</v>
      </c>
      <c r="F917" s="1307" t="s">
        <v>867</v>
      </c>
      <c r="G917" s="1307" t="s">
        <v>1754</v>
      </c>
      <c r="H917" s="980"/>
      <c r="I917" s="980"/>
      <c r="J917" s="980">
        <f>165000+44550</f>
        <v>209550</v>
      </c>
      <c r="K917" s="980"/>
      <c r="L917" s="980"/>
      <c r="M917" s="980"/>
      <c r="N917" s="980"/>
      <c r="O917" s="980"/>
      <c r="P917" s="981"/>
      <c r="Q917" s="1449"/>
      <c r="R917" s="980"/>
      <c r="S917" s="980"/>
      <c r="T917" s="980"/>
      <c r="U917" s="980"/>
      <c r="V917" s="980"/>
      <c r="W917" s="980"/>
      <c r="X917" s="981"/>
    </row>
    <row r="918" spans="1:24" ht="27" customHeight="1" x14ac:dyDescent="0.25">
      <c r="A918" s="1989" t="s">
        <v>2832</v>
      </c>
      <c r="B918" s="1991" t="s">
        <v>3102</v>
      </c>
      <c r="C918" s="1996" t="s">
        <v>3103</v>
      </c>
      <c r="D918" s="953" t="s">
        <v>201</v>
      </c>
      <c r="E918" s="1307" t="s">
        <v>73</v>
      </c>
      <c r="F918" s="1307" t="s">
        <v>1785</v>
      </c>
      <c r="G918" s="1307" t="s">
        <v>1752</v>
      </c>
      <c r="H918" s="980"/>
      <c r="I918" s="980"/>
      <c r="J918" s="980"/>
      <c r="K918" s="980"/>
      <c r="L918" s="980">
        <v>-445135</v>
      </c>
      <c r="M918" s="980"/>
      <c r="N918" s="980"/>
      <c r="O918" s="980"/>
      <c r="P918" s="981"/>
      <c r="Q918" s="1449"/>
      <c r="R918" s="980"/>
      <c r="S918" s="980"/>
      <c r="T918" s="980"/>
      <c r="U918" s="980"/>
      <c r="V918" s="980"/>
      <c r="W918" s="980"/>
      <c r="X918" s="981"/>
    </row>
    <row r="919" spans="1:24" ht="27" customHeight="1" x14ac:dyDescent="0.25">
      <c r="A919" s="1990"/>
      <c r="B919" s="1992"/>
      <c r="C919" s="1996"/>
      <c r="D919" s="953" t="s">
        <v>203</v>
      </c>
      <c r="E919" s="1307" t="s">
        <v>1297</v>
      </c>
      <c r="F919" s="1307" t="s">
        <v>550</v>
      </c>
      <c r="G919" s="1307" t="s">
        <v>1754</v>
      </c>
      <c r="H919" s="980"/>
      <c r="I919" s="980"/>
      <c r="J919" s="980"/>
      <c r="K919" s="980"/>
      <c r="L919" s="980"/>
      <c r="M919" s="980"/>
      <c r="N919" s="980"/>
      <c r="O919" s="980"/>
      <c r="P919" s="981">
        <v>445135</v>
      </c>
      <c r="Q919" s="1449"/>
      <c r="R919" s="980"/>
      <c r="S919" s="980"/>
      <c r="T919" s="980"/>
      <c r="U919" s="980"/>
      <c r="V919" s="980"/>
      <c r="W919" s="980"/>
      <c r="X919" s="981"/>
    </row>
    <row r="920" spans="1:24" ht="26.25" customHeight="1" x14ac:dyDescent="0.25">
      <c r="A920" s="1989" t="s">
        <v>2835</v>
      </c>
      <c r="B920" s="1991" t="s">
        <v>3111</v>
      </c>
      <c r="C920" s="1996" t="s">
        <v>3112</v>
      </c>
      <c r="D920" s="953" t="s">
        <v>201</v>
      </c>
      <c r="E920" s="1307" t="s">
        <v>73</v>
      </c>
      <c r="F920" s="1307" t="s">
        <v>1785</v>
      </c>
      <c r="G920" s="1307" t="s">
        <v>1752</v>
      </c>
      <c r="H920" s="980"/>
      <c r="I920" s="980"/>
      <c r="J920" s="980"/>
      <c r="K920" s="980"/>
      <c r="L920" s="980">
        <v>-14962632</v>
      </c>
      <c r="M920" s="980"/>
      <c r="N920" s="980"/>
      <c r="O920" s="980"/>
      <c r="P920" s="981"/>
      <c r="Q920" s="1449"/>
      <c r="R920" s="980"/>
      <c r="S920" s="980"/>
      <c r="T920" s="980"/>
      <c r="U920" s="980"/>
      <c r="V920" s="980"/>
      <c r="W920" s="980"/>
      <c r="X920" s="981"/>
    </row>
    <row r="921" spans="1:24" ht="26.25" customHeight="1" x14ac:dyDescent="0.25">
      <c r="A921" s="1990"/>
      <c r="B921" s="1992"/>
      <c r="C921" s="1996"/>
      <c r="D921" s="953" t="s">
        <v>203</v>
      </c>
      <c r="E921" s="1307" t="s">
        <v>1297</v>
      </c>
      <c r="F921" s="1307" t="s">
        <v>550</v>
      </c>
      <c r="G921" s="1307" t="s">
        <v>1754</v>
      </c>
      <c r="H921" s="980"/>
      <c r="I921" s="980"/>
      <c r="J921" s="980"/>
      <c r="K921" s="980"/>
      <c r="L921" s="980"/>
      <c r="M921" s="980"/>
      <c r="N921" s="980"/>
      <c r="O921" s="980"/>
      <c r="P921" s="981">
        <v>14962632</v>
      </c>
      <c r="Q921" s="1449"/>
      <c r="R921" s="980"/>
      <c r="S921" s="980"/>
      <c r="T921" s="980"/>
      <c r="U921" s="980"/>
      <c r="V921" s="980"/>
      <c r="W921" s="980"/>
      <c r="X921" s="981"/>
    </row>
    <row r="922" spans="1:24" ht="31.5" customHeight="1" x14ac:dyDescent="0.25">
      <c r="A922" s="1989" t="s">
        <v>2837</v>
      </c>
      <c r="B922" s="1991" t="s">
        <v>3113</v>
      </c>
      <c r="C922" s="1996" t="s">
        <v>3114</v>
      </c>
      <c r="D922" s="953" t="s">
        <v>201</v>
      </c>
      <c r="E922" s="1307" t="s">
        <v>73</v>
      </c>
      <c r="F922" s="1307" t="s">
        <v>1785</v>
      </c>
      <c r="G922" s="1307" t="s">
        <v>1752</v>
      </c>
      <c r="H922" s="980"/>
      <c r="I922" s="980"/>
      <c r="J922" s="980"/>
      <c r="K922" s="980"/>
      <c r="L922" s="980">
        <v>-380000</v>
      </c>
      <c r="M922" s="980"/>
      <c r="N922" s="980"/>
      <c r="O922" s="980"/>
      <c r="P922" s="981"/>
      <c r="Q922" s="1449"/>
      <c r="R922" s="980"/>
      <c r="S922" s="980"/>
      <c r="T922" s="980"/>
      <c r="U922" s="980"/>
      <c r="V922" s="980"/>
      <c r="W922" s="980"/>
      <c r="X922" s="981"/>
    </row>
    <row r="923" spans="1:24" ht="31.5" customHeight="1" x14ac:dyDescent="0.25">
      <c r="A923" s="1990"/>
      <c r="B923" s="1992"/>
      <c r="C923" s="1996"/>
      <c r="D923" s="953" t="s">
        <v>203</v>
      </c>
      <c r="E923" s="1307" t="s">
        <v>1297</v>
      </c>
      <c r="F923" s="1307" t="s">
        <v>550</v>
      </c>
      <c r="G923" s="1307" t="s">
        <v>1754</v>
      </c>
      <c r="H923" s="980"/>
      <c r="I923" s="980"/>
      <c r="J923" s="980"/>
      <c r="K923" s="980"/>
      <c r="L923" s="980"/>
      <c r="M923" s="980"/>
      <c r="N923" s="980"/>
      <c r="O923" s="980"/>
      <c r="P923" s="981">
        <v>380000</v>
      </c>
      <c r="Q923" s="1449"/>
      <c r="R923" s="980"/>
      <c r="S923" s="980"/>
      <c r="T923" s="980"/>
      <c r="U923" s="980"/>
      <c r="V923" s="980"/>
      <c r="W923" s="980"/>
      <c r="X923" s="981"/>
    </row>
    <row r="924" spans="1:24" ht="19.5" customHeight="1" x14ac:dyDescent="0.25">
      <c r="A924" s="1989" t="s">
        <v>2839</v>
      </c>
      <c r="B924" s="1991" t="s">
        <v>3121</v>
      </c>
      <c r="C924" s="1985" t="s">
        <v>3122</v>
      </c>
      <c r="D924" s="953" t="s">
        <v>201</v>
      </c>
      <c r="E924" s="1307" t="s">
        <v>73</v>
      </c>
      <c r="F924" s="1307" t="s">
        <v>1785</v>
      </c>
      <c r="G924" s="1307" t="s">
        <v>1752</v>
      </c>
      <c r="H924" s="980"/>
      <c r="I924" s="980"/>
      <c r="J924" s="980"/>
      <c r="K924" s="980"/>
      <c r="L924" s="980">
        <v>-200000</v>
      </c>
      <c r="M924" s="980"/>
      <c r="N924" s="980"/>
      <c r="O924" s="980"/>
      <c r="P924" s="981"/>
      <c r="Q924" s="1449"/>
      <c r="R924" s="980"/>
      <c r="S924" s="980"/>
      <c r="T924" s="980"/>
      <c r="U924" s="980"/>
      <c r="V924" s="980"/>
      <c r="W924" s="980"/>
      <c r="X924" s="981"/>
    </row>
    <row r="925" spans="1:24" ht="19.5" customHeight="1" x14ac:dyDescent="0.25">
      <c r="A925" s="1990"/>
      <c r="B925" s="1992"/>
      <c r="C925" s="1986"/>
      <c r="D925" s="953" t="s">
        <v>194</v>
      </c>
      <c r="E925" s="1307" t="s">
        <v>169</v>
      </c>
      <c r="F925" s="1307" t="s">
        <v>1888</v>
      </c>
      <c r="G925" s="1307" t="s">
        <v>1754</v>
      </c>
      <c r="H925" s="980"/>
      <c r="I925" s="980"/>
      <c r="J925" s="980">
        <v>200000</v>
      </c>
      <c r="K925" s="980"/>
      <c r="L925" s="980"/>
      <c r="M925" s="980"/>
      <c r="N925" s="980"/>
      <c r="O925" s="980"/>
      <c r="P925" s="981"/>
      <c r="Q925" s="1449"/>
      <c r="R925" s="980"/>
      <c r="S925" s="980"/>
      <c r="T925" s="980"/>
      <c r="U925" s="980"/>
      <c r="V925" s="980"/>
      <c r="W925" s="980"/>
      <c r="X925" s="981"/>
    </row>
    <row r="926" spans="1:24" ht="32.25" customHeight="1" x14ac:dyDescent="0.25">
      <c r="A926" s="1481" t="s">
        <v>2846</v>
      </c>
      <c r="B926" s="1483" t="s">
        <v>3123</v>
      </c>
      <c r="C926" s="1482" t="s">
        <v>3124</v>
      </c>
      <c r="D926" s="953" t="s">
        <v>194</v>
      </c>
      <c r="E926" s="1307" t="s">
        <v>557</v>
      </c>
      <c r="F926" s="1307" t="s">
        <v>462</v>
      </c>
      <c r="G926" s="1307" t="s">
        <v>1754</v>
      </c>
      <c r="H926" s="980"/>
      <c r="I926" s="980"/>
      <c r="J926" s="980">
        <v>1500000</v>
      </c>
      <c r="K926" s="980"/>
      <c r="L926" s="980"/>
      <c r="M926" s="980"/>
      <c r="N926" s="980"/>
      <c r="O926" s="980"/>
      <c r="P926" s="981"/>
      <c r="Q926" s="1449"/>
      <c r="R926" s="980"/>
      <c r="S926" s="980"/>
      <c r="T926" s="980">
        <v>1500000</v>
      </c>
      <c r="U926" s="980"/>
      <c r="V926" s="980"/>
      <c r="W926" s="980"/>
      <c r="X926" s="981"/>
    </row>
    <row r="927" spans="1:24" ht="48" customHeight="1" x14ac:dyDescent="0.25">
      <c r="A927" s="1481" t="s">
        <v>2849</v>
      </c>
      <c r="B927" s="1483" t="s">
        <v>3128</v>
      </c>
      <c r="C927" s="1482" t="s">
        <v>3129</v>
      </c>
      <c r="D927" s="953" t="s">
        <v>200</v>
      </c>
      <c r="E927" s="1307" t="s">
        <v>641</v>
      </c>
      <c r="F927" s="1307" t="s">
        <v>133</v>
      </c>
      <c r="G927" s="1307" t="s">
        <v>1766</v>
      </c>
      <c r="H927" s="980"/>
      <c r="I927" s="980"/>
      <c r="J927" s="980"/>
      <c r="K927" s="980"/>
      <c r="L927" s="980"/>
      <c r="M927" s="980"/>
      <c r="N927" s="980">
        <f>-1+1</f>
        <v>0</v>
      </c>
      <c r="O927" s="980"/>
      <c r="P927" s="981"/>
      <c r="Q927" s="1449"/>
      <c r="R927" s="980"/>
      <c r="S927" s="980"/>
      <c r="T927" s="980"/>
      <c r="U927" s="980"/>
      <c r="V927" s="980"/>
      <c r="W927" s="980"/>
      <c r="X927" s="981"/>
    </row>
    <row r="928" spans="1:24" ht="32.25" customHeight="1" x14ac:dyDescent="0.25">
      <c r="A928" s="1989" t="s">
        <v>2855</v>
      </c>
      <c r="B928" s="1991" t="s">
        <v>3130</v>
      </c>
      <c r="C928" s="1985" t="s">
        <v>3131</v>
      </c>
      <c r="D928" s="953" t="s">
        <v>200</v>
      </c>
      <c r="E928" s="1307" t="s">
        <v>641</v>
      </c>
      <c r="F928" s="1307" t="s">
        <v>133</v>
      </c>
      <c r="G928" s="1307" t="s">
        <v>1752</v>
      </c>
      <c r="H928" s="980"/>
      <c r="I928" s="980"/>
      <c r="J928" s="980"/>
      <c r="K928" s="980"/>
      <c r="L928" s="980"/>
      <c r="M928" s="980"/>
      <c r="N928" s="980">
        <f>-1224201-330534</f>
        <v>-1554735</v>
      </c>
      <c r="O928" s="980"/>
      <c r="P928" s="981"/>
      <c r="Q928" s="1449"/>
      <c r="R928" s="980"/>
      <c r="S928" s="980"/>
      <c r="T928" s="980"/>
      <c r="U928" s="980"/>
      <c r="V928" s="980"/>
      <c r="W928" s="980"/>
      <c r="X928" s="981"/>
    </row>
    <row r="929" spans="1:24" ht="32.25" customHeight="1" x14ac:dyDescent="0.25">
      <c r="A929" s="1990"/>
      <c r="B929" s="1992"/>
      <c r="C929" s="1986"/>
      <c r="D929" s="953" t="s">
        <v>197</v>
      </c>
      <c r="E929" s="1307" t="s">
        <v>62</v>
      </c>
      <c r="F929" s="1307" t="s">
        <v>3132</v>
      </c>
      <c r="G929" s="1307" t="s">
        <v>1754</v>
      </c>
      <c r="H929" s="980"/>
      <c r="I929" s="980"/>
      <c r="J929" s="980"/>
      <c r="K929" s="980"/>
      <c r="L929" s="980"/>
      <c r="M929" s="980"/>
      <c r="N929" s="980"/>
      <c r="O929" s="980">
        <v>1554735</v>
      </c>
      <c r="P929" s="981"/>
      <c r="Q929" s="1449"/>
      <c r="R929" s="980"/>
      <c r="S929" s="980"/>
      <c r="T929" s="980"/>
      <c r="U929" s="980"/>
      <c r="V929" s="980"/>
      <c r="W929" s="980"/>
      <c r="X929" s="981"/>
    </row>
    <row r="930" spans="1:24" ht="32.25" customHeight="1" x14ac:dyDescent="0.25">
      <c r="A930" s="1481" t="s">
        <v>3135</v>
      </c>
      <c r="B930" s="1483" t="s">
        <v>3136</v>
      </c>
      <c r="C930" s="1477" t="s">
        <v>3294</v>
      </c>
      <c r="D930" s="953" t="s">
        <v>194</v>
      </c>
      <c r="E930" s="1307" t="s">
        <v>1838</v>
      </c>
      <c r="F930" s="1307" t="s">
        <v>1837</v>
      </c>
      <c r="G930" s="1307" t="s">
        <v>1766</v>
      </c>
      <c r="H930" s="980"/>
      <c r="I930" s="980"/>
      <c r="J930" s="980">
        <f>-3645075+3645075</f>
        <v>0</v>
      </c>
      <c r="K930" s="980"/>
      <c r="L930" s="980"/>
      <c r="M930" s="980"/>
      <c r="N930" s="980"/>
      <c r="O930" s="980"/>
      <c r="P930" s="981"/>
      <c r="Q930" s="1449"/>
      <c r="R930" s="980"/>
      <c r="S930" s="980"/>
      <c r="T930" s="980"/>
      <c r="U930" s="980"/>
      <c r="V930" s="980"/>
      <c r="W930" s="980"/>
      <c r="X930" s="981"/>
    </row>
    <row r="931" spans="1:24" ht="21.75" customHeight="1" x14ac:dyDescent="0.25">
      <c r="A931" s="1989" t="s">
        <v>2866</v>
      </c>
      <c r="B931" s="1991" t="s">
        <v>3138</v>
      </c>
      <c r="C931" s="1985" t="s">
        <v>3139</v>
      </c>
      <c r="D931" s="953" t="s">
        <v>201</v>
      </c>
      <c r="E931" s="1307" t="s">
        <v>73</v>
      </c>
      <c r="F931" s="1307" t="s">
        <v>1785</v>
      </c>
      <c r="G931" s="1307" t="s">
        <v>1752</v>
      </c>
      <c r="H931" s="980"/>
      <c r="I931" s="980"/>
      <c r="J931" s="980"/>
      <c r="K931" s="980"/>
      <c r="L931" s="980">
        <v>-762000</v>
      </c>
      <c r="M931" s="980"/>
      <c r="N931" s="980"/>
      <c r="O931" s="980"/>
      <c r="P931" s="981"/>
      <c r="Q931" s="1449"/>
      <c r="R931" s="980"/>
      <c r="S931" s="980"/>
      <c r="T931" s="980"/>
      <c r="U931" s="980"/>
      <c r="V931" s="980"/>
      <c r="W931" s="980"/>
      <c r="X931" s="981"/>
    </row>
    <row r="932" spans="1:24" ht="21.75" customHeight="1" x14ac:dyDescent="0.25">
      <c r="A932" s="1990"/>
      <c r="B932" s="1992"/>
      <c r="C932" s="1986"/>
      <c r="D932" s="953" t="s">
        <v>203</v>
      </c>
      <c r="E932" s="1307" t="s">
        <v>1297</v>
      </c>
      <c r="F932" s="1307" t="s">
        <v>550</v>
      </c>
      <c r="G932" s="1307" t="s">
        <v>1754</v>
      </c>
      <c r="H932" s="980"/>
      <c r="I932" s="980"/>
      <c r="J932" s="980"/>
      <c r="K932" s="980"/>
      <c r="L932" s="980"/>
      <c r="M932" s="980"/>
      <c r="N932" s="980"/>
      <c r="O932" s="980"/>
      <c r="P932" s="981">
        <v>762000</v>
      </c>
      <c r="Q932" s="1449"/>
      <c r="R932" s="980"/>
      <c r="S932" s="980"/>
      <c r="T932" s="980"/>
      <c r="U932" s="980"/>
      <c r="V932" s="980"/>
      <c r="W932" s="980"/>
      <c r="X932" s="981"/>
    </row>
    <row r="933" spans="1:24" ht="18" customHeight="1" x14ac:dyDescent="0.25">
      <c r="A933" s="1989" t="s">
        <v>2867</v>
      </c>
      <c r="B933" s="1991" t="s">
        <v>3141</v>
      </c>
      <c r="C933" s="1985" t="s">
        <v>3143</v>
      </c>
      <c r="D933" s="953" t="s">
        <v>194</v>
      </c>
      <c r="E933" s="1307" t="s">
        <v>1838</v>
      </c>
      <c r="F933" s="1307" t="s">
        <v>3142</v>
      </c>
      <c r="G933" s="1307" t="s">
        <v>1752</v>
      </c>
      <c r="H933" s="980"/>
      <c r="I933" s="980"/>
      <c r="J933" s="980">
        <f>-3111000-839970</f>
        <v>-3950970</v>
      </c>
      <c r="K933" s="980"/>
      <c r="L933" s="980"/>
      <c r="M933" s="980"/>
      <c r="N933" s="980"/>
      <c r="O933" s="980"/>
      <c r="P933" s="981"/>
      <c r="Q933" s="1449"/>
      <c r="R933" s="980"/>
      <c r="S933" s="980"/>
      <c r="T933" s="980"/>
      <c r="U933" s="980"/>
      <c r="V933" s="980"/>
      <c r="W933" s="980"/>
      <c r="X933" s="981"/>
    </row>
    <row r="934" spans="1:24" ht="18" customHeight="1" x14ac:dyDescent="0.25">
      <c r="A934" s="1990"/>
      <c r="B934" s="1992"/>
      <c r="C934" s="1986"/>
      <c r="D934" s="953" t="s">
        <v>199</v>
      </c>
      <c r="E934" s="1307" t="s">
        <v>844</v>
      </c>
      <c r="F934" s="1307" t="s">
        <v>1802</v>
      </c>
      <c r="G934" s="1307" t="s">
        <v>1754</v>
      </c>
      <c r="H934" s="980"/>
      <c r="I934" s="980"/>
      <c r="J934" s="980"/>
      <c r="K934" s="980"/>
      <c r="L934" s="980"/>
      <c r="M934" s="980">
        <f>3111000+839970</f>
        <v>3950970</v>
      </c>
      <c r="N934" s="980"/>
      <c r="O934" s="980"/>
      <c r="P934" s="981"/>
      <c r="Q934" s="1449"/>
      <c r="R934" s="980"/>
      <c r="S934" s="980"/>
      <c r="T934" s="980"/>
      <c r="U934" s="980"/>
      <c r="V934" s="980"/>
      <c r="W934" s="980"/>
      <c r="X934" s="981"/>
    </row>
    <row r="935" spans="1:24" ht="19.5" customHeight="1" x14ac:dyDescent="0.25">
      <c r="A935" s="1989" t="s">
        <v>2869</v>
      </c>
      <c r="B935" s="1991" t="s">
        <v>3146</v>
      </c>
      <c r="C935" s="1985" t="s">
        <v>2815</v>
      </c>
      <c r="D935" s="953" t="s">
        <v>194</v>
      </c>
      <c r="E935" s="1307" t="s">
        <v>1781</v>
      </c>
      <c r="F935" s="1307" t="s">
        <v>1780</v>
      </c>
      <c r="G935" s="1307" t="s">
        <v>1754</v>
      </c>
      <c r="H935" s="980"/>
      <c r="I935" s="980"/>
      <c r="J935" s="980"/>
      <c r="K935" s="980"/>
      <c r="L935" s="980"/>
      <c r="M935" s="980"/>
      <c r="N935" s="980"/>
      <c r="O935" s="980"/>
      <c r="P935" s="981"/>
      <c r="Q935" s="1449"/>
      <c r="R935" s="980"/>
      <c r="S935" s="980"/>
      <c r="T935" s="980">
        <v>15166850</v>
      </c>
      <c r="U935" s="980"/>
      <c r="V935" s="980"/>
      <c r="W935" s="980"/>
      <c r="X935" s="981"/>
    </row>
    <row r="936" spans="1:24" ht="19.5" customHeight="1" x14ac:dyDescent="0.25">
      <c r="A936" s="1990"/>
      <c r="B936" s="1992"/>
      <c r="C936" s="1986"/>
      <c r="D936" s="953" t="s">
        <v>201</v>
      </c>
      <c r="E936" s="1307" t="s">
        <v>557</v>
      </c>
      <c r="F936" s="1307" t="s">
        <v>1785</v>
      </c>
      <c r="G936" s="1307" t="s">
        <v>1754</v>
      </c>
      <c r="H936" s="980"/>
      <c r="I936" s="980"/>
      <c r="J936" s="980"/>
      <c r="K936" s="980"/>
      <c r="L936" s="980">
        <v>15166850</v>
      </c>
      <c r="M936" s="980"/>
      <c r="N936" s="980"/>
      <c r="O936" s="980"/>
      <c r="P936" s="981"/>
      <c r="Q936" s="1449"/>
      <c r="R936" s="980"/>
      <c r="S936" s="980"/>
      <c r="T936" s="980"/>
      <c r="U936" s="980"/>
      <c r="V936" s="980"/>
      <c r="W936" s="980"/>
      <c r="X936" s="981"/>
    </row>
    <row r="937" spans="1:24" ht="33.75" customHeight="1" x14ac:dyDescent="0.25">
      <c r="A937" s="1481" t="s">
        <v>2871</v>
      </c>
      <c r="B937" s="1483" t="s">
        <v>3147</v>
      </c>
      <c r="C937" s="1477" t="s">
        <v>3148</v>
      </c>
      <c r="D937" s="953" t="s">
        <v>194</v>
      </c>
      <c r="E937" s="1307" t="s">
        <v>1940</v>
      </c>
      <c r="F937" s="1307" t="s">
        <v>2745</v>
      </c>
      <c r="G937" s="1307" t="s">
        <v>1766</v>
      </c>
      <c r="H937" s="980"/>
      <c r="I937" s="980"/>
      <c r="J937" s="980">
        <f>-178274+38274+140000</f>
        <v>0</v>
      </c>
      <c r="K937" s="980"/>
      <c r="L937" s="980"/>
      <c r="M937" s="980"/>
      <c r="N937" s="980"/>
      <c r="O937" s="980"/>
      <c r="P937" s="981"/>
      <c r="Q937" s="1449"/>
      <c r="R937" s="980"/>
      <c r="S937" s="980"/>
      <c r="T937" s="980"/>
      <c r="U937" s="980"/>
      <c r="V937" s="980"/>
      <c r="W937" s="980"/>
      <c r="X937" s="981"/>
    </row>
    <row r="938" spans="1:24" ht="18.75" customHeight="1" x14ac:dyDescent="0.25">
      <c r="A938" s="1989" t="s">
        <v>2873</v>
      </c>
      <c r="B938" s="1991" t="s">
        <v>3151</v>
      </c>
      <c r="C938" s="1985" t="s">
        <v>3152</v>
      </c>
      <c r="D938" s="953" t="s">
        <v>232</v>
      </c>
      <c r="E938" s="1307" t="s">
        <v>1762</v>
      </c>
      <c r="F938" s="1307" t="s">
        <v>1761</v>
      </c>
      <c r="G938" s="1307" t="s">
        <v>1754</v>
      </c>
      <c r="H938" s="980"/>
      <c r="I938" s="980"/>
      <c r="J938" s="980"/>
      <c r="K938" s="980"/>
      <c r="L938" s="980"/>
      <c r="M938" s="980"/>
      <c r="N938" s="980"/>
      <c r="O938" s="980"/>
      <c r="P938" s="981"/>
      <c r="Q938" s="1449"/>
      <c r="R938" s="980"/>
      <c r="S938" s="980">
        <f>30000000+100000000</f>
        <v>130000000</v>
      </c>
      <c r="T938" s="980"/>
      <c r="U938" s="980"/>
      <c r="V938" s="980"/>
      <c r="W938" s="980"/>
      <c r="X938" s="981"/>
    </row>
    <row r="939" spans="1:24" ht="18.75" customHeight="1" x14ac:dyDescent="0.25">
      <c r="A939" s="1990"/>
      <c r="B939" s="1992"/>
      <c r="C939" s="1986"/>
      <c r="D939" s="953" t="s">
        <v>201</v>
      </c>
      <c r="E939" s="1307" t="s">
        <v>73</v>
      </c>
      <c r="F939" s="1307" t="s">
        <v>1785</v>
      </c>
      <c r="G939" s="1307" t="s">
        <v>1754</v>
      </c>
      <c r="H939" s="980"/>
      <c r="I939" s="980"/>
      <c r="J939" s="980"/>
      <c r="K939" s="980"/>
      <c r="L939" s="980">
        <v>130000000</v>
      </c>
      <c r="M939" s="980"/>
      <c r="N939" s="980"/>
      <c r="O939" s="980"/>
      <c r="P939" s="981"/>
      <c r="Q939" s="1449"/>
      <c r="R939" s="980"/>
      <c r="S939" s="980"/>
      <c r="T939" s="980"/>
      <c r="U939" s="980"/>
      <c r="V939" s="980"/>
      <c r="W939" s="980"/>
      <c r="X939" s="981"/>
    </row>
    <row r="940" spans="1:24" ht="27" customHeight="1" x14ac:dyDescent="0.25">
      <c r="A940" s="1989" t="s">
        <v>3156</v>
      </c>
      <c r="B940" s="1991" t="s">
        <v>3157</v>
      </c>
      <c r="C940" s="1985" t="s">
        <v>3158</v>
      </c>
      <c r="D940" s="953" t="s">
        <v>204</v>
      </c>
      <c r="E940" s="1307" t="s">
        <v>1753</v>
      </c>
      <c r="F940" s="1307" t="s">
        <v>1784</v>
      </c>
      <c r="G940" s="1307" t="s">
        <v>1754</v>
      </c>
      <c r="H940" s="980"/>
      <c r="I940" s="980"/>
      <c r="J940" s="980"/>
      <c r="K940" s="980"/>
      <c r="L940" s="980"/>
      <c r="M940" s="980"/>
      <c r="N940" s="980"/>
      <c r="O940" s="980"/>
      <c r="P940" s="981"/>
      <c r="Q940" s="1449">
        <v>2618209</v>
      </c>
      <c r="R940" s="980"/>
      <c r="S940" s="980"/>
      <c r="T940" s="980"/>
      <c r="U940" s="980"/>
      <c r="V940" s="980"/>
      <c r="W940" s="980"/>
      <c r="X940" s="981"/>
    </row>
    <row r="941" spans="1:24" ht="27" customHeight="1" x14ac:dyDescent="0.25">
      <c r="A941" s="1990"/>
      <c r="B941" s="1992"/>
      <c r="C941" s="1986"/>
      <c r="D941" s="953" t="s">
        <v>201</v>
      </c>
      <c r="E941" s="1307" t="s">
        <v>73</v>
      </c>
      <c r="F941" s="1307" t="s">
        <v>1785</v>
      </c>
      <c r="G941" s="1307" t="s">
        <v>1754</v>
      </c>
      <c r="H941" s="980"/>
      <c r="I941" s="980"/>
      <c r="J941" s="980"/>
      <c r="K941" s="980"/>
      <c r="L941" s="980">
        <v>2618209</v>
      </c>
      <c r="M941" s="980"/>
      <c r="N941" s="980"/>
      <c r="O941" s="980"/>
      <c r="P941" s="981"/>
      <c r="Q941" s="1449"/>
      <c r="R941" s="980"/>
      <c r="S941" s="980"/>
      <c r="T941" s="980"/>
      <c r="U941" s="980"/>
      <c r="V941" s="980"/>
      <c r="W941" s="980"/>
      <c r="X941" s="981"/>
    </row>
    <row r="942" spans="1:24" ht="24" customHeight="1" x14ac:dyDescent="0.25">
      <c r="A942" s="1989" t="s">
        <v>3175</v>
      </c>
      <c r="B942" s="1991" t="s">
        <v>3176</v>
      </c>
      <c r="C942" s="1985" t="s">
        <v>3177</v>
      </c>
      <c r="D942" s="953" t="s">
        <v>201</v>
      </c>
      <c r="E942" s="1307" t="s">
        <v>73</v>
      </c>
      <c r="F942" s="1307" t="s">
        <v>1785</v>
      </c>
      <c r="G942" s="1307" t="s">
        <v>1752</v>
      </c>
      <c r="H942" s="980"/>
      <c r="I942" s="980"/>
      <c r="J942" s="980"/>
      <c r="K942" s="980"/>
      <c r="L942" s="980">
        <v>-13560000</v>
      </c>
      <c r="M942" s="980"/>
      <c r="N942" s="980"/>
      <c r="O942" s="980"/>
      <c r="P942" s="981"/>
      <c r="Q942" s="1449"/>
      <c r="R942" s="980"/>
      <c r="S942" s="980"/>
      <c r="T942" s="980"/>
      <c r="U942" s="980"/>
      <c r="V942" s="980"/>
      <c r="W942" s="980"/>
      <c r="X942" s="981"/>
    </row>
    <row r="943" spans="1:24" ht="24" customHeight="1" x14ac:dyDescent="0.25">
      <c r="A943" s="1990"/>
      <c r="B943" s="1992"/>
      <c r="C943" s="1986"/>
      <c r="D943" s="953" t="s">
        <v>203</v>
      </c>
      <c r="E943" s="1307" t="s">
        <v>1297</v>
      </c>
      <c r="F943" s="1307" t="s">
        <v>550</v>
      </c>
      <c r="G943" s="1307" t="s">
        <v>1754</v>
      </c>
      <c r="H943" s="980"/>
      <c r="I943" s="980"/>
      <c r="J943" s="980"/>
      <c r="K943" s="980"/>
      <c r="L943" s="980"/>
      <c r="M943" s="980"/>
      <c r="N943" s="980"/>
      <c r="O943" s="980"/>
      <c r="P943" s="981">
        <v>13560000</v>
      </c>
      <c r="Q943" s="1449"/>
      <c r="R943" s="980"/>
      <c r="S943" s="980"/>
      <c r="T943" s="980"/>
      <c r="U943" s="980"/>
      <c r="V943" s="980"/>
      <c r="W943" s="980"/>
      <c r="X943" s="981"/>
    </row>
    <row r="944" spans="1:24" ht="24" customHeight="1" x14ac:dyDescent="0.25">
      <c r="A944" s="1989" t="s">
        <v>2877</v>
      </c>
      <c r="B944" s="1991" t="s">
        <v>3179</v>
      </c>
      <c r="C944" s="1996" t="s">
        <v>3180</v>
      </c>
      <c r="D944" s="953" t="s">
        <v>201</v>
      </c>
      <c r="E944" s="1307" t="s">
        <v>73</v>
      </c>
      <c r="F944" s="1307" t="s">
        <v>1785</v>
      </c>
      <c r="G944" s="1307" t="s">
        <v>1752</v>
      </c>
      <c r="H944" s="980"/>
      <c r="I944" s="980"/>
      <c r="J944" s="980"/>
      <c r="K944" s="980"/>
      <c r="L944" s="980">
        <v>-1079851</v>
      </c>
      <c r="M944" s="980"/>
      <c r="N944" s="980"/>
      <c r="O944" s="980"/>
      <c r="P944" s="981"/>
      <c r="Q944" s="1449"/>
      <c r="R944" s="980"/>
      <c r="S944" s="980"/>
      <c r="T944" s="980"/>
      <c r="U944" s="980"/>
      <c r="V944" s="980"/>
      <c r="W944" s="980"/>
      <c r="X944" s="981"/>
    </row>
    <row r="945" spans="1:24" ht="24" customHeight="1" x14ac:dyDescent="0.25">
      <c r="A945" s="1990"/>
      <c r="B945" s="1992"/>
      <c r="C945" s="1996"/>
      <c r="D945" s="953" t="s">
        <v>203</v>
      </c>
      <c r="E945" s="1307" t="s">
        <v>1297</v>
      </c>
      <c r="F945" s="1307" t="s">
        <v>550</v>
      </c>
      <c r="G945" s="1307" t="s">
        <v>1754</v>
      </c>
      <c r="H945" s="980"/>
      <c r="I945" s="980"/>
      <c r="J945" s="980"/>
      <c r="K945" s="980"/>
      <c r="L945" s="980"/>
      <c r="M945" s="980"/>
      <c r="N945" s="980"/>
      <c r="O945" s="980"/>
      <c r="P945" s="981">
        <v>1079851</v>
      </c>
      <c r="Q945" s="1449"/>
      <c r="R945" s="980"/>
      <c r="S945" s="980"/>
      <c r="T945" s="980"/>
      <c r="U945" s="980"/>
      <c r="V945" s="980"/>
      <c r="W945" s="980"/>
      <c r="X945" s="981"/>
    </row>
    <row r="946" spans="1:24" ht="18" customHeight="1" x14ac:dyDescent="0.25">
      <c r="A946" s="1989" t="s">
        <v>2879</v>
      </c>
      <c r="B946" s="1991" t="s">
        <v>3182</v>
      </c>
      <c r="C946" s="1985" t="s">
        <v>3183</v>
      </c>
      <c r="D946" s="953" t="s">
        <v>194</v>
      </c>
      <c r="E946" s="1307" t="s">
        <v>2058</v>
      </c>
      <c r="F946" s="1307" t="s">
        <v>2057</v>
      </c>
      <c r="G946" s="1307" t="s">
        <v>1752</v>
      </c>
      <c r="H946" s="980"/>
      <c r="I946" s="980"/>
      <c r="J946" s="980">
        <v>-772160</v>
      </c>
      <c r="K946" s="980"/>
      <c r="L946" s="980"/>
      <c r="M946" s="980"/>
      <c r="N946" s="980"/>
      <c r="O946" s="980"/>
      <c r="P946" s="981"/>
      <c r="Q946" s="1449"/>
      <c r="R946" s="980"/>
      <c r="S946" s="980"/>
      <c r="T946" s="980"/>
      <c r="U946" s="980"/>
      <c r="V946" s="980"/>
      <c r="W946" s="980"/>
      <c r="X946" s="981"/>
    </row>
    <row r="947" spans="1:24" ht="18" customHeight="1" x14ac:dyDescent="0.25">
      <c r="A947" s="1990"/>
      <c r="B947" s="1992"/>
      <c r="C947" s="1986"/>
      <c r="D947" s="953" t="s">
        <v>194</v>
      </c>
      <c r="E947" s="1307" t="s">
        <v>1838</v>
      </c>
      <c r="F947" s="1307" t="s">
        <v>1837</v>
      </c>
      <c r="G947" s="1307" t="s">
        <v>1754</v>
      </c>
      <c r="H947" s="980"/>
      <c r="I947" s="980"/>
      <c r="J947" s="980">
        <f>608000+164160</f>
        <v>772160</v>
      </c>
      <c r="K947" s="980"/>
      <c r="L947" s="980"/>
      <c r="M947" s="980"/>
      <c r="N947" s="980"/>
      <c r="O947" s="980"/>
      <c r="P947" s="981"/>
      <c r="Q947" s="1449"/>
      <c r="R947" s="980"/>
      <c r="S947" s="980"/>
      <c r="T947" s="980"/>
      <c r="U947" s="980"/>
      <c r="V947" s="980"/>
      <c r="W947" s="980"/>
      <c r="X947" s="981"/>
    </row>
    <row r="948" spans="1:24" ht="18" customHeight="1" x14ac:dyDescent="0.25">
      <c r="A948" s="1989" t="s">
        <v>2881</v>
      </c>
      <c r="B948" s="1991" t="s">
        <v>3184</v>
      </c>
      <c r="C948" s="1985" t="s">
        <v>3185</v>
      </c>
      <c r="D948" s="953" t="s">
        <v>194</v>
      </c>
      <c r="E948" s="1307" t="s">
        <v>1838</v>
      </c>
      <c r="F948" s="1307" t="s">
        <v>3142</v>
      </c>
      <c r="G948" s="1307" t="s">
        <v>1752</v>
      </c>
      <c r="H948" s="980"/>
      <c r="I948" s="980"/>
      <c r="J948" s="980">
        <f>-758000-204660</f>
        <v>-962660</v>
      </c>
      <c r="K948" s="980"/>
      <c r="L948" s="980"/>
      <c r="M948" s="980"/>
      <c r="N948" s="980"/>
      <c r="O948" s="980"/>
      <c r="P948" s="981"/>
      <c r="Q948" s="1449"/>
      <c r="R948" s="980"/>
      <c r="S948" s="980"/>
      <c r="T948" s="980"/>
      <c r="U948" s="980"/>
      <c r="V948" s="980"/>
      <c r="W948" s="980"/>
      <c r="X948" s="981"/>
    </row>
    <row r="949" spans="1:24" ht="18" customHeight="1" x14ac:dyDescent="0.25">
      <c r="A949" s="1990"/>
      <c r="B949" s="1992"/>
      <c r="C949" s="1986"/>
      <c r="D949" s="953" t="s">
        <v>194</v>
      </c>
      <c r="E949" s="1307" t="s">
        <v>1838</v>
      </c>
      <c r="F949" s="1307" t="s">
        <v>1837</v>
      </c>
      <c r="G949" s="1307" t="s">
        <v>1754</v>
      </c>
      <c r="H949" s="980"/>
      <c r="I949" s="980"/>
      <c r="J949" s="980">
        <f>758000+204660</f>
        <v>962660</v>
      </c>
      <c r="K949" s="980"/>
      <c r="L949" s="980"/>
      <c r="M949" s="980"/>
      <c r="N949" s="980"/>
      <c r="O949" s="980"/>
      <c r="P949" s="981"/>
      <c r="Q949" s="1449"/>
      <c r="R949" s="980"/>
      <c r="S949" s="980"/>
      <c r="T949" s="980"/>
      <c r="U949" s="980"/>
      <c r="V949" s="980"/>
      <c r="W949" s="980"/>
      <c r="X949" s="981"/>
    </row>
    <row r="950" spans="1:24" ht="24" customHeight="1" x14ac:dyDescent="0.25">
      <c r="A950" s="1989" t="s">
        <v>2883</v>
      </c>
      <c r="B950" s="1991" t="s">
        <v>3186</v>
      </c>
      <c r="C950" s="1985" t="s">
        <v>3187</v>
      </c>
      <c r="D950" s="953" t="s">
        <v>194</v>
      </c>
      <c r="E950" s="1307" t="s">
        <v>130</v>
      </c>
      <c r="F950" s="1307" t="s">
        <v>1812</v>
      </c>
      <c r="G950" s="1307" t="s">
        <v>1752</v>
      </c>
      <c r="H950" s="980"/>
      <c r="I950" s="980"/>
      <c r="J950" s="980">
        <f>-368785-99573</f>
        <v>-468358</v>
      </c>
      <c r="K950" s="980"/>
      <c r="L950" s="980"/>
      <c r="M950" s="980"/>
      <c r="N950" s="980"/>
      <c r="O950" s="980"/>
      <c r="P950" s="981"/>
      <c r="Q950" s="1449"/>
      <c r="R950" s="980"/>
      <c r="S950" s="980"/>
      <c r="T950" s="980"/>
      <c r="U950" s="980"/>
      <c r="V950" s="980"/>
      <c r="W950" s="980"/>
      <c r="X950" s="981"/>
    </row>
    <row r="951" spans="1:24" ht="24" customHeight="1" x14ac:dyDescent="0.25">
      <c r="A951" s="1990"/>
      <c r="B951" s="1992"/>
      <c r="C951" s="1986"/>
      <c r="D951" s="953" t="s">
        <v>199</v>
      </c>
      <c r="E951" s="1307" t="s">
        <v>844</v>
      </c>
      <c r="F951" s="1307" t="s">
        <v>843</v>
      </c>
      <c r="G951" s="1307" t="s">
        <v>1754</v>
      </c>
      <c r="H951" s="980"/>
      <c r="I951" s="980"/>
      <c r="J951" s="980"/>
      <c r="K951" s="980"/>
      <c r="L951" s="980"/>
      <c r="M951" s="980">
        <f>368785+99573</f>
        <v>468358</v>
      </c>
      <c r="N951" s="980"/>
      <c r="O951" s="980"/>
      <c r="P951" s="981"/>
      <c r="Q951" s="1449"/>
      <c r="R951" s="980"/>
      <c r="S951" s="980"/>
      <c r="T951" s="980"/>
      <c r="U951" s="980"/>
      <c r="V951" s="980"/>
      <c r="W951" s="980"/>
      <c r="X951" s="981"/>
    </row>
    <row r="952" spans="1:24" ht="62.25" customHeight="1" x14ac:dyDescent="0.25">
      <c r="A952" s="1481" t="s">
        <v>2886</v>
      </c>
      <c r="B952" s="1483" t="s">
        <v>3188</v>
      </c>
      <c r="C952" s="1477" t="s">
        <v>3189</v>
      </c>
      <c r="D952" s="953" t="s">
        <v>199</v>
      </c>
      <c r="E952" s="1307" t="s">
        <v>129</v>
      </c>
      <c r="F952" s="1307" t="s">
        <v>90</v>
      </c>
      <c r="G952" s="1307" t="s">
        <v>1766</v>
      </c>
      <c r="H952" s="980"/>
      <c r="I952" s="980"/>
      <c r="J952" s="980"/>
      <c r="K952" s="980"/>
      <c r="L952" s="980"/>
      <c r="M952" s="980">
        <f>-426512-115158-795488-214782+1222000+329940</f>
        <v>0</v>
      </c>
      <c r="N952" s="980"/>
      <c r="O952" s="980"/>
      <c r="P952" s="981"/>
      <c r="Q952" s="1449"/>
      <c r="R952" s="980"/>
      <c r="S952" s="980"/>
      <c r="T952" s="980"/>
      <c r="U952" s="980"/>
      <c r="V952" s="980"/>
      <c r="W952" s="980"/>
      <c r="X952" s="981"/>
    </row>
    <row r="953" spans="1:24" ht="24" customHeight="1" x14ac:dyDescent="0.25">
      <c r="A953" s="1989" t="s">
        <v>2889</v>
      </c>
      <c r="B953" s="1991" t="s">
        <v>3192</v>
      </c>
      <c r="C953" s="1985" t="s">
        <v>3193</v>
      </c>
      <c r="D953" s="953" t="s">
        <v>201</v>
      </c>
      <c r="E953" s="1307" t="s">
        <v>73</v>
      </c>
      <c r="F953" s="1307" t="s">
        <v>1785</v>
      </c>
      <c r="G953" s="1307" t="s">
        <v>1752</v>
      </c>
      <c r="H953" s="980"/>
      <c r="I953" s="980"/>
      <c r="J953" s="980"/>
      <c r="K953" s="980"/>
      <c r="L953" s="980">
        <v>-1500000</v>
      </c>
      <c r="M953" s="980"/>
      <c r="N953" s="980"/>
      <c r="O953" s="980"/>
      <c r="P953" s="981"/>
      <c r="Q953" s="1449"/>
      <c r="R953" s="980"/>
      <c r="S953" s="980"/>
      <c r="T953" s="980"/>
      <c r="U953" s="980"/>
      <c r="V953" s="980"/>
      <c r="W953" s="980"/>
      <c r="X953" s="981"/>
    </row>
    <row r="954" spans="1:24" ht="24" customHeight="1" x14ac:dyDescent="0.25">
      <c r="A954" s="1990"/>
      <c r="B954" s="1992"/>
      <c r="C954" s="1986"/>
      <c r="D954" s="953" t="s">
        <v>200</v>
      </c>
      <c r="E954" s="1307" t="s">
        <v>601</v>
      </c>
      <c r="F954" s="1307" t="s">
        <v>127</v>
      </c>
      <c r="G954" s="1307" t="s">
        <v>1754</v>
      </c>
      <c r="H954" s="980"/>
      <c r="I954" s="980"/>
      <c r="J954" s="980"/>
      <c r="K954" s="980"/>
      <c r="L954" s="980"/>
      <c r="M954" s="980"/>
      <c r="N954" s="980">
        <f>1181102+318898</f>
        <v>1500000</v>
      </c>
      <c r="O954" s="980"/>
      <c r="P954" s="981"/>
      <c r="Q954" s="1449"/>
      <c r="R954" s="980"/>
      <c r="S954" s="980"/>
      <c r="T954" s="980"/>
      <c r="U954" s="980"/>
      <c r="V954" s="980"/>
      <c r="W954" s="980"/>
      <c r="X954" s="981"/>
    </row>
    <row r="955" spans="1:24" ht="24" customHeight="1" x14ac:dyDescent="0.25">
      <c r="A955" s="1989" t="s">
        <v>2892</v>
      </c>
      <c r="B955" s="1991" t="s">
        <v>3195</v>
      </c>
      <c r="C955" s="1985" t="s">
        <v>3196</v>
      </c>
      <c r="D955" s="953" t="s">
        <v>194</v>
      </c>
      <c r="E955" s="1307" t="s">
        <v>2764</v>
      </c>
      <c r="F955" s="1307" t="s">
        <v>2763</v>
      </c>
      <c r="G955" s="1307" t="s">
        <v>1752</v>
      </c>
      <c r="H955" s="980"/>
      <c r="I955" s="980"/>
      <c r="J955" s="980">
        <f>-8400000-2268000</f>
        <v>-10668000</v>
      </c>
      <c r="K955" s="980"/>
      <c r="L955" s="980"/>
      <c r="M955" s="980"/>
      <c r="N955" s="980"/>
      <c r="O955" s="980"/>
      <c r="P955" s="981"/>
      <c r="Q955" s="1449"/>
      <c r="R955" s="980"/>
      <c r="S955" s="980"/>
      <c r="T955" s="980"/>
      <c r="U955" s="980"/>
      <c r="V955" s="980"/>
      <c r="W955" s="980"/>
      <c r="X955" s="981"/>
    </row>
    <row r="956" spans="1:24" ht="24" customHeight="1" x14ac:dyDescent="0.25">
      <c r="A956" s="1990"/>
      <c r="B956" s="1992"/>
      <c r="C956" s="1986"/>
      <c r="D956" s="953" t="s">
        <v>194</v>
      </c>
      <c r="E956" s="1307" t="s">
        <v>2483</v>
      </c>
      <c r="F956" s="1307" t="s">
        <v>2482</v>
      </c>
      <c r="G956" s="1307" t="s">
        <v>1754</v>
      </c>
      <c r="H956" s="980"/>
      <c r="I956" s="980"/>
      <c r="J956" s="980">
        <f>8400000+2268000</f>
        <v>10668000</v>
      </c>
      <c r="K956" s="980"/>
      <c r="L956" s="980"/>
      <c r="M956" s="980"/>
      <c r="N956" s="980"/>
      <c r="O956" s="980"/>
      <c r="P956" s="981"/>
      <c r="Q956" s="1449"/>
      <c r="R956" s="980"/>
      <c r="S956" s="980"/>
      <c r="T956" s="980"/>
      <c r="U956" s="980"/>
      <c r="V956" s="980"/>
      <c r="W956" s="980"/>
      <c r="X956" s="981"/>
    </row>
    <row r="957" spans="1:24" ht="24.75" customHeight="1" x14ac:dyDescent="0.25">
      <c r="A957" s="1989" t="s">
        <v>2898</v>
      </c>
      <c r="B957" s="1991" t="s">
        <v>3197</v>
      </c>
      <c r="C957" s="1996" t="s">
        <v>3198</v>
      </c>
      <c r="D957" s="953" t="s">
        <v>201</v>
      </c>
      <c r="E957" s="1307" t="s">
        <v>73</v>
      </c>
      <c r="F957" s="1307" t="s">
        <v>1785</v>
      </c>
      <c r="G957" s="1307" t="s">
        <v>1752</v>
      </c>
      <c r="H957" s="980"/>
      <c r="I957" s="980"/>
      <c r="J957" s="980"/>
      <c r="K957" s="980"/>
      <c r="L957" s="980">
        <v>-647700</v>
      </c>
      <c r="M957" s="980"/>
      <c r="N957" s="980"/>
      <c r="O957" s="980"/>
      <c r="P957" s="981"/>
      <c r="Q957" s="1449"/>
      <c r="R957" s="980"/>
      <c r="S957" s="980"/>
      <c r="T957" s="980"/>
      <c r="U957" s="980"/>
      <c r="V957" s="980"/>
      <c r="W957" s="980"/>
      <c r="X957" s="981"/>
    </row>
    <row r="958" spans="1:24" ht="24.75" customHeight="1" x14ac:dyDescent="0.25">
      <c r="A958" s="1990"/>
      <c r="B958" s="1992"/>
      <c r="C958" s="1996"/>
      <c r="D958" s="953" t="s">
        <v>203</v>
      </c>
      <c r="E958" s="1307" t="s">
        <v>1297</v>
      </c>
      <c r="F958" s="1307" t="s">
        <v>550</v>
      </c>
      <c r="G958" s="1307" t="s">
        <v>1754</v>
      </c>
      <c r="H958" s="980"/>
      <c r="I958" s="980"/>
      <c r="J958" s="980"/>
      <c r="K958" s="980"/>
      <c r="L958" s="980"/>
      <c r="M958" s="980"/>
      <c r="N958" s="980"/>
      <c r="O958" s="980"/>
      <c r="P958" s="981">
        <v>647700</v>
      </c>
      <c r="Q958" s="1449"/>
      <c r="R958" s="980"/>
      <c r="S958" s="980"/>
      <c r="T958" s="980"/>
      <c r="U958" s="980"/>
      <c r="V958" s="980"/>
      <c r="W958" s="980"/>
      <c r="X958" s="981"/>
    </row>
    <row r="959" spans="1:24" ht="20.25" customHeight="1" x14ac:dyDescent="0.25">
      <c r="A959" s="1989" t="s">
        <v>2901</v>
      </c>
      <c r="B959" s="1991" t="s">
        <v>3201</v>
      </c>
      <c r="C959" s="1985" t="s">
        <v>3202</v>
      </c>
      <c r="D959" s="953" t="s">
        <v>194</v>
      </c>
      <c r="E959" s="1307" t="s">
        <v>557</v>
      </c>
      <c r="F959" s="1307" t="s">
        <v>460</v>
      </c>
      <c r="G959" s="1307" t="s">
        <v>1754</v>
      </c>
      <c r="H959" s="980"/>
      <c r="I959" s="980"/>
      <c r="J959" s="980">
        <f>600000+162000</f>
        <v>762000</v>
      </c>
      <c r="K959" s="980"/>
      <c r="L959" s="980"/>
      <c r="M959" s="980"/>
      <c r="N959" s="980"/>
      <c r="O959" s="980"/>
      <c r="P959" s="981"/>
      <c r="Q959" s="1449"/>
      <c r="R959" s="980"/>
      <c r="S959" s="980"/>
      <c r="T959" s="980">
        <f>600000+162000</f>
        <v>762000</v>
      </c>
      <c r="U959" s="980"/>
      <c r="V959" s="980"/>
      <c r="W959" s="980"/>
      <c r="X959" s="981"/>
    </row>
    <row r="960" spans="1:24" ht="20.25" customHeight="1" x14ac:dyDescent="0.25">
      <c r="A960" s="1990"/>
      <c r="B960" s="1992"/>
      <c r="C960" s="1986"/>
      <c r="D960" s="953" t="s">
        <v>194</v>
      </c>
      <c r="E960" s="1307" t="s">
        <v>557</v>
      </c>
      <c r="F960" s="1307" t="s">
        <v>462</v>
      </c>
      <c r="G960" s="1307" t="s">
        <v>1754</v>
      </c>
      <c r="H960" s="980"/>
      <c r="I960" s="980"/>
      <c r="J960" s="980">
        <f>2500000+6000000+2295000</f>
        <v>10795000</v>
      </c>
      <c r="K960" s="980"/>
      <c r="L960" s="980"/>
      <c r="M960" s="980"/>
      <c r="N960" s="980"/>
      <c r="O960" s="980"/>
      <c r="P960" s="981"/>
      <c r="Q960" s="1449"/>
      <c r="R960" s="980"/>
      <c r="S960" s="980"/>
      <c r="T960" s="980">
        <f>2500000+6000000+2295000</f>
        <v>10795000</v>
      </c>
      <c r="U960" s="980"/>
      <c r="V960" s="980"/>
      <c r="W960" s="980"/>
      <c r="X960" s="981"/>
    </row>
    <row r="961" spans="1:24" ht="30" customHeight="1" x14ac:dyDescent="0.25">
      <c r="A961" s="1481" t="s">
        <v>2902</v>
      </c>
      <c r="B961" s="1483" t="s">
        <v>3203</v>
      </c>
      <c r="C961" s="1477" t="s">
        <v>3204</v>
      </c>
      <c r="D961" s="953" t="s">
        <v>194</v>
      </c>
      <c r="E961" s="1307" t="s">
        <v>1758</v>
      </c>
      <c r="F961" s="1307" t="s">
        <v>1449</v>
      </c>
      <c r="G961" s="1307" t="s">
        <v>1754</v>
      </c>
      <c r="H961" s="980"/>
      <c r="I961" s="980"/>
      <c r="J961" s="980">
        <f>1000000+270000</f>
        <v>1270000</v>
      </c>
      <c r="K961" s="980"/>
      <c r="L961" s="980"/>
      <c r="M961" s="980"/>
      <c r="N961" s="980"/>
      <c r="O961" s="980"/>
      <c r="P961" s="981"/>
      <c r="Q961" s="1449"/>
      <c r="R961" s="980"/>
      <c r="S961" s="980"/>
      <c r="T961" s="980">
        <f>1000000+270000</f>
        <v>1270000</v>
      </c>
      <c r="U961" s="980"/>
      <c r="V961" s="980"/>
      <c r="W961" s="980"/>
      <c r="X961" s="981"/>
    </row>
    <row r="962" spans="1:24" ht="18" customHeight="1" x14ac:dyDescent="0.25">
      <c r="A962" s="1989" t="s">
        <v>2904</v>
      </c>
      <c r="B962" s="1991" t="s">
        <v>3205</v>
      </c>
      <c r="C962" s="1985" t="s">
        <v>2771</v>
      </c>
      <c r="D962" s="953" t="s">
        <v>201</v>
      </c>
      <c r="E962" s="1307" t="s">
        <v>73</v>
      </c>
      <c r="F962" s="1307" t="s">
        <v>1785</v>
      </c>
      <c r="G962" s="1307" t="s">
        <v>1752</v>
      </c>
      <c r="H962" s="980"/>
      <c r="I962" s="980"/>
      <c r="J962" s="980"/>
      <c r="K962" s="980"/>
      <c r="L962" s="980">
        <v>-35118162</v>
      </c>
      <c r="M962" s="980"/>
      <c r="N962" s="980"/>
      <c r="O962" s="980"/>
      <c r="P962" s="981"/>
      <c r="Q962" s="1449"/>
      <c r="R962" s="980"/>
      <c r="S962" s="980"/>
      <c r="T962" s="980"/>
      <c r="U962" s="980"/>
      <c r="V962" s="980"/>
      <c r="W962" s="980"/>
      <c r="X962" s="981"/>
    </row>
    <row r="963" spans="1:24" ht="18" customHeight="1" x14ac:dyDescent="0.25">
      <c r="A963" s="1990"/>
      <c r="B963" s="1992"/>
      <c r="C963" s="1986"/>
      <c r="D963" s="953" t="s">
        <v>194</v>
      </c>
      <c r="E963" s="1307" t="s">
        <v>602</v>
      </c>
      <c r="F963" s="1307" t="s">
        <v>857</v>
      </c>
      <c r="G963" s="1307" t="s">
        <v>1754</v>
      </c>
      <c r="H963" s="980"/>
      <c r="I963" s="980"/>
      <c r="J963" s="980">
        <f>27652096+7466066</f>
        <v>35118162</v>
      </c>
      <c r="K963" s="980"/>
      <c r="L963" s="980"/>
      <c r="M963" s="980"/>
      <c r="N963" s="980"/>
      <c r="O963" s="980"/>
      <c r="P963" s="981"/>
      <c r="Q963" s="1449"/>
      <c r="R963" s="980"/>
      <c r="S963" s="980"/>
      <c r="T963" s="980"/>
      <c r="U963" s="980"/>
      <c r="V963" s="980"/>
      <c r="W963" s="980"/>
      <c r="X963" s="981"/>
    </row>
    <row r="964" spans="1:24" ht="16.5" customHeight="1" x14ac:dyDescent="0.25">
      <c r="A964" s="1989" t="s">
        <v>2906</v>
      </c>
      <c r="B964" s="1991" t="s">
        <v>3206</v>
      </c>
      <c r="C964" s="1985" t="s">
        <v>3207</v>
      </c>
      <c r="D964" s="953" t="s">
        <v>201</v>
      </c>
      <c r="E964" s="1307" t="s">
        <v>73</v>
      </c>
      <c r="F964" s="1307" t="s">
        <v>1785</v>
      </c>
      <c r="G964" s="1307" t="s">
        <v>1752</v>
      </c>
      <c r="H964" s="980"/>
      <c r="I964" s="980"/>
      <c r="J964" s="980"/>
      <c r="K964" s="980"/>
      <c r="L964" s="980">
        <v>-26797000</v>
      </c>
      <c r="M964" s="980"/>
      <c r="N964" s="980"/>
      <c r="O964" s="980"/>
      <c r="P964" s="981"/>
      <c r="Q964" s="1449"/>
      <c r="R964" s="980"/>
      <c r="S964" s="980"/>
      <c r="T964" s="980"/>
      <c r="U964" s="980"/>
      <c r="V964" s="980"/>
      <c r="W964" s="980"/>
      <c r="X964" s="981"/>
    </row>
    <row r="965" spans="1:24" ht="16.5" customHeight="1" x14ac:dyDescent="0.25">
      <c r="A965" s="1995"/>
      <c r="B965" s="1994"/>
      <c r="C965" s="1993"/>
      <c r="D965" s="953" t="s">
        <v>194</v>
      </c>
      <c r="E965" s="1307" t="s">
        <v>130</v>
      </c>
      <c r="F965" s="1307" t="s">
        <v>1812</v>
      </c>
      <c r="G965" s="1307" t="s">
        <v>1754</v>
      </c>
      <c r="H965" s="980"/>
      <c r="I965" s="980"/>
      <c r="J965" s="980">
        <f>600000+162000</f>
        <v>762000</v>
      </c>
      <c r="K965" s="980"/>
      <c r="L965" s="980"/>
      <c r="M965" s="980"/>
      <c r="N965" s="980"/>
      <c r="O965" s="980"/>
      <c r="P965" s="981"/>
      <c r="Q965" s="1449"/>
      <c r="R965" s="980"/>
      <c r="S965" s="980"/>
      <c r="T965" s="980"/>
      <c r="U965" s="980"/>
      <c r="V965" s="980"/>
      <c r="W965" s="980"/>
      <c r="X965" s="981"/>
    </row>
    <row r="966" spans="1:24" ht="16.5" customHeight="1" x14ac:dyDescent="0.25">
      <c r="A966" s="1995"/>
      <c r="B966" s="1994"/>
      <c r="C966" s="1993"/>
      <c r="D966" s="953" t="s">
        <v>194</v>
      </c>
      <c r="E966" s="1307" t="s">
        <v>648</v>
      </c>
      <c r="F966" s="1307" t="s">
        <v>135</v>
      </c>
      <c r="G966" s="1307" t="s">
        <v>1754</v>
      </c>
      <c r="H966" s="980"/>
      <c r="I966" s="980"/>
      <c r="J966" s="980">
        <f>2500000+675000</f>
        <v>3175000</v>
      </c>
      <c r="K966" s="980"/>
      <c r="L966" s="980"/>
      <c r="M966" s="980"/>
      <c r="N966" s="980"/>
      <c r="O966" s="980"/>
      <c r="P966" s="981"/>
      <c r="Q966" s="1449"/>
      <c r="R966" s="980"/>
      <c r="S966" s="980"/>
      <c r="T966" s="980"/>
      <c r="U966" s="980"/>
      <c r="V966" s="980"/>
      <c r="W966" s="980"/>
      <c r="X966" s="981"/>
    </row>
    <row r="967" spans="1:24" ht="16.5" customHeight="1" x14ac:dyDescent="0.25">
      <c r="A967" s="1990"/>
      <c r="B967" s="1992"/>
      <c r="C967" s="1986"/>
      <c r="D967" s="953" t="s">
        <v>194</v>
      </c>
      <c r="E967" s="1307" t="s">
        <v>602</v>
      </c>
      <c r="F967" s="1307" t="s">
        <v>857</v>
      </c>
      <c r="G967" s="1307" t="s">
        <v>1754</v>
      </c>
      <c r="H967" s="980"/>
      <c r="I967" s="980"/>
      <c r="J967" s="980">
        <f>18000000+4860000</f>
        <v>22860000</v>
      </c>
      <c r="K967" s="980"/>
      <c r="L967" s="980"/>
      <c r="M967" s="980"/>
      <c r="N967" s="980"/>
      <c r="O967" s="980"/>
      <c r="P967" s="981"/>
      <c r="Q967" s="1449"/>
      <c r="R967" s="980"/>
      <c r="S967" s="980"/>
      <c r="T967" s="980"/>
      <c r="U967" s="980"/>
      <c r="V967" s="980"/>
      <c r="W967" s="980"/>
      <c r="X967" s="981"/>
    </row>
    <row r="968" spans="1:24" ht="52.5" customHeight="1" x14ac:dyDescent="0.25">
      <c r="A968" s="1481" t="s">
        <v>2908</v>
      </c>
      <c r="B968" s="1483" t="s">
        <v>3209</v>
      </c>
      <c r="C968" s="1477" t="s">
        <v>3212</v>
      </c>
      <c r="D968" s="953" t="s">
        <v>199</v>
      </c>
      <c r="E968" s="1307" t="s">
        <v>601</v>
      </c>
      <c r="F968" s="1307" t="s">
        <v>127</v>
      </c>
      <c r="G968" s="1307" t="s">
        <v>1766</v>
      </c>
      <c r="H968" s="980"/>
      <c r="I968" s="980"/>
      <c r="J968" s="980"/>
      <c r="K968" s="980"/>
      <c r="L968" s="980"/>
      <c r="M968" s="980">
        <f>-153680-41494+153680+41494</f>
        <v>0</v>
      </c>
      <c r="N968" s="980"/>
      <c r="O968" s="980"/>
      <c r="P968" s="981"/>
      <c r="Q968" s="1449"/>
      <c r="R968" s="980"/>
      <c r="S968" s="980"/>
      <c r="T968" s="980"/>
      <c r="U968" s="980"/>
      <c r="V968" s="980"/>
      <c r="W968" s="980"/>
      <c r="X968" s="981"/>
    </row>
    <row r="969" spans="1:24" ht="24.75" customHeight="1" x14ac:dyDescent="0.25">
      <c r="A969" s="1989" t="s">
        <v>2911</v>
      </c>
      <c r="B969" s="1991" t="s">
        <v>3210</v>
      </c>
      <c r="C969" s="1985" t="s">
        <v>3211</v>
      </c>
      <c r="D969" s="953" t="s">
        <v>199</v>
      </c>
      <c r="E969" s="1307" t="s">
        <v>607</v>
      </c>
      <c r="F969" s="1307" t="s">
        <v>605</v>
      </c>
      <c r="G969" s="1307" t="s">
        <v>1752</v>
      </c>
      <c r="H969" s="980"/>
      <c r="I969" s="980"/>
      <c r="J969" s="980"/>
      <c r="K969" s="980"/>
      <c r="L969" s="980"/>
      <c r="M969" s="980">
        <f>-188000-50760</f>
        <v>-238760</v>
      </c>
      <c r="N969" s="980"/>
      <c r="O969" s="980"/>
      <c r="P969" s="981"/>
      <c r="Q969" s="1449"/>
      <c r="R969" s="980"/>
      <c r="S969" s="980"/>
      <c r="T969" s="980"/>
      <c r="U969" s="980"/>
      <c r="V969" s="980"/>
      <c r="W969" s="980"/>
      <c r="X969" s="981"/>
    </row>
    <row r="970" spans="1:24" ht="24.75" customHeight="1" x14ac:dyDescent="0.25">
      <c r="A970" s="1990"/>
      <c r="B970" s="1992"/>
      <c r="C970" s="1986"/>
      <c r="D970" s="953" t="s">
        <v>199</v>
      </c>
      <c r="E970" s="1307" t="s">
        <v>601</v>
      </c>
      <c r="F970" s="1307" t="s">
        <v>127</v>
      </c>
      <c r="G970" s="1307" t="s">
        <v>1754</v>
      </c>
      <c r="H970" s="980"/>
      <c r="I970" s="980"/>
      <c r="J970" s="980"/>
      <c r="K970" s="980"/>
      <c r="L970" s="980"/>
      <c r="M970" s="980">
        <f>188000+50760</f>
        <v>238760</v>
      </c>
      <c r="N970" s="980"/>
      <c r="O970" s="980"/>
      <c r="P970" s="981"/>
      <c r="Q970" s="1449"/>
      <c r="R970" s="980"/>
      <c r="S970" s="980"/>
      <c r="T970" s="980"/>
      <c r="U970" s="980"/>
      <c r="V970" s="980"/>
      <c r="W970" s="980"/>
      <c r="X970" s="981"/>
    </row>
    <row r="971" spans="1:24" ht="18.75" customHeight="1" x14ac:dyDescent="0.25">
      <c r="A971" s="1989" t="s">
        <v>3213</v>
      </c>
      <c r="B971" s="1991" t="s">
        <v>3214</v>
      </c>
      <c r="C971" s="1985" t="s">
        <v>3215</v>
      </c>
      <c r="D971" s="953" t="s">
        <v>201</v>
      </c>
      <c r="E971" s="1307" t="s">
        <v>73</v>
      </c>
      <c r="F971" s="1307" t="s">
        <v>1785</v>
      </c>
      <c r="G971" s="1307" t="s">
        <v>1752</v>
      </c>
      <c r="H971" s="980"/>
      <c r="I971" s="980"/>
      <c r="J971" s="980"/>
      <c r="K971" s="980"/>
      <c r="L971" s="980">
        <v>-180000</v>
      </c>
      <c r="M971" s="980"/>
      <c r="N971" s="980"/>
      <c r="O971" s="980"/>
      <c r="P971" s="981"/>
      <c r="Q971" s="1449"/>
      <c r="R971" s="980"/>
      <c r="S971" s="980"/>
      <c r="T971" s="980"/>
      <c r="U971" s="980"/>
      <c r="V971" s="980"/>
      <c r="W971" s="980"/>
      <c r="X971" s="981"/>
    </row>
    <row r="972" spans="1:24" ht="18.75" customHeight="1" x14ac:dyDescent="0.25">
      <c r="A972" s="1990"/>
      <c r="B972" s="1992"/>
      <c r="C972" s="1986"/>
      <c r="D972" s="953" t="s">
        <v>198</v>
      </c>
      <c r="E972" s="1307" t="s">
        <v>620</v>
      </c>
      <c r="F972" s="1307" t="s">
        <v>1830</v>
      </c>
      <c r="G972" s="1307" t="s">
        <v>1754</v>
      </c>
      <c r="H972" s="980"/>
      <c r="I972" s="980"/>
      <c r="J972" s="980"/>
      <c r="K972" s="980"/>
      <c r="L972" s="980">
        <v>180000</v>
      </c>
      <c r="M972" s="980"/>
      <c r="N972" s="980"/>
      <c r="O972" s="980"/>
      <c r="P972" s="981"/>
      <c r="Q972" s="1449"/>
      <c r="R972" s="980"/>
      <c r="S972" s="980"/>
      <c r="T972" s="980"/>
      <c r="U972" s="980"/>
      <c r="V972" s="980"/>
      <c r="W972" s="980"/>
      <c r="X972" s="981"/>
    </row>
    <row r="973" spans="1:24" ht="24.75" customHeight="1" x14ac:dyDescent="0.25">
      <c r="A973" s="1989" t="s">
        <v>2920</v>
      </c>
      <c r="B973" s="1991" t="s">
        <v>3216</v>
      </c>
      <c r="C973" s="1996" t="s">
        <v>3368</v>
      </c>
      <c r="D973" s="953" t="s">
        <v>201</v>
      </c>
      <c r="E973" s="1307" t="s">
        <v>73</v>
      </c>
      <c r="F973" s="1307" t="s">
        <v>1785</v>
      </c>
      <c r="G973" s="1307" t="s">
        <v>1752</v>
      </c>
      <c r="H973" s="980"/>
      <c r="I973" s="980"/>
      <c r="J973" s="980"/>
      <c r="K973" s="980"/>
      <c r="L973" s="980">
        <v>-561965</v>
      </c>
      <c r="M973" s="980"/>
      <c r="N973" s="980"/>
      <c r="O973" s="980"/>
      <c r="P973" s="981"/>
      <c r="Q973" s="1449"/>
      <c r="R973" s="980"/>
      <c r="S973" s="980"/>
      <c r="T973" s="980"/>
      <c r="U973" s="980"/>
      <c r="V973" s="980"/>
      <c r="W973" s="980"/>
      <c r="X973" s="981"/>
    </row>
    <row r="974" spans="1:24" ht="24.75" customHeight="1" x14ac:dyDescent="0.25">
      <c r="A974" s="1990"/>
      <c r="B974" s="1992"/>
      <c r="C974" s="1996"/>
      <c r="D974" s="953" t="s">
        <v>194</v>
      </c>
      <c r="E974" s="1307" t="s">
        <v>575</v>
      </c>
      <c r="F974" s="1307" t="s">
        <v>739</v>
      </c>
      <c r="G974" s="1307" t="s">
        <v>1754</v>
      </c>
      <c r="H974" s="980"/>
      <c r="I974" s="980"/>
      <c r="J974" s="980"/>
      <c r="K974" s="980"/>
      <c r="L974" s="980"/>
      <c r="M974" s="980">
        <f>442492+119473</f>
        <v>561965</v>
      </c>
      <c r="N974" s="980"/>
      <c r="O974" s="980"/>
      <c r="P974" s="981"/>
      <c r="Q974" s="1449"/>
      <c r="R974" s="980"/>
      <c r="S974" s="980"/>
      <c r="T974" s="980"/>
      <c r="U974" s="980"/>
      <c r="V974" s="980"/>
      <c r="W974" s="980"/>
      <c r="X974" s="981"/>
    </row>
    <row r="975" spans="1:24" ht="24" customHeight="1" x14ac:dyDescent="0.25">
      <c r="A975" s="1989" t="s">
        <v>2924</v>
      </c>
      <c r="B975" s="1991" t="s">
        <v>3218</v>
      </c>
      <c r="C975" s="1985" t="s">
        <v>3219</v>
      </c>
      <c r="D975" s="953" t="s">
        <v>194</v>
      </c>
      <c r="E975" s="1307" t="s">
        <v>129</v>
      </c>
      <c r="F975" s="1307" t="s">
        <v>151</v>
      </c>
      <c r="G975" s="1307" t="s">
        <v>1752</v>
      </c>
      <c r="H975" s="980"/>
      <c r="I975" s="980"/>
      <c r="J975" s="980">
        <v>-6377953</v>
      </c>
      <c r="K975" s="980"/>
      <c r="L975" s="980"/>
      <c r="M975" s="980"/>
      <c r="N975" s="980"/>
      <c r="O975" s="980"/>
      <c r="P975" s="981"/>
      <c r="Q975" s="1449"/>
      <c r="R975" s="980"/>
      <c r="S975" s="980"/>
      <c r="T975" s="980"/>
      <c r="U975" s="980"/>
      <c r="V975" s="980"/>
      <c r="W975" s="980"/>
      <c r="X975" s="981"/>
    </row>
    <row r="976" spans="1:24" ht="24" customHeight="1" x14ac:dyDescent="0.25">
      <c r="A976" s="1990"/>
      <c r="B976" s="1992"/>
      <c r="C976" s="1986"/>
      <c r="D976" s="953" t="s">
        <v>194</v>
      </c>
      <c r="E976" s="1307" t="s">
        <v>73</v>
      </c>
      <c r="F976" s="1307" t="s">
        <v>2100</v>
      </c>
      <c r="G976" s="1307" t="s">
        <v>1754</v>
      </c>
      <c r="H976" s="980"/>
      <c r="I976" s="980"/>
      <c r="J976" s="980">
        <v>6377953</v>
      </c>
      <c r="K976" s="980"/>
      <c r="L976" s="980"/>
      <c r="M976" s="980"/>
      <c r="N976" s="980"/>
      <c r="O976" s="980"/>
      <c r="P976" s="981"/>
      <c r="Q976" s="1449"/>
      <c r="R976" s="980"/>
      <c r="S976" s="980"/>
      <c r="T976" s="980"/>
      <c r="U976" s="980"/>
      <c r="V976" s="980"/>
      <c r="W976" s="980"/>
      <c r="X976" s="981"/>
    </row>
    <row r="977" spans="1:24" ht="24.75" customHeight="1" x14ac:dyDescent="0.25">
      <c r="A977" s="1989" t="s">
        <v>2926</v>
      </c>
      <c r="B977" s="1991" t="s">
        <v>3220</v>
      </c>
      <c r="C977" s="1996" t="s">
        <v>3221</v>
      </c>
      <c r="D977" s="953" t="s">
        <v>201</v>
      </c>
      <c r="E977" s="1307" t="s">
        <v>73</v>
      </c>
      <c r="F977" s="1307" t="s">
        <v>1785</v>
      </c>
      <c r="G977" s="1307" t="s">
        <v>1752</v>
      </c>
      <c r="H977" s="980"/>
      <c r="I977" s="980"/>
      <c r="J977" s="980"/>
      <c r="K977" s="980"/>
      <c r="L977" s="980">
        <v>-252603</v>
      </c>
      <c r="M977" s="980"/>
      <c r="N977" s="980"/>
      <c r="O977" s="980"/>
      <c r="P977" s="981"/>
      <c r="Q977" s="1449"/>
      <c r="R977" s="980"/>
      <c r="S977" s="980"/>
      <c r="T977" s="980"/>
      <c r="U977" s="980"/>
      <c r="V977" s="980"/>
      <c r="W977" s="980"/>
      <c r="X977" s="981"/>
    </row>
    <row r="978" spans="1:24" ht="24.75" customHeight="1" x14ac:dyDescent="0.25">
      <c r="A978" s="1990"/>
      <c r="B978" s="1992"/>
      <c r="C978" s="1996"/>
      <c r="D978" s="953" t="s">
        <v>194</v>
      </c>
      <c r="E978" s="1307" t="s">
        <v>1368</v>
      </c>
      <c r="F978" s="1307" t="s">
        <v>1412</v>
      </c>
      <c r="G978" s="1307" t="s">
        <v>1754</v>
      </c>
      <c r="H978" s="980"/>
      <c r="I978" s="980"/>
      <c r="J978" s="980"/>
      <c r="K978" s="980"/>
      <c r="L978" s="980"/>
      <c r="M978" s="980">
        <f>198900+53703</f>
        <v>252603</v>
      </c>
      <c r="N978" s="980"/>
      <c r="O978" s="980"/>
      <c r="P978" s="981"/>
      <c r="Q978" s="1449"/>
      <c r="R978" s="980"/>
      <c r="S978" s="980"/>
      <c r="T978" s="980"/>
      <c r="U978" s="980"/>
      <c r="V978" s="980"/>
      <c r="W978" s="980"/>
      <c r="X978" s="981"/>
    </row>
    <row r="979" spans="1:24" ht="48" customHeight="1" x14ac:dyDescent="0.25">
      <c r="A979" s="1989" t="s">
        <v>2928</v>
      </c>
      <c r="B979" s="1991" t="s">
        <v>3223</v>
      </c>
      <c r="C979" s="1996" t="s">
        <v>3224</v>
      </c>
      <c r="D979" s="953" t="s">
        <v>201</v>
      </c>
      <c r="E979" s="1307" t="s">
        <v>73</v>
      </c>
      <c r="F979" s="1307" t="s">
        <v>1785</v>
      </c>
      <c r="G979" s="1307" t="s">
        <v>1752</v>
      </c>
      <c r="H979" s="980"/>
      <c r="I979" s="980"/>
      <c r="J979" s="980"/>
      <c r="K979" s="980"/>
      <c r="L979" s="980">
        <v>-250000</v>
      </c>
      <c r="M979" s="980"/>
      <c r="N979" s="980"/>
      <c r="O979" s="980"/>
      <c r="P979" s="981"/>
      <c r="Q979" s="1449"/>
      <c r="R979" s="980"/>
      <c r="S979" s="980"/>
      <c r="T979" s="980"/>
      <c r="U979" s="980"/>
      <c r="V979" s="980"/>
      <c r="W979" s="980"/>
      <c r="X979" s="981"/>
    </row>
    <row r="980" spans="1:24" ht="48" customHeight="1" x14ac:dyDescent="0.25">
      <c r="A980" s="1990"/>
      <c r="B980" s="1992"/>
      <c r="C980" s="1996"/>
      <c r="D980" s="953" t="s">
        <v>203</v>
      </c>
      <c r="E980" s="1307" t="s">
        <v>1297</v>
      </c>
      <c r="F980" s="1307" t="s">
        <v>550</v>
      </c>
      <c r="G980" s="1307" t="s">
        <v>1754</v>
      </c>
      <c r="H980" s="980"/>
      <c r="I980" s="980"/>
      <c r="J980" s="980"/>
      <c r="K980" s="980"/>
      <c r="L980" s="980"/>
      <c r="M980" s="980"/>
      <c r="N980" s="980"/>
      <c r="O980" s="980"/>
      <c r="P980" s="981">
        <v>250000</v>
      </c>
      <c r="Q980" s="1449"/>
      <c r="R980" s="980"/>
      <c r="S980" s="980"/>
      <c r="T980" s="980"/>
      <c r="U980" s="980"/>
      <c r="V980" s="980"/>
      <c r="W980" s="980"/>
      <c r="X980" s="981"/>
    </row>
    <row r="981" spans="1:24" ht="53.25" customHeight="1" x14ac:dyDescent="0.25">
      <c r="A981" s="1989" t="s">
        <v>2931</v>
      </c>
      <c r="B981" s="1991" t="s">
        <v>3226</v>
      </c>
      <c r="C981" s="1996" t="s">
        <v>3227</v>
      </c>
      <c r="D981" s="953" t="s">
        <v>201</v>
      </c>
      <c r="E981" s="1307" t="s">
        <v>73</v>
      </c>
      <c r="F981" s="1307" t="s">
        <v>1785</v>
      </c>
      <c r="G981" s="1307" t="s">
        <v>1752</v>
      </c>
      <c r="H981" s="980"/>
      <c r="I981" s="980"/>
      <c r="J981" s="980"/>
      <c r="K981" s="980"/>
      <c r="L981" s="980">
        <v>-250000</v>
      </c>
      <c r="M981" s="980"/>
      <c r="N981" s="980"/>
      <c r="O981" s="980"/>
      <c r="P981" s="981"/>
      <c r="Q981" s="1449"/>
      <c r="R981" s="980"/>
      <c r="S981" s="980"/>
      <c r="T981" s="980"/>
      <c r="U981" s="980"/>
      <c r="V981" s="980"/>
      <c r="W981" s="980"/>
      <c r="X981" s="981"/>
    </row>
    <row r="982" spans="1:24" ht="53.25" customHeight="1" x14ac:dyDescent="0.25">
      <c r="A982" s="1990"/>
      <c r="B982" s="1992"/>
      <c r="C982" s="1996"/>
      <c r="D982" s="953" t="s">
        <v>203</v>
      </c>
      <c r="E982" s="1307" t="s">
        <v>1297</v>
      </c>
      <c r="F982" s="1307" t="s">
        <v>550</v>
      </c>
      <c r="G982" s="1307" t="s">
        <v>1754</v>
      </c>
      <c r="H982" s="980"/>
      <c r="I982" s="980"/>
      <c r="J982" s="980"/>
      <c r="K982" s="980"/>
      <c r="L982" s="980"/>
      <c r="M982" s="980"/>
      <c r="N982" s="980"/>
      <c r="O982" s="980"/>
      <c r="P982" s="981">
        <v>250000</v>
      </c>
      <c r="Q982" s="1449"/>
      <c r="R982" s="980"/>
      <c r="S982" s="980"/>
      <c r="T982" s="980"/>
      <c r="U982" s="980"/>
      <c r="V982" s="980"/>
      <c r="W982" s="980"/>
      <c r="X982" s="981"/>
    </row>
    <row r="983" spans="1:24" ht="54" customHeight="1" x14ac:dyDescent="0.25">
      <c r="A983" s="1989" t="s">
        <v>2933</v>
      </c>
      <c r="B983" s="1991" t="s">
        <v>3229</v>
      </c>
      <c r="C983" s="1996" t="s">
        <v>3230</v>
      </c>
      <c r="D983" s="953" t="s">
        <v>201</v>
      </c>
      <c r="E983" s="1307" t="s">
        <v>73</v>
      </c>
      <c r="F983" s="1307" t="s">
        <v>1785</v>
      </c>
      <c r="G983" s="1307" t="s">
        <v>1752</v>
      </c>
      <c r="H983" s="980"/>
      <c r="I983" s="980"/>
      <c r="J983" s="980"/>
      <c r="K983" s="980"/>
      <c r="L983" s="980">
        <v>-250000</v>
      </c>
      <c r="M983" s="980"/>
      <c r="N983" s="980"/>
      <c r="O983" s="980"/>
      <c r="P983" s="981"/>
      <c r="Q983" s="1449"/>
      <c r="R983" s="980"/>
      <c r="S983" s="980"/>
      <c r="T983" s="980"/>
      <c r="U983" s="980"/>
      <c r="V983" s="980"/>
      <c r="W983" s="980"/>
      <c r="X983" s="981"/>
    </row>
    <row r="984" spans="1:24" ht="54" customHeight="1" x14ac:dyDescent="0.25">
      <c r="A984" s="1990"/>
      <c r="B984" s="1992"/>
      <c r="C984" s="1996"/>
      <c r="D984" s="953" t="s">
        <v>203</v>
      </c>
      <c r="E984" s="1307" t="s">
        <v>1297</v>
      </c>
      <c r="F984" s="1307" t="s">
        <v>550</v>
      </c>
      <c r="G984" s="1307" t="s">
        <v>1754</v>
      </c>
      <c r="H984" s="980"/>
      <c r="I984" s="980"/>
      <c r="J984" s="980"/>
      <c r="K984" s="980"/>
      <c r="L984" s="980"/>
      <c r="M984" s="980"/>
      <c r="N984" s="980"/>
      <c r="O984" s="980"/>
      <c r="P984" s="981">
        <v>250000</v>
      </c>
      <c r="Q984" s="1449"/>
      <c r="R984" s="980"/>
      <c r="S984" s="980"/>
      <c r="T984" s="980"/>
      <c r="U984" s="980"/>
      <c r="V984" s="980"/>
      <c r="W984" s="980"/>
      <c r="X984" s="981"/>
    </row>
    <row r="985" spans="1:24" ht="23.25" customHeight="1" x14ac:dyDescent="0.25">
      <c r="A985" s="1989" t="s">
        <v>2935</v>
      </c>
      <c r="B985" s="1991" t="s">
        <v>3232</v>
      </c>
      <c r="C985" s="1985" t="s">
        <v>3233</v>
      </c>
      <c r="D985" s="953" t="s">
        <v>201</v>
      </c>
      <c r="E985" s="1307" t="s">
        <v>73</v>
      </c>
      <c r="F985" s="1307" t="s">
        <v>1785</v>
      </c>
      <c r="G985" s="1307" t="s">
        <v>1752</v>
      </c>
      <c r="H985" s="980"/>
      <c r="I985" s="980"/>
      <c r="J985" s="980"/>
      <c r="K985" s="980"/>
      <c r="L985" s="980">
        <v>-200000</v>
      </c>
      <c r="M985" s="980"/>
      <c r="N985" s="980"/>
      <c r="O985" s="980"/>
      <c r="P985" s="981"/>
      <c r="Q985" s="1449"/>
      <c r="R985" s="980"/>
      <c r="S985" s="980"/>
      <c r="T985" s="980"/>
      <c r="U985" s="980"/>
      <c r="V985" s="980"/>
      <c r="W985" s="980"/>
      <c r="X985" s="981"/>
    </row>
    <row r="986" spans="1:24" ht="23.25" customHeight="1" x14ac:dyDescent="0.25">
      <c r="A986" s="1990"/>
      <c r="B986" s="1992"/>
      <c r="C986" s="1986"/>
      <c r="D986" s="953" t="s">
        <v>198</v>
      </c>
      <c r="E986" s="1307" t="s">
        <v>620</v>
      </c>
      <c r="F986" s="1307" t="s">
        <v>1830</v>
      </c>
      <c r="G986" s="1307" t="s">
        <v>1754</v>
      </c>
      <c r="H986" s="980"/>
      <c r="I986" s="980"/>
      <c r="J986" s="980"/>
      <c r="K986" s="980"/>
      <c r="L986" s="980">
        <v>200000</v>
      </c>
      <c r="M986" s="980"/>
      <c r="N986" s="980"/>
      <c r="O986" s="980"/>
      <c r="P986" s="981"/>
      <c r="Q986" s="1449"/>
      <c r="R986" s="980"/>
      <c r="S986" s="980"/>
      <c r="T986" s="980"/>
      <c r="U986" s="980"/>
      <c r="V986" s="980"/>
      <c r="W986" s="980"/>
      <c r="X986" s="981"/>
    </row>
    <row r="987" spans="1:24" ht="24.75" customHeight="1" x14ac:dyDescent="0.25">
      <c r="A987" s="1989" t="s">
        <v>2954</v>
      </c>
      <c r="B987" s="1991" t="s">
        <v>3235</v>
      </c>
      <c r="C987" s="1985" t="s">
        <v>3236</v>
      </c>
      <c r="D987" s="953" t="s">
        <v>201</v>
      </c>
      <c r="E987" s="1307" t="s">
        <v>73</v>
      </c>
      <c r="F987" s="1307" t="s">
        <v>1785</v>
      </c>
      <c r="G987" s="1307" t="s">
        <v>1752</v>
      </c>
      <c r="H987" s="980"/>
      <c r="I987" s="980"/>
      <c r="J987" s="980"/>
      <c r="K987" s="980"/>
      <c r="L987" s="980">
        <v>-200000</v>
      </c>
      <c r="M987" s="980"/>
      <c r="N987" s="980"/>
      <c r="O987" s="980"/>
      <c r="P987" s="981"/>
      <c r="Q987" s="1449"/>
      <c r="R987" s="980"/>
      <c r="S987" s="980"/>
      <c r="T987" s="980"/>
      <c r="U987" s="980"/>
      <c r="V987" s="980"/>
      <c r="W987" s="980"/>
      <c r="X987" s="981"/>
    </row>
    <row r="988" spans="1:24" ht="24.75" customHeight="1" x14ac:dyDescent="0.25">
      <c r="A988" s="1990"/>
      <c r="B988" s="1992"/>
      <c r="C988" s="1986"/>
      <c r="D988" s="953" t="s">
        <v>203</v>
      </c>
      <c r="E988" s="1307" t="s">
        <v>1297</v>
      </c>
      <c r="F988" s="1307" t="s">
        <v>550</v>
      </c>
      <c r="G988" s="1307" t="s">
        <v>1754</v>
      </c>
      <c r="H988" s="980"/>
      <c r="I988" s="980"/>
      <c r="J988" s="980"/>
      <c r="K988" s="980"/>
      <c r="L988" s="980"/>
      <c r="M988" s="980"/>
      <c r="N988" s="980"/>
      <c r="O988" s="980"/>
      <c r="P988" s="981">
        <v>200000</v>
      </c>
      <c r="Q988" s="1449"/>
      <c r="R988" s="980"/>
      <c r="S988" s="980"/>
      <c r="T988" s="980"/>
      <c r="U988" s="980"/>
      <c r="V988" s="980"/>
      <c r="W988" s="980"/>
      <c r="X988" s="981"/>
    </row>
    <row r="989" spans="1:24" ht="20.25" customHeight="1" x14ac:dyDescent="0.25">
      <c r="A989" s="1989" t="s">
        <v>2956</v>
      </c>
      <c r="B989" s="1991" t="s">
        <v>3238</v>
      </c>
      <c r="C989" s="1985" t="s">
        <v>3239</v>
      </c>
      <c r="D989" s="953" t="s">
        <v>199</v>
      </c>
      <c r="E989" s="1307" t="s">
        <v>601</v>
      </c>
      <c r="F989" s="1307" t="s">
        <v>127</v>
      </c>
      <c r="G989" s="1307" t="s">
        <v>1752</v>
      </c>
      <c r="H989" s="980"/>
      <c r="I989" s="980"/>
      <c r="J989" s="980"/>
      <c r="K989" s="980"/>
      <c r="L989" s="980"/>
      <c r="M989" s="980">
        <f>-644972-174142</f>
        <v>-819114</v>
      </c>
      <c r="N989" s="980"/>
      <c r="O989" s="980"/>
      <c r="P989" s="981"/>
      <c r="Q989" s="1449"/>
      <c r="R989" s="980"/>
      <c r="S989" s="980"/>
      <c r="T989" s="980"/>
      <c r="U989" s="980"/>
      <c r="V989" s="980"/>
      <c r="W989" s="980"/>
      <c r="X989" s="981"/>
    </row>
    <row r="990" spans="1:24" ht="20.25" customHeight="1" x14ac:dyDescent="0.25">
      <c r="A990" s="1990"/>
      <c r="B990" s="1992"/>
      <c r="C990" s="1986"/>
      <c r="D990" s="953" t="s">
        <v>194</v>
      </c>
      <c r="E990" s="1307" t="s">
        <v>2054</v>
      </c>
      <c r="F990" s="1307" t="s">
        <v>2053</v>
      </c>
      <c r="G990" s="1307" t="s">
        <v>1754</v>
      </c>
      <c r="H990" s="980"/>
      <c r="I990" s="980"/>
      <c r="J990" s="980">
        <f>644972+174142</f>
        <v>819114</v>
      </c>
      <c r="K990" s="980"/>
      <c r="L990" s="980"/>
      <c r="M990" s="980"/>
      <c r="N990" s="980"/>
      <c r="O990" s="980"/>
      <c r="P990" s="981"/>
      <c r="Q990" s="1449"/>
      <c r="R990" s="980"/>
      <c r="S990" s="980"/>
      <c r="T990" s="980"/>
      <c r="U990" s="980"/>
      <c r="V990" s="980"/>
      <c r="W990" s="980"/>
      <c r="X990" s="981"/>
    </row>
    <row r="991" spans="1:24" ht="16.5" customHeight="1" x14ac:dyDescent="0.25">
      <c r="A991" s="1989" t="s">
        <v>2959</v>
      </c>
      <c r="B991" s="1991" t="s">
        <v>3240</v>
      </c>
      <c r="C991" s="1985" t="s">
        <v>3241</v>
      </c>
      <c r="D991" s="953" t="s">
        <v>194</v>
      </c>
      <c r="E991" s="1307" t="s">
        <v>73</v>
      </c>
      <c r="F991" s="1307" t="s">
        <v>453</v>
      </c>
      <c r="G991" s="1307" t="s">
        <v>1766</v>
      </c>
      <c r="H991" s="980">
        <f>-5392417-1053269+5735486+710200</f>
        <v>0</v>
      </c>
      <c r="I991" s="980"/>
      <c r="J991" s="980"/>
      <c r="K991" s="980"/>
      <c r="L991" s="980"/>
      <c r="M991" s="980"/>
      <c r="N991" s="980"/>
      <c r="O991" s="980"/>
      <c r="P991" s="981"/>
      <c r="Q991" s="1449"/>
      <c r="R991" s="980"/>
      <c r="S991" s="980"/>
      <c r="T991" s="980"/>
      <c r="U991" s="980"/>
      <c r="V991" s="980"/>
      <c r="W991" s="980"/>
      <c r="X991" s="981"/>
    </row>
    <row r="992" spans="1:24" ht="16.5" customHeight="1" x14ac:dyDescent="0.25">
      <c r="A992" s="1995"/>
      <c r="B992" s="1994"/>
      <c r="C992" s="1993"/>
      <c r="D992" s="953" t="s">
        <v>194</v>
      </c>
      <c r="E992" s="1307" t="s">
        <v>73</v>
      </c>
      <c r="F992" s="1307" t="s">
        <v>553</v>
      </c>
      <c r="G992" s="1307" t="s">
        <v>1766</v>
      </c>
      <c r="H992" s="980">
        <f>-2002559+300000+590000+1112559</f>
        <v>0</v>
      </c>
      <c r="I992" s="980"/>
      <c r="J992" s="980"/>
      <c r="K992" s="980"/>
      <c r="L992" s="980"/>
      <c r="M992" s="980"/>
      <c r="N992" s="980"/>
      <c r="O992" s="980"/>
      <c r="P992" s="981"/>
      <c r="Q992" s="1449"/>
      <c r="R992" s="980"/>
      <c r="S992" s="980"/>
      <c r="T992" s="980"/>
      <c r="U992" s="980"/>
      <c r="V992" s="980"/>
      <c r="W992" s="980"/>
      <c r="X992" s="981"/>
    </row>
    <row r="993" spans="1:24" ht="16.5" customHeight="1" x14ac:dyDescent="0.25">
      <c r="A993" s="1995"/>
      <c r="B993" s="1994"/>
      <c r="C993" s="1993"/>
      <c r="D993" s="953" t="s">
        <v>194</v>
      </c>
      <c r="E993" s="1307" t="s">
        <v>609</v>
      </c>
      <c r="F993" s="1307" t="s">
        <v>455</v>
      </c>
      <c r="G993" s="1307" t="s">
        <v>1766</v>
      </c>
      <c r="H993" s="980">
        <f>-195472+179872+15600</f>
        <v>0</v>
      </c>
      <c r="I993" s="980"/>
      <c r="J993" s="980"/>
      <c r="K993" s="980"/>
      <c r="L993" s="980"/>
      <c r="M993" s="980"/>
      <c r="N993" s="980"/>
      <c r="O993" s="980"/>
      <c r="P993" s="981"/>
      <c r="Q993" s="1449"/>
      <c r="R993" s="980"/>
      <c r="S993" s="980"/>
      <c r="T993" s="980"/>
      <c r="U993" s="980"/>
      <c r="V993" s="980"/>
      <c r="W993" s="980"/>
      <c r="X993" s="981"/>
    </row>
    <row r="994" spans="1:24" ht="16.5" customHeight="1" x14ac:dyDescent="0.25">
      <c r="A994" s="1995"/>
      <c r="B994" s="1994"/>
      <c r="C994" s="1993"/>
      <c r="D994" s="953" t="s">
        <v>194</v>
      </c>
      <c r="E994" s="1307" t="s">
        <v>130</v>
      </c>
      <c r="F994" s="1307" t="s">
        <v>457</v>
      </c>
      <c r="G994" s="1307" t="s">
        <v>1766</v>
      </c>
      <c r="H994" s="980">
        <f>-38621+38621</f>
        <v>0</v>
      </c>
      <c r="I994" s="980"/>
      <c r="J994" s="980"/>
      <c r="K994" s="980"/>
      <c r="L994" s="980"/>
      <c r="M994" s="980"/>
      <c r="N994" s="980"/>
      <c r="O994" s="980"/>
      <c r="P994" s="981"/>
      <c r="Q994" s="1449"/>
      <c r="R994" s="980"/>
      <c r="S994" s="980"/>
      <c r="T994" s="980"/>
      <c r="U994" s="980"/>
      <c r="V994" s="980"/>
      <c r="W994" s="980"/>
      <c r="X994" s="981"/>
    </row>
    <row r="995" spans="1:24" ht="16.5" customHeight="1" x14ac:dyDescent="0.25">
      <c r="A995" s="1995"/>
      <c r="B995" s="1994"/>
      <c r="C995" s="1993"/>
      <c r="D995" s="953" t="s">
        <v>194</v>
      </c>
      <c r="E995" s="1307" t="s">
        <v>557</v>
      </c>
      <c r="F995" s="1307" t="s">
        <v>460</v>
      </c>
      <c r="G995" s="1307" t="s">
        <v>1766</v>
      </c>
      <c r="H995" s="980">
        <f>-298429+27000+271429</f>
        <v>0</v>
      </c>
      <c r="I995" s="980">
        <v>132938</v>
      </c>
      <c r="J995" s="980"/>
      <c r="K995" s="980"/>
      <c r="L995" s="980"/>
      <c r="M995" s="980"/>
      <c r="N995" s="980"/>
      <c r="O995" s="980"/>
      <c r="P995" s="981"/>
      <c r="Q995" s="1449"/>
      <c r="R995" s="980"/>
      <c r="S995" s="980"/>
      <c r="T995" s="980"/>
      <c r="U995" s="980"/>
      <c r="V995" s="980"/>
      <c r="W995" s="980"/>
      <c r="X995" s="981"/>
    </row>
    <row r="996" spans="1:24" ht="16.5" customHeight="1" x14ac:dyDescent="0.25">
      <c r="A996" s="1990"/>
      <c r="B996" s="1992"/>
      <c r="C996" s="1986"/>
      <c r="D996" s="953" t="s">
        <v>194</v>
      </c>
      <c r="E996" s="1307" t="s">
        <v>557</v>
      </c>
      <c r="F996" s="1307" t="s">
        <v>462</v>
      </c>
      <c r="G996" s="1307" t="s">
        <v>1766</v>
      </c>
      <c r="H996" s="980">
        <f>-100920+36000+64920</f>
        <v>0</v>
      </c>
      <c r="I996" s="980">
        <v>-132938</v>
      </c>
      <c r="J996" s="980"/>
      <c r="K996" s="980"/>
      <c r="L996" s="980"/>
      <c r="M996" s="980"/>
      <c r="N996" s="980"/>
      <c r="O996" s="980"/>
      <c r="P996" s="981"/>
      <c r="Q996" s="1449"/>
      <c r="R996" s="980"/>
      <c r="S996" s="980"/>
      <c r="T996" s="980"/>
      <c r="U996" s="980"/>
      <c r="V996" s="980"/>
      <c r="W996" s="980"/>
      <c r="X996" s="981"/>
    </row>
    <row r="997" spans="1:24" ht="21.75" customHeight="1" x14ac:dyDescent="0.25">
      <c r="A997" s="1481"/>
      <c r="B997" s="1483"/>
      <c r="C997" s="1477" t="s">
        <v>2381</v>
      </c>
      <c r="D997" s="953" t="s">
        <v>203</v>
      </c>
      <c r="E997" s="1307" t="s">
        <v>1297</v>
      </c>
      <c r="F997" s="1307" t="s">
        <v>550</v>
      </c>
      <c r="G997" s="1307" t="s">
        <v>1766</v>
      </c>
      <c r="H997" s="980"/>
      <c r="I997" s="980"/>
      <c r="J997" s="980"/>
      <c r="K997" s="980"/>
      <c r="L997" s="980"/>
      <c r="M997" s="980"/>
      <c r="N997" s="980"/>
      <c r="O997" s="980"/>
      <c r="P997" s="981">
        <f>-254000+254000</f>
        <v>0</v>
      </c>
      <c r="Q997" s="1449"/>
      <c r="R997" s="980"/>
      <c r="S997" s="980"/>
      <c r="T997" s="980"/>
      <c r="U997" s="980"/>
      <c r="V997" s="980"/>
      <c r="W997" s="980"/>
      <c r="X997" s="981"/>
    </row>
    <row r="998" spans="1:24" ht="18.75" customHeight="1" x14ac:dyDescent="0.25">
      <c r="A998" s="1989" t="s">
        <v>2962</v>
      </c>
      <c r="B998" s="1991" t="s">
        <v>3244</v>
      </c>
      <c r="C998" s="1985" t="s">
        <v>3245</v>
      </c>
      <c r="D998" s="953" t="s">
        <v>194</v>
      </c>
      <c r="E998" s="1307" t="s">
        <v>2058</v>
      </c>
      <c r="F998" s="1307" t="s">
        <v>2057</v>
      </c>
      <c r="G998" s="1307" t="s">
        <v>1752</v>
      </c>
      <c r="H998" s="980"/>
      <c r="I998" s="980"/>
      <c r="J998" s="980">
        <v>-550000</v>
      </c>
      <c r="K998" s="980"/>
      <c r="L998" s="980"/>
      <c r="M998" s="980"/>
      <c r="N998" s="980"/>
      <c r="O998" s="980"/>
      <c r="P998" s="981"/>
      <c r="Q998" s="1449"/>
      <c r="R998" s="980"/>
      <c r="S998" s="980"/>
      <c r="T998" s="980"/>
      <c r="U998" s="980"/>
      <c r="V998" s="980"/>
      <c r="W998" s="980"/>
      <c r="X998" s="981"/>
    </row>
    <row r="999" spans="1:24" ht="18.75" customHeight="1" x14ac:dyDescent="0.25">
      <c r="A999" s="1990"/>
      <c r="B999" s="1992"/>
      <c r="C999" s="1986"/>
      <c r="D999" s="953" t="s">
        <v>194</v>
      </c>
      <c r="E999" s="1307" t="s">
        <v>1838</v>
      </c>
      <c r="F999" s="1307" t="s">
        <v>1837</v>
      </c>
      <c r="G999" s="1307" t="s">
        <v>1754</v>
      </c>
      <c r="H999" s="980"/>
      <c r="I999" s="980"/>
      <c r="J999" s="980">
        <v>550000</v>
      </c>
      <c r="K999" s="980"/>
      <c r="L999" s="980"/>
      <c r="M999" s="980"/>
      <c r="N999" s="980"/>
      <c r="O999" s="980"/>
      <c r="P999" s="981"/>
      <c r="Q999" s="1449"/>
      <c r="R999" s="980"/>
      <c r="S999" s="980"/>
      <c r="T999" s="980"/>
      <c r="U999" s="980"/>
      <c r="V999" s="980"/>
      <c r="W999" s="980"/>
      <c r="X999" s="981"/>
    </row>
    <row r="1000" spans="1:24" ht="32.25" customHeight="1" x14ac:dyDescent="0.25">
      <c r="A1000" s="1989" t="s">
        <v>2964</v>
      </c>
      <c r="B1000" s="1991" t="s">
        <v>3246</v>
      </c>
      <c r="C1000" s="1985" t="s">
        <v>3247</v>
      </c>
      <c r="D1000" s="953" t="s">
        <v>199</v>
      </c>
      <c r="E1000" s="1307" t="s">
        <v>601</v>
      </c>
      <c r="F1000" s="1307" t="s">
        <v>1391</v>
      </c>
      <c r="G1000" s="1307" t="s">
        <v>1752</v>
      </c>
      <c r="H1000" s="980"/>
      <c r="I1000" s="980"/>
      <c r="J1000" s="980"/>
      <c r="K1000" s="980"/>
      <c r="L1000" s="980"/>
      <c r="M1000" s="980">
        <f>-579760-67832</f>
        <v>-647592</v>
      </c>
      <c r="N1000" s="980"/>
      <c r="O1000" s="980"/>
      <c r="P1000" s="981"/>
      <c r="Q1000" s="1449"/>
      <c r="R1000" s="980"/>
      <c r="S1000" s="980"/>
      <c r="T1000" s="980"/>
      <c r="U1000" s="980"/>
      <c r="V1000" s="980"/>
      <c r="W1000" s="980"/>
      <c r="X1000" s="981"/>
    </row>
    <row r="1001" spans="1:24" ht="32.25" customHeight="1" x14ac:dyDescent="0.25">
      <c r="A1001" s="1990"/>
      <c r="B1001" s="1992"/>
      <c r="C1001" s="1986"/>
      <c r="D1001" s="953" t="s">
        <v>194</v>
      </c>
      <c r="E1001" s="1307" t="s">
        <v>601</v>
      </c>
      <c r="F1001" s="1307" t="s">
        <v>1391</v>
      </c>
      <c r="G1001" s="1307" t="s">
        <v>1754</v>
      </c>
      <c r="H1001" s="980">
        <v>579760</v>
      </c>
      <c r="I1001" s="980">
        <v>67832</v>
      </c>
      <c r="J1001" s="980"/>
      <c r="K1001" s="980"/>
      <c r="L1001" s="980"/>
      <c r="M1001" s="980"/>
      <c r="N1001" s="980"/>
      <c r="O1001" s="980"/>
      <c r="P1001" s="981"/>
      <c r="Q1001" s="1449"/>
      <c r="R1001" s="980"/>
      <c r="S1001" s="980"/>
      <c r="T1001" s="980"/>
      <c r="U1001" s="980"/>
      <c r="V1001" s="980"/>
      <c r="W1001" s="980"/>
      <c r="X1001" s="981"/>
    </row>
    <row r="1002" spans="1:24" ht="17.25" customHeight="1" x14ac:dyDescent="0.25">
      <c r="A1002" s="1989" t="s">
        <v>2965</v>
      </c>
      <c r="B1002" s="1991" t="s">
        <v>3248</v>
      </c>
      <c r="C1002" s="1985" t="s">
        <v>3249</v>
      </c>
      <c r="D1002" s="953" t="s">
        <v>194</v>
      </c>
      <c r="E1002" s="1307" t="s">
        <v>2764</v>
      </c>
      <c r="F1002" s="1307" t="s">
        <v>2763</v>
      </c>
      <c r="G1002" s="1307" t="s">
        <v>1752</v>
      </c>
      <c r="H1002" s="980"/>
      <c r="I1002" s="980"/>
      <c r="J1002" s="980">
        <f>-372500-100575</f>
        <v>-473075</v>
      </c>
      <c r="K1002" s="980"/>
      <c r="L1002" s="980"/>
      <c r="M1002" s="980"/>
      <c r="N1002" s="980"/>
      <c r="O1002" s="980"/>
      <c r="P1002" s="981"/>
      <c r="Q1002" s="1449"/>
      <c r="R1002" s="980"/>
      <c r="S1002" s="980"/>
      <c r="T1002" s="980"/>
      <c r="U1002" s="980"/>
      <c r="V1002" s="980"/>
      <c r="W1002" s="980"/>
      <c r="X1002" s="981"/>
    </row>
    <row r="1003" spans="1:24" ht="17.25" customHeight="1" x14ac:dyDescent="0.25">
      <c r="A1003" s="1990"/>
      <c r="B1003" s="1992"/>
      <c r="C1003" s="1986"/>
      <c r="D1003" s="953" t="s">
        <v>194</v>
      </c>
      <c r="E1003" s="1307" t="s">
        <v>844</v>
      </c>
      <c r="F1003" s="1307" t="s">
        <v>843</v>
      </c>
      <c r="G1003" s="1307" t="s">
        <v>1754</v>
      </c>
      <c r="H1003" s="980"/>
      <c r="I1003" s="980"/>
      <c r="J1003" s="980">
        <f>372500+100575</f>
        <v>473075</v>
      </c>
      <c r="K1003" s="980"/>
      <c r="L1003" s="980"/>
      <c r="M1003" s="980"/>
      <c r="N1003" s="980"/>
      <c r="O1003" s="980"/>
      <c r="P1003" s="981"/>
      <c r="Q1003" s="1449"/>
      <c r="R1003" s="980"/>
      <c r="S1003" s="980"/>
      <c r="T1003" s="980"/>
      <c r="U1003" s="980"/>
      <c r="V1003" s="980"/>
      <c r="W1003" s="980"/>
      <c r="X1003" s="981"/>
    </row>
    <row r="1004" spans="1:24" ht="21.75" customHeight="1" x14ac:dyDescent="0.25">
      <c r="A1004" s="1989" t="s">
        <v>2966</v>
      </c>
      <c r="B1004" s="1991" t="s">
        <v>3250</v>
      </c>
      <c r="C1004" s="1985" t="s">
        <v>3251</v>
      </c>
      <c r="D1004" s="953" t="s">
        <v>199</v>
      </c>
      <c r="E1004" s="1307" t="s">
        <v>648</v>
      </c>
      <c r="F1004" s="1307" t="s">
        <v>135</v>
      </c>
      <c r="G1004" s="1307" t="s">
        <v>1752</v>
      </c>
      <c r="H1004" s="980"/>
      <c r="I1004" s="980"/>
      <c r="J1004" s="980"/>
      <c r="K1004" s="980"/>
      <c r="L1004" s="980"/>
      <c r="M1004" s="980">
        <f>-192858-52072</f>
        <v>-244930</v>
      </c>
      <c r="N1004" s="980"/>
      <c r="O1004" s="980"/>
      <c r="P1004" s="981"/>
      <c r="Q1004" s="1449"/>
      <c r="R1004" s="980"/>
      <c r="S1004" s="980"/>
      <c r="T1004" s="980"/>
      <c r="U1004" s="980"/>
      <c r="V1004" s="980"/>
      <c r="W1004" s="980"/>
      <c r="X1004" s="981"/>
    </row>
    <row r="1005" spans="1:24" ht="21.75" customHeight="1" x14ac:dyDescent="0.25">
      <c r="A1005" s="1990"/>
      <c r="B1005" s="1992"/>
      <c r="C1005" s="1986"/>
      <c r="D1005" s="953" t="s">
        <v>199</v>
      </c>
      <c r="E1005" s="1307" t="s">
        <v>602</v>
      </c>
      <c r="F1005" s="1307" t="s">
        <v>857</v>
      </c>
      <c r="G1005" s="1307" t="s">
        <v>1754</v>
      </c>
      <c r="H1005" s="980"/>
      <c r="I1005" s="980"/>
      <c r="J1005" s="980"/>
      <c r="K1005" s="980"/>
      <c r="L1005" s="980"/>
      <c r="M1005" s="980">
        <f>192858+52072</f>
        <v>244930</v>
      </c>
      <c r="N1005" s="980"/>
      <c r="O1005" s="980"/>
      <c r="P1005" s="981"/>
      <c r="Q1005" s="1449"/>
      <c r="R1005" s="980"/>
      <c r="S1005" s="980"/>
      <c r="T1005" s="980"/>
      <c r="U1005" s="980"/>
      <c r="V1005" s="980"/>
      <c r="W1005" s="980"/>
      <c r="X1005" s="981"/>
    </row>
    <row r="1006" spans="1:24" ht="17.25" customHeight="1" x14ac:dyDescent="0.25">
      <c r="A1006" s="1989" t="s">
        <v>2968</v>
      </c>
      <c r="B1006" s="1991" t="s">
        <v>3252</v>
      </c>
      <c r="C1006" s="1985" t="s">
        <v>2815</v>
      </c>
      <c r="D1006" s="953" t="s">
        <v>194</v>
      </c>
      <c r="E1006" s="1307" t="s">
        <v>1781</v>
      </c>
      <c r="F1006" s="1307" t="s">
        <v>1780</v>
      </c>
      <c r="G1006" s="1307" t="s">
        <v>1754</v>
      </c>
      <c r="H1006" s="980"/>
      <c r="I1006" s="980"/>
      <c r="J1006" s="980"/>
      <c r="K1006" s="980"/>
      <c r="L1006" s="980"/>
      <c r="M1006" s="980"/>
      <c r="N1006" s="980"/>
      <c r="O1006" s="980"/>
      <c r="P1006" s="981"/>
      <c r="Q1006" s="1449"/>
      <c r="R1006" s="980"/>
      <c r="S1006" s="980"/>
      <c r="T1006" s="980">
        <v>33436932</v>
      </c>
      <c r="U1006" s="980"/>
      <c r="V1006" s="980"/>
      <c r="W1006" s="980"/>
      <c r="X1006" s="981"/>
    </row>
    <row r="1007" spans="1:24" ht="17.25" customHeight="1" x14ac:dyDescent="0.25">
      <c r="A1007" s="1990"/>
      <c r="B1007" s="1992"/>
      <c r="C1007" s="1986"/>
      <c r="D1007" s="953" t="s">
        <v>201</v>
      </c>
      <c r="E1007" s="1307" t="s">
        <v>73</v>
      </c>
      <c r="F1007" s="1307" t="s">
        <v>1785</v>
      </c>
      <c r="G1007" s="1307" t="s">
        <v>1754</v>
      </c>
      <c r="H1007" s="980"/>
      <c r="I1007" s="980"/>
      <c r="J1007" s="980"/>
      <c r="K1007" s="980"/>
      <c r="L1007" s="980">
        <v>33436932</v>
      </c>
      <c r="M1007" s="980"/>
      <c r="N1007" s="980"/>
      <c r="O1007" s="980"/>
      <c r="P1007" s="981"/>
      <c r="Q1007" s="1449"/>
      <c r="R1007" s="980"/>
      <c r="S1007" s="980"/>
      <c r="T1007" s="980"/>
      <c r="U1007" s="980"/>
      <c r="V1007" s="980"/>
      <c r="W1007" s="980"/>
      <c r="X1007" s="981"/>
    </row>
    <row r="1008" spans="1:24" ht="23.25" customHeight="1" x14ac:dyDescent="0.25">
      <c r="A1008" s="1989" t="s">
        <v>2970</v>
      </c>
      <c r="B1008" s="1991" t="s">
        <v>3255</v>
      </c>
      <c r="C1008" s="1985" t="s">
        <v>3256</v>
      </c>
      <c r="D1008" s="953" t="s">
        <v>201</v>
      </c>
      <c r="E1008" s="1307" t="s">
        <v>73</v>
      </c>
      <c r="F1008" s="1307" t="s">
        <v>1785</v>
      </c>
      <c r="G1008" s="1307" t="s">
        <v>1752</v>
      </c>
      <c r="H1008" s="980"/>
      <c r="I1008" s="980"/>
      <c r="J1008" s="980"/>
      <c r="K1008" s="980"/>
      <c r="L1008" s="980">
        <v>-7762000</v>
      </c>
      <c r="M1008" s="980"/>
      <c r="N1008" s="980"/>
      <c r="O1008" s="980"/>
      <c r="P1008" s="981"/>
      <c r="Q1008" s="1449"/>
      <c r="R1008" s="980"/>
      <c r="S1008" s="980"/>
      <c r="T1008" s="980"/>
      <c r="U1008" s="980"/>
      <c r="V1008" s="980"/>
      <c r="W1008" s="980"/>
      <c r="X1008" s="981"/>
    </row>
    <row r="1009" spans="1:24" ht="23.25" customHeight="1" x14ac:dyDescent="0.25">
      <c r="A1009" s="1990"/>
      <c r="B1009" s="1992"/>
      <c r="C1009" s="1986"/>
      <c r="D1009" s="953" t="s">
        <v>203</v>
      </c>
      <c r="E1009" s="1307" t="s">
        <v>1297</v>
      </c>
      <c r="F1009" s="1307" t="s">
        <v>550</v>
      </c>
      <c r="G1009" s="1307" t="s">
        <v>1754</v>
      </c>
      <c r="H1009" s="980"/>
      <c r="I1009" s="980"/>
      <c r="J1009" s="980"/>
      <c r="K1009" s="980"/>
      <c r="L1009" s="980"/>
      <c r="M1009" s="980"/>
      <c r="N1009" s="980"/>
      <c r="O1009" s="980"/>
      <c r="P1009" s="981">
        <v>7762000</v>
      </c>
      <c r="Q1009" s="1449"/>
      <c r="R1009" s="980"/>
      <c r="S1009" s="980"/>
      <c r="T1009" s="980"/>
      <c r="U1009" s="980"/>
      <c r="V1009" s="980"/>
      <c r="W1009" s="980"/>
      <c r="X1009" s="981"/>
    </row>
    <row r="1010" spans="1:24" ht="47.25" customHeight="1" x14ac:dyDescent="0.25">
      <c r="A1010" s="1989" t="s">
        <v>2981</v>
      </c>
      <c r="B1010" s="1991" t="s">
        <v>3257</v>
      </c>
      <c r="C1010" s="1985" t="s">
        <v>3259</v>
      </c>
      <c r="D1010" s="953" t="s">
        <v>204</v>
      </c>
      <c r="E1010" s="1307" t="s">
        <v>1753</v>
      </c>
      <c r="F1010" s="1307" t="s">
        <v>1784</v>
      </c>
      <c r="G1010" s="1307" t="s">
        <v>1754</v>
      </c>
      <c r="H1010" s="980"/>
      <c r="I1010" s="980"/>
      <c r="J1010" s="980"/>
      <c r="K1010" s="980"/>
      <c r="L1010" s="980"/>
      <c r="M1010" s="980"/>
      <c r="N1010" s="980"/>
      <c r="O1010" s="980"/>
      <c r="P1010" s="981"/>
      <c r="Q1010" s="1449">
        <v>123753075</v>
      </c>
      <c r="R1010" s="980"/>
      <c r="S1010" s="980"/>
      <c r="T1010" s="980"/>
      <c r="U1010" s="980"/>
      <c r="V1010" s="980"/>
      <c r="W1010" s="980"/>
      <c r="X1010" s="981"/>
    </row>
    <row r="1011" spans="1:24" ht="47.25" customHeight="1" x14ac:dyDescent="0.25">
      <c r="A1011" s="1990"/>
      <c r="B1011" s="1992"/>
      <c r="C1011" s="1986"/>
      <c r="D1011" s="953" t="s">
        <v>201</v>
      </c>
      <c r="E1011" s="1307" t="s">
        <v>73</v>
      </c>
      <c r="F1011" s="1307" t="s">
        <v>1785</v>
      </c>
      <c r="G1011" s="1307" t="s">
        <v>1754</v>
      </c>
      <c r="H1011" s="980"/>
      <c r="I1011" s="980"/>
      <c r="J1011" s="980"/>
      <c r="K1011" s="980"/>
      <c r="L1011" s="980">
        <v>123753075</v>
      </c>
      <c r="M1011" s="980"/>
      <c r="N1011" s="980"/>
      <c r="O1011" s="980"/>
      <c r="P1011" s="981"/>
      <c r="Q1011" s="1449"/>
      <c r="R1011" s="980"/>
      <c r="S1011" s="980"/>
      <c r="T1011" s="980"/>
      <c r="U1011" s="980"/>
      <c r="V1011" s="980"/>
      <c r="W1011" s="980"/>
      <c r="X1011" s="981"/>
    </row>
    <row r="1012" spans="1:24" ht="24" customHeight="1" x14ac:dyDescent="0.25">
      <c r="A1012" s="1989" t="s">
        <v>2984</v>
      </c>
      <c r="B1012" s="1991" t="s">
        <v>3260</v>
      </c>
      <c r="C1012" s="1985" t="s">
        <v>3261</v>
      </c>
      <c r="D1012" s="953" t="s">
        <v>201</v>
      </c>
      <c r="E1012" s="1307" t="s">
        <v>73</v>
      </c>
      <c r="F1012" s="1307" t="s">
        <v>1785</v>
      </c>
      <c r="G1012" s="1307" t="s">
        <v>1752</v>
      </c>
      <c r="H1012" s="980"/>
      <c r="I1012" s="980"/>
      <c r="J1012" s="980"/>
      <c r="K1012" s="980"/>
      <c r="L1012" s="980">
        <v>-16031194</v>
      </c>
      <c r="M1012" s="980"/>
      <c r="N1012" s="980"/>
      <c r="O1012" s="980"/>
      <c r="P1012" s="981"/>
      <c r="Q1012" s="1449"/>
      <c r="R1012" s="980"/>
      <c r="S1012" s="980"/>
      <c r="T1012" s="980"/>
      <c r="U1012" s="980"/>
      <c r="V1012" s="980"/>
      <c r="W1012" s="980"/>
      <c r="X1012" s="981"/>
    </row>
    <row r="1013" spans="1:24" ht="24" customHeight="1" x14ac:dyDescent="0.25">
      <c r="A1013" s="1990"/>
      <c r="B1013" s="1992"/>
      <c r="C1013" s="1986"/>
      <c r="D1013" s="953" t="s">
        <v>194</v>
      </c>
      <c r="E1013" s="1307" t="s">
        <v>73</v>
      </c>
      <c r="F1013" s="1307" t="s">
        <v>453</v>
      </c>
      <c r="G1013" s="1307" t="s">
        <v>1754</v>
      </c>
      <c r="H1013" s="980">
        <v>14186897</v>
      </c>
      <c r="I1013" s="980">
        <v>1844297</v>
      </c>
      <c r="J1013" s="980"/>
      <c r="K1013" s="980"/>
      <c r="L1013" s="980"/>
      <c r="M1013" s="980"/>
      <c r="N1013" s="980"/>
      <c r="O1013" s="980"/>
      <c r="P1013" s="981"/>
      <c r="Q1013" s="1449"/>
      <c r="R1013" s="980"/>
      <c r="S1013" s="980"/>
      <c r="T1013" s="980"/>
      <c r="U1013" s="980"/>
      <c r="V1013" s="980"/>
      <c r="W1013" s="980"/>
      <c r="X1013" s="981"/>
    </row>
    <row r="1014" spans="1:24" ht="19.5" customHeight="1" x14ac:dyDescent="0.25">
      <c r="A1014" s="1989" t="s">
        <v>2987</v>
      </c>
      <c r="B1014" s="1991" t="s">
        <v>3262</v>
      </c>
      <c r="C1014" s="1985" t="s">
        <v>2700</v>
      </c>
      <c r="D1014" s="953" t="s">
        <v>194</v>
      </c>
      <c r="E1014" s="1307" t="s">
        <v>641</v>
      </c>
      <c r="F1014" s="1307" t="s">
        <v>66</v>
      </c>
      <c r="G1014" s="1307" t="s">
        <v>1754</v>
      </c>
      <c r="H1014" s="980"/>
      <c r="I1014" s="980"/>
      <c r="J1014" s="980"/>
      <c r="K1014" s="980"/>
      <c r="L1014" s="980"/>
      <c r="M1014" s="980"/>
      <c r="N1014" s="980"/>
      <c r="O1014" s="980"/>
      <c r="P1014" s="981"/>
      <c r="Q1014" s="1449"/>
      <c r="R1014" s="980"/>
      <c r="S1014" s="980"/>
      <c r="T1014" s="980">
        <f>78740+21260</f>
        <v>100000</v>
      </c>
      <c r="U1014" s="980"/>
      <c r="V1014" s="980"/>
      <c r="W1014" s="980"/>
      <c r="X1014" s="981"/>
    </row>
    <row r="1015" spans="1:24" ht="19.5" customHeight="1" x14ac:dyDescent="0.25">
      <c r="A1015" s="1990"/>
      <c r="B1015" s="1992"/>
      <c r="C1015" s="1986"/>
      <c r="D1015" s="953" t="s">
        <v>201</v>
      </c>
      <c r="E1015" s="1307" t="s">
        <v>73</v>
      </c>
      <c r="F1015" s="1307" t="s">
        <v>1785</v>
      </c>
      <c r="G1015" s="1307" t="s">
        <v>1754</v>
      </c>
      <c r="H1015" s="980"/>
      <c r="I1015" s="980"/>
      <c r="J1015" s="980"/>
      <c r="K1015" s="980"/>
      <c r="L1015" s="980">
        <v>100000</v>
      </c>
      <c r="M1015" s="980"/>
      <c r="N1015" s="980"/>
      <c r="O1015" s="980"/>
      <c r="P1015" s="981"/>
      <c r="Q1015" s="1449"/>
      <c r="R1015" s="980"/>
      <c r="S1015" s="980"/>
      <c r="T1015" s="980"/>
      <c r="U1015" s="980"/>
      <c r="V1015" s="980"/>
      <c r="W1015" s="980"/>
      <c r="X1015" s="981"/>
    </row>
    <row r="1016" spans="1:24" ht="18.75" customHeight="1" x14ac:dyDescent="0.25">
      <c r="A1016" s="1989" t="s">
        <v>2989</v>
      </c>
      <c r="B1016" s="1991" t="s">
        <v>3263</v>
      </c>
      <c r="C1016" s="1985" t="s">
        <v>3264</v>
      </c>
      <c r="D1016" s="953" t="s">
        <v>194</v>
      </c>
      <c r="E1016" s="1307" t="s">
        <v>2058</v>
      </c>
      <c r="F1016" s="1307" t="s">
        <v>2057</v>
      </c>
      <c r="G1016" s="1307" t="s">
        <v>1752</v>
      </c>
      <c r="H1016" s="980"/>
      <c r="I1016" s="980"/>
      <c r="J1016" s="980">
        <f>-1301764-351476</f>
        <v>-1653240</v>
      </c>
      <c r="K1016" s="980"/>
      <c r="L1016" s="980"/>
      <c r="M1016" s="980"/>
      <c r="N1016" s="980"/>
      <c r="O1016" s="980"/>
      <c r="P1016" s="981"/>
      <c r="Q1016" s="1449"/>
      <c r="R1016" s="980"/>
      <c r="S1016" s="980"/>
      <c r="T1016" s="980"/>
      <c r="U1016" s="980"/>
      <c r="V1016" s="980"/>
      <c r="W1016" s="980"/>
      <c r="X1016" s="981"/>
    </row>
    <row r="1017" spans="1:24" ht="18.75" customHeight="1" x14ac:dyDescent="0.25">
      <c r="A1017" s="1990"/>
      <c r="B1017" s="1992"/>
      <c r="C1017" s="1986"/>
      <c r="D1017" s="953" t="s">
        <v>194</v>
      </c>
      <c r="E1017" s="1307" t="s">
        <v>1838</v>
      </c>
      <c r="F1017" s="1307" t="s">
        <v>1837</v>
      </c>
      <c r="G1017" s="1307" t="s">
        <v>1754</v>
      </c>
      <c r="H1017" s="980"/>
      <c r="I1017" s="980"/>
      <c r="J1017" s="980">
        <f>1301764+351476</f>
        <v>1653240</v>
      </c>
      <c r="K1017" s="980"/>
      <c r="L1017" s="980"/>
      <c r="M1017" s="980"/>
      <c r="N1017" s="980"/>
      <c r="O1017" s="980"/>
      <c r="P1017" s="981"/>
      <c r="Q1017" s="1449"/>
      <c r="R1017" s="980"/>
      <c r="S1017" s="980"/>
      <c r="T1017" s="980"/>
      <c r="U1017" s="980"/>
      <c r="V1017" s="980"/>
      <c r="W1017" s="980"/>
      <c r="X1017" s="981"/>
    </row>
    <row r="1018" spans="1:24" ht="38.25" customHeight="1" x14ac:dyDescent="0.25">
      <c r="A1018" s="1989" t="s">
        <v>2991</v>
      </c>
      <c r="B1018" s="1991" t="s">
        <v>3265</v>
      </c>
      <c r="C1018" s="1985" t="s">
        <v>3266</v>
      </c>
      <c r="D1018" s="953" t="s">
        <v>202</v>
      </c>
      <c r="E1018" s="1307" t="s">
        <v>1294</v>
      </c>
      <c r="F1018" s="1307" t="s">
        <v>1774</v>
      </c>
      <c r="G1018" s="1307" t="s">
        <v>1752</v>
      </c>
      <c r="H1018" s="980"/>
      <c r="I1018" s="980"/>
      <c r="J1018" s="980"/>
      <c r="K1018" s="980">
        <v>-111760</v>
      </c>
      <c r="L1018" s="980"/>
      <c r="M1018" s="980"/>
      <c r="N1018" s="980"/>
      <c r="O1018" s="980"/>
      <c r="P1018" s="981"/>
      <c r="Q1018" s="1449"/>
      <c r="R1018" s="980"/>
      <c r="S1018" s="980"/>
      <c r="T1018" s="980"/>
      <c r="U1018" s="980"/>
      <c r="V1018" s="980"/>
      <c r="W1018" s="980"/>
      <c r="X1018" s="981"/>
    </row>
    <row r="1019" spans="1:24" ht="38.25" customHeight="1" x14ac:dyDescent="0.25">
      <c r="A1019" s="1990"/>
      <c r="B1019" s="1992"/>
      <c r="C1019" s="1986"/>
      <c r="D1019" s="953" t="s">
        <v>194</v>
      </c>
      <c r="E1019" s="1307" t="s">
        <v>169</v>
      </c>
      <c r="F1019" s="1307" t="s">
        <v>1888</v>
      </c>
      <c r="G1019" s="1307" t="s">
        <v>1754</v>
      </c>
      <c r="H1019" s="980"/>
      <c r="I1019" s="980"/>
      <c r="J1019" s="980">
        <f>106438+5322</f>
        <v>111760</v>
      </c>
      <c r="K1019" s="980"/>
      <c r="L1019" s="980"/>
      <c r="M1019" s="980"/>
      <c r="N1019" s="980"/>
      <c r="O1019" s="980"/>
      <c r="P1019" s="981"/>
      <c r="Q1019" s="1449"/>
      <c r="R1019" s="980"/>
      <c r="S1019" s="980"/>
      <c r="T1019" s="980"/>
      <c r="U1019" s="980"/>
      <c r="V1019" s="980"/>
      <c r="W1019" s="980"/>
      <c r="X1019" s="981"/>
    </row>
    <row r="1020" spans="1:24" ht="27.75" customHeight="1" x14ac:dyDescent="0.25">
      <c r="A1020" s="1481" t="s">
        <v>2993</v>
      </c>
      <c r="B1020" s="1483" t="s">
        <v>3267</v>
      </c>
      <c r="C1020" s="1477" t="s">
        <v>3053</v>
      </c>
      <c r="D1020" s="953" t="s">
        <v>194</v>
      </c>
      <c r="E1020" s="1307" t="s">
        <v>609</v>
      </c>
      <c r="F1020" s="1307" t="s">
        <v>455</v>
      </c>
      <c r="G1020" s="1307" t="s">
        <v>1754</v>
      </c>
      <c r="H1020" s="980"/>
      <c r="I1020" s="980"/>
      <c r="J1020" s="980">
        <v>2500000</v>
      </c>
      <c r="K1020" s="980"/>
      <c r="L1020" s="980"/>
      <c r="M1020" s="980"/>
      <c r="N1020" s="980"/>
      <c r="O1020" s="980"/>
      <c r="P1020" s="981"/>
      <c r="Q1020" s="1449"/>
      <c r="R1020" s="980"/>
      <c r="S1020" s="980"/>
      <c r="T1020" s="980">
        <v>2500000</v>
      </c>
      <c r="U1020" s="980"/>
      <c r="V1020" s="980"/>
      <c r="W1020" s="980"/>
      <c r="X1020" s="981"/>
    </row>
    <row r="1021" spans="1:24" ht="21.75" customHeight="1" x14ac:dyDescent="0.25">
      <c r="A1021" s="1989" t="s">
        <v>2995</v>
      </c>
      <c r="B1021" s="1991" t="s">
        <v>3270</v>
      </c>
      <c r="C1021" s="1985" t="s">
        <v>3271</v>
      </c>
      <c r="D1021" s="953" t="s">
        <v>194</v>
      </c>
      <c r="E1021" s="1307" t="s">
        <v>641</v>
      </c>
      <c r="F1021" s="1307" t="s">
        <v>66</v>
      </c>
      <c r="G1021" s="1307" t="s">
        <v>1754</v>
      </c>
      <c r="H1021" s="980"/>
      <c r="I1021" s="980"/>
      <c r="J1021" s="980"/>
      <c r="K1021" s="980"/>
      <c r="L1021" s="980"/>
      <c r="M1021" s="980"/>
      <c r="N1021" s="980"/>
      <c r="O1021" s="980"/>
      <c r="P1021" s="981"/>
      <c r="Q1021" s="1449"/>
      <c r="R1021" s="980"/>
      <c r="S1021" s="980"/>
      <c r="T1021" s="980">
        <v>7044948</v>
      </c>
      <c r="U1021" s="980">
        <v>42973594</v>
      </c>
      <c r="V1021" s="980"/>
      <c r="W1021" s="980"/>
      <c r="X1021" s="981"/>
    </row>
    <row r="1022" spans="1:24" ht="21.75" customHeight="1" x14ac:dyDescent="0.25">
      <c r="A1022" s="1990"/>
      <c r="B1022" s="1992"/>
      <c r="C1022" s="1986"/>
      <c r="D1022" s="953" t="s">
        <v>201</v>
      </c>
      <c r="E1022" s="1307" t="s">
        <v>73</v>
      </c>
      <c r="F1022" s="1307" t="s">
        <v>1785</v>
      </c>
      <c r="G1022" s="1307" t="s">
        <v>1754</v>
      </c>
      <c r="H1022" s="980"/>
      <c r="I1022" s="980"/>
      <c r="J1022" s="980"/>
      <c r="K1022" s="980"/>
      <c r="L1022" s="980">
        <v>50018542</v>
      </c>
      <c r="M1022" s="980"/>
      <c r="N1022" s="980"/>
      <c r="O1022" s="980"/>
      <c r="P1022" s="981"/>
      <c r="Q1022" s="1449"/>
      <c r="R1022" s="980"/>
      <c r="S1022" s="980"/>
      <c r="T1022" s="980"/>
      <c r="U1022" s="980"/>
      <c r="V1022" s="980"/>
      <c r="W1022" s="980"/>
      <c r="X1022" s="981"/>
    </row>
    <row r="1023" spans="1:24" ht="24" customHeight="1" x14ac:dyDescent="0.25">
      <c r="A1023" s="1989" t="s">
        <v>2997</v>
      </c>
      <c r="B1023" s="1991" t="s">
        <v>3273</v>
      </c>
      <c r="C1023" s="1985" t="s">
        <v>3274</v>
      </c>
      <c r="D1023" s="953" t="s">
        <v>194</v>
      </c>
      <c r="E1023" s="1307" t="s">
        <v>130</v>
      </c>
      <c r="F1023" s="1307" t="s">
        <v>1865</v>
      </c>
      <c r="G1023" s="1307" t="s">
        <v>1754</v>
      </c>
      <c r="H1023" s="980"/>
      <c r="I1023" s="980"/>
      <c r="J1023" s="980"/>
      <c r="K1023" s="980"/>
      <c r="L1023" s="980"/>
      <c r="M1023" s="980"/>
      <c r="N1023" s="980"/>
      <c r="O1023" s="980"/>
      <c r="P1023" s="981"/>
      <c r="Q1023" s="1449"/>
      <c r="R1023" s="980"/>
      <c r="S1023" s="980"/>
      <c r="T1023" s="980">
        <v>454000</v>
      </c>
      <c r="U1023" s="980"/>
      <c r="V1023" s="980"/>
      <c r="W1023" s="980"/>
      <c r="X1023" s="981"/>
    </row>
    <row r="1024" spans="1:24" ht="24" customHeight="1" x14ac:dyDescent="0.25">
      <c r="A1024" s="1990"/>
      <c r="B1024" s="1992"/>
      <c r="C1024" s="1986"/>
      <c r="D1024" s="953" t="s">
        <v>201</v>
      </c>
      <c r="E1024" s="1307" t="s">
        <v>73</v>
      </c>
      <c r="F1024" s="1307" t="s">
        <v>1785</v>
      </c>
      <c r="G1024" s="1307" t="s">
        <v>1754</v>
      </c>
      <c r="H1024" s="980"/>
      <c r="I1024" s="980"/>
      <c r="J1024" s="980"/>
      <c r="K1024" s="980"/>
      <c r="L1024" s="980">
        <v>454000</v>
      </c>
      <c r="M1024" s="980"/>
      <c r="N1024" s="980"/>
      <c r="O1024" s="980"/>
      <c r="P1024" s="981"/>
      <c r="Q1024" s="1449"/>
      <c r="R1024" s="980"/>
      <c r="S1024" s="980"/>
      <c r="T1024" s="980"/>
      <c r="U1024" s="980"/>
      <c r="V1024" s="980"/>
      <c r="W1024" s="980"/>
      <c r="X1024" s="981"/>
    </row>
    <row r="1025" spans="1:24" ht="27.75" customHeight="1" x14ac:dyDescent="0.25">
      <c r="A1025" s="1481"/>
      <c r="B1025" s="1483"/>
      <c r="C1025" s="1477" t="s">
        <v>2457</v>
      </c>
      <c r="D1025" s="953" t="s">
        <v>203</v>
      </c>
      <c r="E1025" s="1307" t="s">
        <v>1297</v>
      </c>
      <c r="F1025" s="1307" t="s">
        <v>550</v>
      </c>
      <c r="G1025" s="1307" t="s">
        <v>1766</v>
      </c>
      <c r="H1025" s="980"/>
      <c r="I1025" s="980"/>
      <c r="J1025" s="980"/>
      <c r="K1025" s="980"/>
      <c r="L1025" s="980"/>
      <c r="M1025" s="980"/>
      <c r="N1025" s="980"/>
      <c r="O1025" s="980"/>
      <c r="P1025" s="981">
        <f>-122127+122127</f>
        <v>0</v>
      </c>
      <c r="Q1025" s="1449"/>
      <c r="R1025" s="980"/>
      <c r="S1025" s="980"/>
      <c r="T1025" s="980"/>
      <c r="U1025" s="980"/>
      <c r="V1025" s="980"/>
      <c r="W1025" s="980"/>
      <c r="X1025" s="981"/>
    </row>
    <row r="1026" spans="1:24" ht="23.25" customHeight="1" x14ac:dyDescent="0.25">
      <c r="A1026" s="1989" t="s">
        <v>3000</v>
      </c>
      <c r="B1026" s="1991" t="s">
        <v>3276</v>
      </c>
      <c r="C1026" s="1985" t="s">
        <v>3277</v>
      </c>
      <c r="D1026" s="953" t="s">
        <v>201</v>
      </c>
      <c r="E1026" s="1307" t="s">
        <v>73</v>
      </c>
      <c r="F1026" s="1307" t="s">
        <v>1785</v>
      </c>
      <c r="G1026" s="1307" t="s">
        <v>1752</v>
      </c>
      <c r="H1026" s="980"/>
      <c r="I1026" s="980"/>
      <c r="J1026" s="980"/>
      <c r="K1026" s="980"/>
      <c r="L1026" s="980">
        <v>-87452</v>
      </c>
      <c r="M1026" s="980"/>
      <c r="N1026" s="980"/>
      <c r="O1026" s="980"/>
      <c r="P1026" s="981"/>
      <c r="Q1026" s="1449"/>
      <c r="R1026" s="980"/>
      <c r="S1026" s="980"/>
      <c r="T1026" s="980"/>
      <c r="U1026" s="980"/>
      <c r="V1026" s="980"/>
      <c r="W1026" s="980"/>
      <c r="X1026" s="981"/>
    </row>
    <row r="1027" spans="1:24" ht="23.25" customHeight="1" x14ac:dyDescent="0.25">
      <c r="A1027" s="1990"/>
      <c r="B1027" s="1992"/>
      <c r="C1027" s="1986"/>
      <c r="D1027" s="953" t="s">
        <v>198</v>
      </c>
      <c r="E1027" s="1307" t="s">
        <v>69</v>
      </c>
      <c r="F1027" s="1307" t="s">
        <v>1830</v>
      </c>
      <c r="G1027" s="1307" t="s">
        <v>1754</v>
      </c>
      <c r="H1027" s="980"/>
      <c r="I1027" s="980"/>
      <c r="J1027" s="980"/>
      <c r="K1027" s="980"/>
      <c r="L1027" s="980">
        <v>87452</v>
      </c>
      <c r="M1027" s="980"/>
      <c r="N1027" s="980"/>
      <c r="O1027" s="980"/>
      <c r="P1027" s="981"/>
      <c r="Q1027" s="1449"/>
      <c r="R1027" s="980"/>
      <c r="S1027" s="980"/>
      <c r="T1027" s="980"/>
      <c r="U1027" s="980"/>
      <c r="V1027" s="980"/>
      <c r="W1027" s="980"/>
      <c r="X1027" s="981"/>
    </row>
    <row r="1028" spans="1:24" ht="33" customHeight="1" x14ac:dyDescent="0.25">
      <c r="A1028" s="1481" t="s">
        <v>3002</v>
      </c>
      <c r="B1028" s="1479" t="s">
        <v>3279</v>
      </c>
      <c r="C1028" s="1477" t="s">
        <v>3280</v>
      </c>
      <c r="D1028" s="953" t="s">
        <v>194</v>
      </c>
      <c r="E1028" s="1307" t="s">
        <v>2058</v>
      </c>
      <c r="F1028" s="1307" t="s">
        <v>2057</v>
      </c>
      <c r="G1028" s="1307" t="s">
        <v>1766</v>
      </c>
      <c r="H1028" s="980"/>
      <c r="I1028" s="980"/>
      <c r="J1028" s="980">
        <f>-264600+264600</f>
        <v>0</v>
      </c>
      <c r="K1028" s="980"/>
      <c r="L1028" s="980"/>
      <c r="M1028" s="980"/>
      <c r="N1028" s="980"/>
      <c r="O1028" s="980"/>
      <c r="P1028" s="981"/>
      <c r="Q1028" s="1449"/>
      <c r="R1028" s="980"/>
      <c r="S1028" s="980"/>
      <c r="T1028" s="980"/>
      <c r="U1028" s="980"/>
      <c r="V1028" s="980"/>
      <c r="W1028" s="980"/>
      <c r="X1028" s="981"/>
    </row>
    <row r="1029" spans="1:24" ht="24.75" customHeight="1" x14ac:dyDescent="0.25">
      <c r="A1029" s="1481"/>
      <c r="B1029" s="1479"/>
      <c r="C1029" s="1477" t="s">
        <v>2291</v>
      </c>
      <c r="D1029" s="953" t="s">
        <v>203</v>
      </c>
      <c r="E1029" s="1307" t="s">
        <v>1297</v>
      </c>
      <c r="F1029" s="1307" t="s">
        <v>550</v>
      </c>
      <c r="G1029" s="1307" t="s">
        <v>1766</v>
      </c>
      <c r="H1029" s="980"/>
      <c r="I1029" s="980"/>
      <c r="J1029" s="980"/>
      <c r="K1029" s="980"/>
      <c r="L1029" s="980"/>
      <c r="M1029" s="980"/>
      <c r="N1029" s="980"/>
      <c r="O1029" s="980"/>
      <c r="P1029" s="981">
        <f>-250239+250239</f>
        <v>0</v>
      </c>
      <c r="Q1029" s="1449"/>
      <c r="R1029" s="980"/>
      <c r="S1029" s="980"/>
      <c r="T1029" s="980"/>
      <c r="U1029" s="980"/>
      <c r="V1029" s="980"/>
      <c r="W1029" s="980"/>
      <c r="X1029" s="981"/>
    </row>
    <row r="1030" spans="1:24" ht="25.5" customHeight="1" x14ac:dyDescent="0.25">
      <c r="A1030" s="1481"/>
      <c r="B1030" s="1479"/>
      <c r="C1030" s="1477" t="s">
        <v>3282</v>
      </c>
      <c r="D1030" s="953" t="s">
        <v>203</v>
      </c>
      <c r="E1030" s="1307" t="s">
        <v>1297</v>
      </c>
      <c r="F1030" s="1307" t="s">
        <v>550</v>
      </c>
      <c r="G1030" s="1307" t="s">
        <v>1766</v>
      </c>
      <c r="H1030" s="980"/>
      <c r="I1030" s="980"/>
      <c r="J1030" s="980"/>
      <c r="K1030" s="980"/>
      <c r="L1030" s="980"/>
      <c r="M1030" s="980"/>
      <c r="N1030" s="980"/>
      <c r="O1030" s="980"/>
      <c r="P1030" s="981">
        <f>-7290+7290</f>
        <v>0</v>
      </c>
      <c r="Q1030" s="1449"/>
      <c r="R1030" s="980"/>
      <c r="S1030" s="980"/>
      <c r="T1030" s="980"/>
      <c r="U1030" s="980"/>
      <c r="V1030" s="980"/>
      <c r="W1030" s="980"/>
      <c r="X1030" s="981"/>
    </row>
    <row r="1031" spans="1:24" ht="31.5" customHeight="1" x14ac:dyDescent="0.25">
      <c r="A1031" s="1481"/>
      <c r="B1031" s="1479"/>
      <c r="C1031" s="1477" t="s">
        <v>1862</v>
      </c>
      <c r="D1031" s="953" t="s">
        <v>203</v>
      </c>
      <c r="E1031" s="1307" t="s">
        <v>1297</v>
      </c>
      <c r="F1031" s="1307" t="s">
        <v>550</v>
      </c>
      <c r="G1031" s="1307" t="s">
        <v>1766</v>
      </c>
      <c r="H1031" s="980"/>
      <c r="I1031" s="980"/>
      <c r="J1031" s="980"/>
      <c r="K1031" s="980"/>
      <c r="L1031" s="980"/>
      <c r="M1031" s="980"/>
      <c r="N1031" s="980"/>
      <c r="O1031" s="980"/>
      <c r="P1031" s="981">
        <f>-340788+340788</f>
        <v>0</v>
      </c>
      <c r="Q1031" s="1449"/>
      <c r="R1031" s="980"/>
      <c r="S1031" s="980"/>
      <c r="T1031" s="980"/>
      <c r="U1031" s="980"/>
      <c r="V1031" s="980"/>
      <c r="W1031" s="980"/>
      <c r="X1031" s="981"/>
    </row>
    <row r="1032" spans="1:24" ht="25.5" customHeight="1" x14ac:dyDescent="0.25">
      <c r="A1032" s="1989" t="s">
        <v>3006</v>
      </c>
      <c r="B1032" s="1987" t="s">
        <v>3287</v>
      </c>
      <c r="C1032" s="1985" t="s">
        <v>3288</v>
      </c>
      <c r="D1032" s="953" t="s">
        <v>201</v>
      </c>
      <c r="E1032" s="1307" t="s">
        <v>73</v>
      </c>
      <c r="F1032" s="1307" t="s">
        <v>1785</v>
      </c>
      <c r="G1032" s="1307" t="s">
        <v>1752</v>
      </c>
      <c r="H1032" s="980"/>
      <c r="I1032" s="980"/>
      <c r="J1032" s="980"/>
      <c r="K1032" s="980"/>
      <c r="L1032" s="980">
        <v>-889000</v>
      </c>
      <c r="M1032" s="980"/>
      <c r="N1032" s="980"/>
      <c r="O1032" s="980"/>
      <c r="P1032" s="981"/>
      <c r="Q1032" s="1449"/>
      <c r="R1032" s="980"/>
      <c r="S1032" s="980"/>
      <c r="T1032" s="980"/>
      <c r="U1032" s="980"/>
      <c r="V1032" s="980"/>
      <c r="W1032" s="980"/>
      <c r="X1032" s="981"/>
    </row>
    <row r="1033" spans="1:24" ht="25.5" customHeight="1" x14ac:dyDescent="0.25">
      <c r="A1033" s="1990"/>
      <c r="B1033" s="1988"/>
      <c r="C1033" s="1986"/>
      <c r="D1033" s="953" t="s">
        <v>203</v>
      </c>
      <c r="E1033" s="1307" t="s">
        <v>1297</v>
      </c>
      <c r="F1033" s="1307" t="s">
        <v>550</v>
      </c>
      <c r="G1033" s="1307" t="s">
        <v>1754</v>
      </c>
      <c r="H1033" s="980"/>
      <c r="I1033" s="980"/>
      <c r="J1033" s="980"/>
      <c r="K1033" s="980"/>
      <c r="L1033" s="980"/>
      <c r="M1033" s="980"/>
      <c r="N1033" s="980"/>
      <c r="O1033" s="980"/>
      <c r="P1033" s="981">
        <v>889000</v>
      </c>
      <c r="Q1033" s="1449"/>
      <c r="R1033" s="980"/>
      <c r="S1033" s="980"/>
      <c r="T1033" s="980"/>
      <c r="U1033" s="980"/>
      <c r="V1033" s="980"/>
      <c r="W1033" s="980"/>
      <c r="X1033" s="981"/>
    </row>
    <row r="1034" spans="1:24" ht="20.25" customHeight="1" x14ac:dyDescent="0.25">
      <c r="A1034" s="1989" t="s">
        <v>3008</v>
      </c>
      <c r="B1034" s="1987" t="s">
        <v>3293</v>
      </c>
      <c r="C1034" s="1985" t="s">
        <v>3295</v>
      </c>
      <c r="D1034" s="953" t="s">
        <v>194</v>
      </c>
      <c r="E1034" s="1307" t="s">
        <v>1838</v>
      </c>
      <c r="F1034" s="1307" t="s">
        <v>1837</v>
      </c>
      <c r="G1034" s="1307" t="s">
        <v>1752</v>
      </c>
      <c r="H1034" s="980"/>
      <c r="I1034" s="980"/>
      <c r="J1034" s="980">
        <f>-27204-7345</f>
        <v>-34549</v>
      </c>
      <c r="K1034" s="980"/>
      <c r="L1034" s="980"/>
      <c r="M1034" s="980">
        <f>27204+7345</f>
        <v>34549</v>
      </c>
      <c r="N1034" s="980"/>
      <c r="O1034" s="980"/>
      <c r="P1034" s="981"/>
      <c r="Q1034" s="1449"/>
      <c r="R1034" s="980"/>
      <c r="S1034" s="980"/>
      <c r="T1034" s="980"/>
      <c r="U1034" s="980"/>
      <c r="V1034" s="980"/>
      <c r="W1034" s="980"/>
      <c r="X1034" s="981"/>
    </row>
    <row r="1035" spans="1:24" ht="20.25" customHeight="1" x14ac:dyDescent="0.25">
      <c r="A1035" s="1990"/>
      <c r="B1035" s="1988"/>
      <c r="C1035" s="1986"/>
      <c r="D1035" s="953" t="s">
        <v>199</v>
      </c>
      <c r="E1035" s="1307" t="s">
        <v>1838</v>
      </c>
      <c r="F1035" s="1307" t="s">
        <v>1837</v>
      </c>
      <c r="G1035" s="1307" t="s">
        <v>1754</v>
      </c>
      <c r="H1035" s="980"/>
      <c r="I1035" s="980"/>
      <c r="J1035" s="980"/>
      <c r="K1035" s="980"/>
      <c r="L1035" s="980"/>
      <c r="M1035" s="980"/>
      <c r="N1035" s="980"/>
      <c r="O1035" s="980"/>
      <c r="P1035" s="981"/>
      <c r="Q1035" s="1449"/>
      <c r="R1035" s="980"/>
      <c r="S1035" s="980"/>
      <c r="T1035" s="980"/>
      <c r="U1035" s="980"/>
      <c r="V1035" s="980"/>
      <c r="W1035" s="980"/>
      <c r="X1035" s="981"/>
    </row>
    <row r="1036" spans="1:24" ht="20.25" customHeight="1" x14ac:dyDescent="0.25">
      <c r="A1036" s="1989" t="s">
        <v>3010</v>
      </c>
      <c r="B1036" s="1987" t="s">
        <v>3297</v>
      </c>
      <c r="C1036" s="1985" t="s">
        <v>3298</v>
      </c>
      <c r="D1036" s="953" t="s">
        <v>199</v>
      </c>
      <c r="E1036" s="1307" t="s">
        <v>844</v>
      </c>
      <c r="F1036" s="1307" t="s">
        <v>1385</v>
      </c>
      <c r="G1036" s="1307" t="s">
        <v>1752</v>
      </c>
      <c r="H1036" s="980"/>
      <c r="I1036" s="980"/>
      <c r="J1036" s="980"/>
      <c r="K1036" s="980"/>
      <c r="L1036" s="980"/>
      <c r="M1036" s="980">
        <f>-3937005-1062991</f>
        <v>-4999996</v>
      </c>
      <c r="N1036" s="980"/>
      <c r="O1036" s="980"/>
      <c r="P1036" s="981"/>
      <c r="Q1036" s="1449"/>
      <c r="R1036" s="980"/>
      <c r="S1036" s="980"/>
      <c r="T1036" s="980"/>
      <c r="U1036" s="980"/>
      <c r="V1036" s="980"/>
      <c r="W1036" s="980"/>
      <c r="X1036" s="981"/>
    </row>
    <row r="1037" spans="1:24" ht="20.25" customHeight="1" x14ac:dyDescent="0.25">
      <c r="A1037" s="1990"/>
      <c r="B1037" s="1988"/>
      <c r="C1037" s="1986"/>
      <c r="D1037" s="953" t="s">
        <v>199</v>
      </c>
      <c r="E1037" s="1307" t="s">
        <v>844</v>
      </c>
      <c r="F1037" s="1307" t="s">
        <v>1369</v>
      </c>
      <c r="G1037" s="1307" t="s">
        <v>1754</v>
      </c>
      <c r="H1037" s="980"/>
      <c r="I1037" s="980"/>
      <c r="J1037" s="980"/>
      <c r="K1037" s="980"/>
      <c r="L1037" s="980"/>
      <c r="M1037" s="980">
        <f>3038365+898640+1062991</f>
        <v>4999996</v>
      </c>
      <c r="N1037" s="980"/>
      <c r="O1037" s="980"/>
      <c r="P1037" s="981"/>
      <c r="Q1037" s="1449"/>
      <c r="R1037" s="980"/>
      <c r="S1037" s="980"/>
      <c r="T1037" s="980"/>
      <c r="U1037" s="980"/>
      <c r="V1037" s="980"/>
      <c r="W1037" s="980"/>
      <c r="X1037" s="981"/>
    </row>
    <row r="1038" spans="1:24" ht="31.5" customHeight="1" x14ac:dyDescent="0.25">
      <c r="A1038" s="1488"/>
      <c r="B1038" s="1486"/>
      <c r="C1038" s="1477" t="s">
        <v>3301</v>
      </c>
      <c r="D1038" s="953" t="s">
        <v>203</v>
      </c>
      <c r="E1038" s="1307" t="s">
        <v>1297</v>
      </c>
      <c r="F1038" s="1307" t="s">
        <v>550</v>
      </c>
      <c r="G1038" s="1307" t="s">
        <v>1766</v>
      </c>
      <c r="H1038" s="980"/>
      <c r="I1038" s="980"/>
      <c r="J1038" s="980"/>
      <c r="K1038" s="980"/>
      <c r="L1038" s="980"/>
      <c r="M1038" s="980"/>
      <c r="N1038" s="980"/>
      <c r="O1038" s="980"/>
      <c r="P1038" s="981">
        <f>-647700+647700</f>
        <v>0</v>
      </c>
      <c r="Q1038" s="1449"/>
      <c r="R1038" s="980"/>
      <c r="S1038" s="980"/>
      <c r="T1038" s="980"/>
      <c r="U1038" s="980"/>
      <c r="V1038" s="980"/>
      <c r="W1038" s="980"/>
      <c r="X1038" s="981"/>
    </row>
    <row r="1039" spans="1:24" ht="24" customHeight="1" x14ac:dyDescent="0.25">
      <c r="A1039" s="1989" t="s">
        <v>3012</v>
      </c>
      <c r="B1039" s="1991" t="s">
        <v>3302</v>
      </c>
      <c r="C1039" s="1985" t="s">
        <v>3303</v>
      </c>
      <c r="D1039" s="953" t="s">
        <v>194</v>
      </c>
      <c r="E1039" s="1307" t="s">
        <v>641</v>
      </c>
      <c r="F1039" s="1307" t="s">
        <v>66</v>
      </c>
      <c r="G1039" s="1307" t="s">
        <v>1754</v>
      </c>
      <c r="H1039" s="980"/>
      <c r="I1039" s="980"/>
      <c r="J1039" s="980"/>
      <c r="K1039" s="980"/>
      <c r="L1039" s="980"/>
      <c r="M1039" s="980"/>
      <c r="N1039" s="980"/>
      <c r="O1039" s="980"/>
      <c r="P1039" s="981"/>
      <c r="Q1039" s="1449"/>
      <c r="R1039" s="980"/>
      <c r="S1039" s="980"/>
      <c r="T1039" s="980"/>
      <c r="U1039" s="980">
        <v>4747000</v>
      </c>
      <c r="V1039" s="980"/>
      <c r="W1039" s="980"/>
      <c r="X1039" s="981"/>
    </row>
    <row r="1040" spans="1:24" ht="24" customHeight="1" x14ac:dyDescent="0.25">
      <c r="A1040" s="1990"/>
      <c r="B1040" s="1992"/>
      <c r="C1040" s="1986"/>
      <c r="D1040" s="953" t="s">
        <v>201</v>
      </c>
      <c r="E1040" s="1307" t="s">
        <v>73</v>
      </c>
      <c r="F1040" s="1307" t="s">
        <v>1785</v>
      </c>
      <c r="G1040" s="1307" t="s">
        <v>1754</v>
      </c>
      <c r="H1040" s="980"/>
      <c r="I1040" s="980"/>
      <c r="J1040" s="980"/>
      <c r="K1040" s="980"/>
      <c r="L1040" s="980">
        <v>4747000</v>
      </c>
      <c r="M1040" s="980"/>
      <c r="N1040" s="980"/>
      <c r="O1040" s="980"/>
      <c r="P1040" s="981"/>
      <c r="Q1040" s="1449"/>
      <c r="R1040" s="980"/>
      <c r="S1040" s="980"/>
      <c r="T1040" s="980"/>
      <c r="U1040" s="980"/>
      <c r="V1040" s="980"/>
      <c r="W1040" s="980"/>
      <c r="X1040" s="981"/>
    </row>
    <row r="1041" spans="1:24" ht="24.75" customHeight="1" x14ac:dyDescent="0.25">
      <c r="A1041" s="1989" t="s">
        <v>3027</v>
      </c>
      <c r="B1041" s="1991" t="s">
        <v>3305</v>
      </c>
      <c r="C1041" s="1985" t="s">
        <v>3306</v>
      </c>
      <c r="D1041" s="953" t="s">
        <v>194</v>
      </c>
      <c r="E1041" s="1307" t="s">
        <v>641</v>
      </c>
      <c r="F1041" s="1307" t="s">
        <v>66</v>
      </c>
      <c r="G1041" s="1307" t="s">
        <v>1754</v>
      </c>
      <c r="H1041" s="980"/>
      <c r="I1041" s="980"/>
      <c r="J1041" s="980"/>
      <c r="K1041" s="980"/>
      <c r="L1041" s="980"/>
      <c r="M1041" s="980"/>
      <c r="N1041" s="980"/>
      <c r="O1041" s="980"/>
      <c r="P1041" s="981"/>
      <c r="Q1041" s="1449"/>
      <c r="R1041" s="980"/>
      <c r="S1041" s="980"/>
      <c r="T1041" s="980"/>
      <c r="U1041" s="980">
        <v>522522</v>
      </c>
      <c r="V1041" s="980"/>
      <c r="W1041" s="980"/>
      <c r="X1041" s="981"/>
    </row>
    <row r="1042" spans="1:24" ht="24.75" customHeight="1" x14ac:dyDescent="0.25">
      <c r="A1042" s="1990"/>
      <c r="B1042" s="1992"/>
      <c r="C1042" s="1986"/>
      <c r="D1042" s="953" t="s">
        <v>201</v>
      </c>
      <c r="E1042" s="1307" t="s">
        <v>73</v>
      </c>
      <c r="F1042" s="1307" t="s">
        <v>1785</v>
      </c>
      <c r="G1042" s="1307" t="s">
        <v>1754</v>
      </c>
      <c r="H1042" s="980"/>
      <c r="I1042" s="980"/>
      <c r="J1042" s="980"/>
      <c r="K1042" s="980"/>
      <c r="L1042" s="980">
        <v>522522</v>
      </c>
      <c r="M1042" s="980"/>
      <c r="N1042" s="980"/>
      <c r="O1042" s="980"/>
      <c r="P1042" s="981"/>
      <c r="Q1042" s="1449"/>
      <c r="R1042" s="980"/>
      <c r="S1042" s="980"/>
      <c r="T1042" s="980"/>
      <c r="U1042" s="980"/>
      <c r="V1042" s="980"/>
      <c r="W1042" s="980"/>
      <c r="X1042" s="981"/>
    </row>
    <row r="1043" spans="1:24" ht="33.75" customHeight="1" x14ac:dyDescent="0.25">
      <c r="A1043" s="1989" t="s">
        <v>3029</v>
      </c>
      <c r="B1043" s="1991" t="s">
        <v>3308</v>
      </c>
      <c r="C1043" s="1996" t="s">
        <v>3310</v>
      </c>
      <c r="D1043" s="953" t="s">
        <v>201</v>
      </c>
      <c r="E1043" s="1307" t="s">
        <v>73</v>
      </c>
      <c r="F1043" s="1307" t="s">
        <v>1785</v>
      </c>
      <c r="G1043" s="1307" t="s">
        <v>1752</v>
      </c>
      <c r="H1043" s="980"/>
      <c r="I1043" s="980"/>
      <c r="J1043" s="980"/>
      <c r="K1043" s="980"/>
      <c r="L1043" s="980">
        <v>-22000000</v>
      </c>
      <c r="M1043" s="980"/>
      <c r="N1043" s="980"/>
      <c r="O1043" s="980"/>
      <c r="P1043" s="981"/>
      <c r="Q1043" s="1449"/>
      <c r="R1043" s="980"/>
      <c r="S1043" s="980"/>
      <c r="T1043" s="980"/>
      <c r="U1043" s="980"/>
      <c r="V1043" s="980"/>
      <c r="W1043" s="980"/>
      <c r="X1043" s="981"/>
    </row>
    <row r="1044" spans="1:24" ht="33.75" customHeight="1" x14ac:dyDescent="0.25">
      <c r="A1044" s="1990"/>
      <c r="B1044" s="1992"/>
      <c r="C1044" s="1996"/>
      <c r="D1044" s="953" t="s">
        <v>199</v>
      </c>
      <c r="E1044" s="1307" t="s">
        <v>62</v>
      </c>
      <c r="F1044" s="1307" t="s">
        <v>541</v>
      </c>
      <c r="G1044" s="1307" t="s">
        <v>1754</v>
      </c>
      <c r="H1044" s="980"/>
      <c r="I1044" s="980"/>
      <c r="J1044" s="980"/>
      <c r="K1044" s="980"/>
      <c r="L1044" s="980"/>
      <c r="M1044" s="980">
        <f>17322835+4677165</f>
        <v>22000000</v>
      </c>
      <c r="N1044" s="980"/>
      <c r="O1044" s="980"/>
      <c r="P1044" s="981"/>
      <c r="Q1044" s="1449"/>
      <c r="R1044" s="980"/>
      <c r="S1044" s="980"/>
      <c r="T1044" s="980"/>
      <c r="U1044" s="980"/>
      <c r="V1044" s="980"/>
      <c r="W1044" s="980"/>
      <c r="X1044" s="981"/>
    </row>
    <row r="1045" spans="1:24" ht="26.25" customHeight="1" x14ac:dyDescent="0.25">
      <c r="A1045" s="1989" t="s">
        <v>3031</v>
      </c>
      <c r="B1045" s="1991" t="s">
        <v>3309</v>
      </c>
      <c r="C1045" s="1985" t="s">
        <v>3311</v>
      </c>
      <c r="D1045" s="953" t="s">
        <v>201</v>
      </c>
      <c r="E1045" s="1307" t="s">
        <v>73</v>
      </c>
      <c r="F1045" s="1307" t="s">
        <v>1785</v>
      </c>
      <c r="G1045" s="1307" t="s">
        <v>1752</v>
      </c>
      <c r="H1045" s="980"/>
      <c r="I1045" s="980"/>
      <c r="J1045" s="980"/>
      <c r="K1045" s="980"/>
      <c r="L1045" s="980">
        <v>-6000000</v>
      </c>
      <c r="M1045" s="980"/>
      <c r="N1045" s="980"/>
      <c r="O1045" s="980"/>
      <c r="P1045" s="981"/>
      <c r="Q1045" s="1449"/>
      <c r="R1045" s="980"/>
      <c r="S1045" s="980"/>
      <c r="T1045" s="980"/>
      <c r="U1045" s="980"/>
      <c r="V1045" s="980"/>
      <c r="W1045" s="980"/>
      <c r="X1045" s="981"/>
    </row>
    <row r="1046" spans="1:24" ht="26.25" customHeight="1" x14ac:dyDescent="0.25">
      <c r="A1046" s="1990"/>
      <c r="B1046" s="1992"/>
      <c r="C1046" s="1986"/>
      <c r="D1046" s="953" t="s">
        <v>199</v>
      </c>
      <c r="E1046" s="1307" t="s">
        <v>62</v>
      </c>
      <c r="F1046" s="1307" t="s">
        <v>541</v>
      </c>
      <c r="G1046" s="1307" t="s">
        <v>1754</v>
      </c>
      <c r="H1046" s="980"/>
      <c r="I1046" s="980"/>
      <c r="J1046" s="980"/>
      <c r="K1046" s="980"/>
      <c r="L1046" s="980"/>
      <c r="M1046" s="980">
        <f>4724409+1275591</f>
        <v>6000000</v>
      </c>
      <c r="N1046" s="980"/>
      <c r="O1046" s="980"/>
      <c r="P1046" s="981"/>
      <c r="Q1046" s="1449"/>
      <c r="R1046" s="980"/>
      <c r="S1046" s="980"/>
      <c r="T1046" s="980"/>
      <c r="U1046" s="980"/>
      <c r="V1046" s="980"/>
      <c r="W1046" s="980"/>
      <c r="X1046" s="981"/>
    </row>
    <row r="1047" spans="1:24" ht="24" customHeight="1" x14ac:dyDescent="0.25">
      <c r="A1047" s="1989" t="s">
        <v>3033</v>
      </c>
      <c r="B1047" s="1991" t="s">
        <v>3313</v>
      </c>
      <c r="C1047" s="1985" t="s">
        <v>3314</v>
      </c>
      <c r="D1047" s="953" t="s">
        <v>201</v>
      </c>
      <c r="E1047" s="1307" t="s">
        <v>73</v>
      </c>
      <c r="F1047" s="1307" t="s">
        <v>1785</v>
      </c>
      <c r="G1047" s="1307" t="s">
        <v>1752</v>
      </c>
      <c r="H1047" s="980"/>
      <c r="I1047" s="980"/>
      <c r="J1047" s="980"/>
      <c r="K1047" s="980"/>
      <c r="L1047" s="980">
        <v>-28000000</v>
      </c>
      <c r="M1047" s="980"/>
      <c r="N1047" s="980"/>
      <c r="O1047" s="980"/>
      <c r="P1047" s="981"/>
      <c r="Q1047" s="1449"/>
      <c r="R1047" s="980"/>
      <c r="S1047" s="980"/>
      <c r="T1047" s="980"/>
      <c r="U1047" s="980"/>
      <c r="V1047" s="980"/>
      <c r="W1047" s="980"/>
      <c r="X1047" s="981"/>
    </row>
    <row r="1048" spans="1:24" ht="24" customHeight="1" x14ac:dyDescent="0.25">
      <c r="A1048" s="1990"/>
      <c r="B1048" s="1992"/>
      <c r="C1048" s="1986"/>
      <c r="D1048" s="953" t="s">
        <v>199</v>
      </c>
      <c r="E1048" s="1307" t="s">
        <v>167</v>
      </c>
      <c r="F1048" s="1307" t="s">
        <v>2566</v>
      </c>
      <c r="G1048" s="1307" t="s">
        <v>1754</v>
      </c>
      <c r="H1048" s="980"/>
      <c r="I1048" s="980"/>
      <c r="J1048" s="980"/>
      <c r="K1048" s="980"/>
      <c r="L1048" s="980"/>
      <c r="M1048" s="980">
        <f>22047244+5952756</f>
        <v>28000000</v>
      </c>
      <c r="N1048" s="980"/>
      <c r="O1048" s="980"/>
      <c r="P1048" s="981"/>
      <c r="Q1048" s="1449"/>
      <c r="R1048" s="980"/>
      <c r="S1048" s="980"/>
      <c r="T1048" s="980"/>
      <c r="U1048" s="980"/>
      <c r="V1048" s="980"/>
      <c r="W1048" s="980"/>
      <c r="X1048" s="981"/>
    </row>
    <row r="1049" spans="1:24" ht="21" customHeight="1" x14ac:dyDescent="0.25">
      <c r="A1049" s="1989" t="s">
        <v>3036</v>
      </c>
      <c r="B1049" s="1991" t="s">
        <v>3316</v>
      </c>
      <c r="C1049" s="1985" t="s">
        <v>3317</v>
      </c>
      <c r="D1049" s="953" t="s">
        <v>197</v>
      </c>
      <c r="E1049" s="1307" t="s">
        <v>130</v>
      </c>
      <c r="F1049" s="1307" t="s">
        <v>1768</v>
      </c>
      <c r="G1049" s="1307" t="s">
        <v>1752</v>
      </c>
      <c r="H1049" s="980"/>
      <c r="I1049" s="980"/>
      <c r="J1049" s="980"/>
      <c r="K1049" s="980"/>
      <c r="L1049" s="980"/>
      <c r="M1049" s="980"/>
      <c r="N1049" s="980"/>
      <c r="O1049" s="980">
        <f>-778000-210060</f>
        <v>-988060</v>
      </c>
      <c r="P1049" s="981"/>
      <c r="Q1049" s="1449"/>
      <c r="R1049" s="980"/>
      <c r="S1049" s="980"/>
      <c r="T1049" s="980"/>
      <c r="U1049" s="980"/>
      <c r="V1049" s="980"/>
      <c r="W1049" s="980"/>
      <c r="X1049" s="981"/>
    </row>
    <row r="1050" spans="1:24" ht="21" customHeight="1" x14ac:dyDescent="0.25">
      <c r="A1050" s="1990"/>
      <c r="B1050" s="1992"/>
      <c r="C1050" s="1986"/>
      <c r="D1050" s="953" t="s">
        <v>194</v>
      </c>
      <c r="E1050" s="1307" t="s">
        <v>1838</v>
      </c>
      <c r="F1050" s="1307" t="s">
        <v>1837</v>
      </c>
      <c r="G1050" s="1307" t="s">
        <v>1754</v>
      </c>
      <c r="H1050" s="980"/>
      <c r="I1050" s="980"/>
      <c r="J1050" s="980">
        <f>778000+210060</f>
        <v>988060</v>
      </c>
      <c r="K1050" s="980"/>
      <c r="L1050" s="980"/>
      <c r="M1050" s="980"/>
      <c r="N1050" s="980"/>
      <c r="O1050" s="980"/>
      <c r="P1050" s="981"/>
      <c r="Q1050" s="1449"/>
      <c r="R1050" s="980"/>
      <c r="S1050" s="980"/>
      <c r="T1050" s="980"/>
      <c r="U1050" s="980"/>
      <c r="V1050" s="980"/>
      <c r="W1050" s="980"/>
      <c r="X1050" s="981"/>
    </row>
    <row r="1051" spans="1:24" ht="33.75" customHeight="1" x14ac:dyDescent="0.25">
      <c r="A1051" s="1481" t="s">
        <v>3040</v>
      </c>
      <c r="B1051" s="1483" t="s">
        <v>3318</v>
      </c>
      <c r="C1051" s="1477" t="s">
        <v>3319</v>
      </c>
      <c r="D1051" s="953" t="s">
        <v>194</v>
      </c>
      <c r="E1051" s="1307" t="s">
        <v>1838</v>
      </c>
      <c r="F1051" s="1307" t="s">
        <v>1837</v>
      </c>
      <c r="G1051" s="1307" t="s">
        <v>1766</v>
      </c>
      <c r="H1051" s="980"/>
      <c r="I1051" s="980"/>
      <c r="J1051" s="980">
        <f>-400796-27940+428736</f>
        <v>0</v>
      </c>
      <c r="K1051" s="980"/>
      <c r="L1051" s="980"/>
      <c r="M1051" s="980"/>
      <c r="N1051" s="980"/>
      <c r="O1051" s="980"/>
      <c r="P1051" s="981"/>
      <c r="Q1051" s="1449"/>
      <c r="R1051" s="980"/>
      <c r="S1051" s="980"/>
      <c r="T1051" s="980"/>
      <c r="U1051" s="980"/>
      <c r="V1051" s="980"/>
      <c r="W1051" s="980"/>
      <c r="X1051" s="981"/>
    </row>
    <row r="1052" spans="1:24" ht="27" customHeight="1" x14ac:dyDescent="0.25">
      <c r="A1052" s="1989" t="s">
        <v>3042</v>
      </c>
      <c r="B1052" s="1991" t="s">
        <v>3320</v>
      </c>
      <c r="C1052" s="1996" t="s">
        <v>3321</v>
      </c>
      <c r="D1052" s="953" t="s">
        <v>201</v>
      </c>
      <c r="E1052" s="1307" t="s">
        <v>73</v>
      </c>
      <c r="F1052" s="1307" t="s">
        <v>1785</v>
      </c>
      <c r="G1052" s="1307" t="s">
        <v>1752</v>
      </c>
      <c r="H1052" s="980"/>
      <c r="I1052" s="980"/>
      <c r="J1052" s="980"/>
      <c r="K1052" s="980"/>
      <c r="L1052" s="980">
        <v>-868680</v>
      </c>
      <c r="M1052" s="980"/>
      <c r="N1052" s="980"/>
      <c r="O1052" s="980"/>
      <c r="P1052" s="981"/>
      <c r="Q1052" s="1449"/>
      <c r="R1052" s="980"/>
      <c r="S1052" s="980"/>
      <c r="T1052" s="980"/>
      <c r="U1052" s="980"/>
      <c r="V1052" s="980"/>
      <c r="W1052" s="980"/>
      <c r="X1052" s="981"/>
    </row>
    <row r="1053" spans="1:24" ht="27" customHeight="1" x14ac:dyDescent="0.25">
      <c r="A1053" s="1990"/>
      <c r="B1053" s="1992"/>
      <c r="C1053" s="1996"/>
      <c r="D1053" s="953" t="s">
        <v>194</v>
      </c>
      <c r="E1053" s="1307" t="s">
        <v>62</v>
      </c>
      <c r="F1053" s="1307" t="s">
        <v>541</v>
      </c>
      <c r="G1053" s="1307" t="s">
        <v>1754</v>
      </c>
      <c r="H1053" s="980"/>
      <c r="I1053" s="980"/>
      <c r="J1053" s="980">
        <f>684000+184680</f>
        <v>868680</v>
      </c>
      <c r="K1053" s="980"/>
      <c r="L1053" s="980"/>
      <c r="M1053" s="980"/>
      <c r="N1053" s="980"/>
      <c r="O1053" s="980"/>
      <c r="P1053" s="981"/>
      <c r="Q1053" s="1449"/>
      <c r="R1053" s="980"/>
      <c r="S1053" s="980"/>
      <c r="T1053" s="980"/>
      <c r="U1053" s="980"/>
      <c r="V1053" s="980"/>
      <c r="W1053" s="980"/>
      <c r="X1053" s="981"/>
    </row>
    <row r="1054" spans="1:24" ht="47.25" customHeight="1" x14ac:dyDescent="0.25">
      <c r="A1054" s="1481" t="s">
        <v>3044</v>
      </c>
      <c r="B1054" s="1483" t="s">
        <v>3322</v>
      </c>
      <c r="C1054" s="1477" t="s">
        <v>3323</v>
      </c>
      <c r="D1054" s="953" t="s">
        <v>194</v>
      </c>
      <c r="E1054" s="1307" t="s">
        <v>62</v>
      </c>
      <c r="F1054" s="1307" t="s">
        <v>541</v>
      </c>
      <c r="G1054" s="1307" t="s">
        <v>1766</v>
      </c>
      <c r="H1054" s="980"/>
      <c r="I1054" s="980"/>
      <c r="J1054" s="980">
        <f>-300000+300000</f>
        <v>0</v>
      </c>
      <c r="K1054" s="980"/>
      <c r="L1054" s="980"/>
      <c r="M1054" s="980"/>
      <c r="N1054" s="980"/>
      <c r="O1054" s="980"/>
      <c r="P1054" s="981"/>
      <c r="Q1054" s="1449"/>
      <c r="R1054" s="980"/>
      <c r="S1054" s="980"/>
      <c r="T1054" s="980"/>
      <c r="U1054" s="980"/>
      <c r="V1054" s="980"/>
      <c r="W1054" s="980"/>
      <c r="X1054" s="981"/>
    </row>
    <row r="1055" spans="1:24" ht="24.75" customHeight="1" x14ac:dyDescent="0.25">
      <c r="A1055" s="1989" t="s">
        <v>3046</v>
      </c>
      <c r="B1055" s="1991" t="s">
        <v>3324</v>
      </c>
      <c r="C1055" s="1996" t="s">
        <v>3325</v>
      </c>
      <c r="D1055" s="953" t="s">
        <v>201</v>
      </c>
      <c r="E1055" s="1307" t="s">
        <v>73</v>
      </c>
      <c r="F1055" s="1307" t="s">
        <v>1785</v>
      </c>
      <c r="G1055" s="1307" t="s">
        <v>1752</v>
      </c>
      <c r="H1055" s="980"/>
      <c r="I1055" s="980"/>
      <c r="J1055" s="980"/>
      <c r="K1055" s="980"/>
      <c r="L1055" s="980">
        <v>-381000</v>
      </c>
      <c r="M1055" s="980"/>
      <c r="N1055" s="980"/>
      <c r="O1055" s="980"/>
      <c r="P1055" s="981"/>
      <c r="Q1055" s="1449"/>
      <c r="R1055" s="980"/>
      <c r="S1055" s="980"/>
      <c r="T1055" s="980"/>
      <c r="U1055" s="980"/>
      <c r="V1055" s="980"/>
      <c r="W1055" s="980"/>
      <c r="X1055" s="981"/>
    </row>
    <row r="1056" spans="1:24" ht="24.75" customHeight="1" x14ac:dyDescent="0.25">
      <c r="A1056" s="1990"/>
      <c r="B1056" s="1992"/>
      <c r="C1056" s="1996"/>
      <c r="D1056" s="953" t="s">
        <v>200</v>
      </c>
      <c r="E1056" s="1307" t="s">
        <v>1368</v>
      </c>
      <c r="F1056" s="1307" t="s">
        <v>1412</v>
      </c>
      <c r="G1056" s="1307" t="s">
        <v>1754</v>
      </c>
      <c r="H1056" s="980"/>
      <c r="I1056" s="980"/>
      <c r="J1056" s="980"/>
      <c r="K1056" s="980"/>
      <c r="L1056" s="980"/>
      <c r="M1056" s="980"/>
      <c r="N1056" s="980">
        <f>300000+81000</f>
        <v>381000</v>
      </c>
      <c r="O1056" s="980"/>
      <c r="P1056" s="981"/>
      <c r="Q1056" s="1449"/>
      <c r="R1056" s="980"/>
      <c r="S1056" s="980"/>
      <c r="T1056" s="980"/>
      <c r="U1056" s="980"/>
      <c r="V1056" s="980"/>
      <c r="W1056" s="980"/>
      <c r="X1056" s="981"/>
    </row>
    <row r="1057" spans="1:24" ht="24" customHeight="1" x14ac:dyDescent="0.25">
      <c r="A1057" s="1989" t="s">
        <v>3048</v>
      </c>
      <c r="B1057" s="1991" t="s">
        <v>3326</v>
      </c>
      <c r="C1057" s="1985" t="s">
        <v>3327</v>
      </c>
      <c r="D1057" s="953" t="s">
        <v>199</v>
      </c>
      <c r="E1057" s="1307" t="s">
        <v>607</v>
      </c>
      <c r="F1057" s="1307" t="s">
        <v>605</v>
      </c>
      <c r="G1057" s="1307" t="s">
        <v>1752</v>
      </c>
      <c r="H1057" s="980"/>
      <c r="I1057" s="980"/>
      <c r="J1057" s="980"/>
      <c r="K1057" s="980"/>
      <c r="L1057" s="980"/>
      <c r="M1057" s="980">
        <f>-426000-68248</f>
        <v>-494248</v>
      </c>
      <c r="N1057" s="980"/>
      <c r="O1057" s="980"/>
      <c r="P1057" s="981"/>
      <c r="Q1057" s="1449"/>
      <c r="R1057" s="980"/>
      <c r="S1057" s="980"/>
      <c r="T1057" s="980"/>
      <c r="U1057" s="980"/>
      <c r="V1057" s="980"/>
      <c r="W1057" s="980"/>
      <c r="X1057" s="981"/>
    </row>
    <row r="1058" spans="1:24" ht="24" customHeight="1" x14ac:dyDescent="0.25">
      <c r="A1058" s="1990"/>
      <c r="B1058" s="1992"/>
      <c r="C1058" s="1986"/>
      <c r="D1058" s="953" t="s">
        <v>194</v>
      </c>
      <c r="E1058" s="1307" t="s">
        <v>607</v>
      </c>
      <c r="F1058" s="1307" t="s">
        <v>605</v>
      </c>
      <c r="G1058" s="1307" t="s">
        <v>1754</v>
      </c>
      <c r="H1058" s="980"/>
      <c r="I1058" s="980"/>
      <c r="J1058" s="980">
        <f>426000+68248</f>
        <v>494248</v>
      </c>
      <c r="K1058" s="980"/>
      <c r="L1058" s="980"/>
      <c r="M1058" s="980"/>
      <c r="N1058" s="980"/>
      <c r="O1058" s="980"/>
      <c r="P1058" s="981"/>
      <c r="Q1058" s="1449"/>
      <c r="R1058" s="980"/>
      <c r="S1058" s="980"/>
      <c r="T1058" s="980"/>
      <c r="U1058" s="980"/>
      <c r="V1058" s="980"/>
      <c r="W1058" s="980"/>
      <c r="X1058" s="981"/>
    </row>
    <row r="1059" spans="1:24" ht="21.75" customHeight="1" x14ac:dyDescent="0.25">
      <c r="A1059" s="1989" t="s">
        <v>3050</v>
      </c>
      <c r="B1059" s="1991" t="s">
        <v>3328</v>
      </c>
      <c r="C1059" s="1985" t="s">
        <v>3152</v>
      </c>
      <c r="D1059" s="953" t="s">
        <v>232</v>
      </c>
      <c r="E1059" s="1307" t="s">
        <v>1762</v>
      </c>
      <c r="F1059" s="1307" t="s">
        <v>1761</v>
      </c>
      <c r="G1059" s="1307" t="s">
        <v>1754</v>
      </c>
      <c r="H1059" s="980"/>
      <c r="I1059" s="980"/>
      <c r="J1059" s="980"/>
      <c r="K1059" s="980"/>
      <c r="L1059" s="980"/>
      <c r="M1059" s="980"/>
      <c r="N1059" s="980"/>
      <c r="O1059" s="980"/>
      <c r="P1059" s="981"/>
      <c r="Q1059" s="1449"/>
      <c r="R1059" s="980"/>
      <c r="S1059" s="980">
        <f>20000000+80000000+3000000</f>
        <v>103000000</v>
      </c>
      <c r="T1059" s="980"/>
      <c r="U1059" s="980"/>
      <c r="V1059" s="980"/>
      <c r="W1059" s="980"/>
      <c r="X1059" s="981"/>
    </row>
    <row r="1060" spans="1:24" ht="21.75" customHeight="1" x14ac:dyDescent="0.25">
      <c r="A1060" s="1990"/>
      <c r="B1060" s="1992"/>
      <c r="C1060" s="1986"/>
      <c r="D1060" s="953" t="s">
        <v>201</v>
      </c>
      <c r="E1060" s="1307" t="s">
        <v>73</v>
      </c>
      <c r="F1060" s="1307" t="s">
        <v>1785</v>
      </c>
      <c r="G1060" s="1307" t="s">
        <v>1754</v>
      </c>
      <c r="H1060" s="980"/>
      <c r="I1060" s="980"/>
      <c r="J1060" s="980"/>
      <c r="K1060" s="980"/>
      <c r="L1060" s="980">
        <v>103000000</v>
      </c>
      <c r="M1060" s="980"/>
      <c r="N1060" s="980"/>
      <c r="O1060" s="980"/>
      <c r="P1060" s="981"/>
      <c r="Q1060" s="1449"/>
      <c r="R1060" s="980"/>
      <c r="S1060" s="980"/>
      <c r="T1060" s="980"/>
      <c r="U1060" s="980"/>
      <c r="V1060" s="980"/>
      <c r="W1060" s="980"/>
      <c r="X1060" s="981"/>
    </row>
    <row r="1061" spans="1:24" ht="25.5" customHeight="1" x14ac:dyDescent="0.25">
      <c r="A1061" s="1989" t="s">
        <v>3052</v>
      </c>
      <c r="B1061" s="1991" t="s">
        <v>3329</v>
      </c>
      <c r="C1061" s="1985" t="s">
        <v>3330</v>
      </c>
      <c r="D1061" s="953" t="s">
        <v>201</v>
      </c>
      <c r="E1061" s="1307" t="s">
        <v>73</v>
      </c>
      <c r="F1061" s="1307" t="s">
        <v>1785</v>
      </c>
      <c r="G1061" s="1307" t="s">
        <v>1752</v>
      </c>
      <c r="H1061" s="980"/>
      <c r="I1061" s="980"/>
      <c r="J1061" s="980"/>
      <c r="K1061" s="980"/>
      <c r="L1061" s="980">
        <v>-100000</v>
      </c>
      <c r="M1061" s="980"/>
      <c r="N1061" s="980"/>
      <c r="O1061" s="980"/>
      <c r="P1061" s="981"/>
      <c r="Q1061" s="1449"/>
      <c r="R1061" s="980"/>
      <c r="S1061" s="980"/>
      <c r="T1061" s="980"/>
      <c r="U1061" s="980"/>
      <c r="V1061" s="980"/>
      <c r="W1061" s="980"/>
      <c r="X1061" s="981"/>
    </row>
    <row r="1062" spans="1:24" ht="25.5" customHeight="1" x14ac:dyDescent="0.25">
      <c r="A1062" s="1995"/>
      <c r="B1062" s="1994"/>
      <c r="C1062" s="1993"/>
      <c r="D1062" s="953" t="s">
        <v>197</v>
      </c>
      <c r="E1062" s="1307" t="s">
        <v>1974</v>
      </c>
      <c r="F1062" s="1307" t="s">
        <v>3331</v>
      </c>
      <c r="G1062" s="1307" t="s">
        <v>1754</v>
      </c>
      <c r="H1062" s="980"/>
      <c r="I1062" s="980"/>
      <c r="J1062" s="980"/>
      <c r="K1062" s="980"/>
      <c r="L1062" s="980"/>
      <c r="M1062" s="980"/>
      <c r="N1062" s="980"/>
      <c r="O1062" s="980">
        <v>78000</v>
      </c>
      <c r="P1062" s="981"/>
      <c r="Q1062" s="1449"/>
      <c r="R1062" s="980"/>
      <c r="S1062" s="980"/>
      <c r="T1062" s="980"/>
      <c r="U1062" s="980"/>
      <c r="V1062" s="980"/>
      <c r="W1062" s="980"/>
      <c r="X1062" s="981"/>
    </row>
    <row r="1063" spans="1:24" ht="25.5" customHeight="1" x14ac:dyDescent="0.25">
      <c r="A1063" s="1990"/>
      <c r="B1063" s="1992"/>
      <c r="C1063" s="1986"/>
      <c r="D1063" s="953" t="s">
        <v>198</v>
      </c>
      <c r="E1063" s="1307" t="s">
        <v>1974</v>
      </c>
      <c r="F1063" s="1307" t="s">
        <v>3331</v>
      </c>
      <c r="G1063" s="1307" t="s">
        <v>1754</v>
      </c>
      <c r="H1063" s="980"/>
      <c r="I1063" s="980"/>
      <c r="J1063" s="980"/>
      <c r="K1063" s="980"/>
      <c r="L1063" s="980">
        <v>22000</v>
      </c>
      <c r="M1063" s="980"/>
      <c r="N1063" s="980"/>
      <c r="O1063" s="980"/>
      <c r="P1063" s="981"/>
      <c r="Q1063" s="1449"/>
      <c r="R1063" s="980"/>
      <c r="S1063" s="980"/>
      <c r="T1063" s="980"/>
      <c r="U1063" s="980"/>
      <c r="V1063" s="980"/>
      <c r="W1063" s="980"/>
      <c r="X1063" s="981"/>
    </row>
    <row r="1064" spans="1:24" ht="19.5" customHeight="1" x14ac:dyDescent="0.25">
      <c r="A1064" s="1989" t="s">
        <v>3058</v>
      </c>
      <c r="B1064" s="1991" t="s">
        <v>3341</v>
      </c>
      <c r="C1064" s="1985" t="s">
        <v>2815</v>
      </c>
      <c r="D1064" s="953" t="s">
        <v>194</v>
      </c>
      <c r="E1064" s="1307" t="s">
        <v>1781</v>
      </c>
      <c r="F1064" s="1307" t="s">
        <v>1780</v>
      </c>
      <c r="G1064" s="1307" t="s">
        <v>1754</v>
      </c>
      <c r="H1064" s="980"/>
      <c r="I1064" s="980"/>
      <c r="J1064" s="980"/>
      <c r="K1064" s="980"/>
      <c r="L1064" s="980"/>
      <c r="M1064" s="980"/>
      <c r="N1064" s="980"/>
      <c r="O1064" s="980"/>
      <c r="P1064" s="981"/>
      <c r="Q1064" s="1449"/>
      <c r="R1064" s="980"/>
      <c r="S1064" s="980"/>
      <c r="T1064" s="980">
        <v>2198356</v>
      </c>
      <c r="U1064" s="980"/>
      <c r="V1064" s="980"/>
      <c r="W1064" s="980"/>
      <c r="X1064" s="981"/>
    </row>
    <row r="1065" spans="1:24" ht="19.5" customHeight="1" x14ac:dyDescent="0.25">
      <c r="A1065" s="1990"/>
      <c r="B1065" s="1992"/>
      <c r="C1065" s="1986"/>
      <c r="D1065" s="953" t="s">
        <v>201</v>
      </c>
      <c r="E1065" s="1307" t="s">
        <v>73</v>
      </c>
      <c r="F1065" s="1307" t="s">
        <v>1785</v>
      </c>
      <c r="G1065" s="1307" t="s">
        <v>1754</v>
      </c>
      <c r="H1065" s="980"/>
      <c r="I1065" s="980"/>
      <c r="J1065" s="980"/>
      <c r="K1065" s="980"/>
      <c r="L1065" s="980">
        <v>2198356</v>
      </c>
      <c r="M1065" s="980"/>
      <c r="N1065" s="980"/>
      <c r="O1065" s="980"/>
      <c r="P1065" s="981"/>
      <c r="Q1065" s="1449"/>
      <c r="R1065" s="980"/>
      <c r="S1065" s="980"/>
      <c r="T1065" s="980"/>
      <c r="U1065" s="980"/>
      <c r="V1065" s="980"/>
      <c r="W1065" s="980"/>
      <c r="X1065" s="981"/>
    </row>
    <row r="1066" spans="1:24" ht="34.5" customHeight="1" x14ac:dyDescent="0.25">
      <c r="A1066" s="1488" t="s">
        <v>3061</v>
      </c>
      <c r="B1066" s="1486" t="s">
        <v>3342</v>
      </c>
      <c r="C1066" s="1477" t="s">
        <v>3343</v>
      </c>
      <c r="D1066" s="953" t="s">
        <v>194</v>
      </c>
      <c r="E1066" s="1307" t="s">
        <v>73</v>
      </c>
      <c r="F1066" s="1307" t="s">
        <v>453</v>
      </c>
      <c r="G1066" s="1307" t="s">
        <v>1766</v>
      </c>
      <c r="H1066" s="980">
        <f>-1000000+1000000</f>
        <v>0</v>
      </c>
      <c r="I1066" s="980"/>
      <c r="J1066" s="980"/>
      <c r="K1066" s="980"/>
      <c r="L1066" s="980"/>
      <c r="M1066" s="980"/>
      <c r="N1066" s="980"/>
      <c r="O1066" s="980"/>
      <c r="P1066" s="981"/>
      <c r="Q1066" s="1449"/>
      <c r="R1066" s="980"/>
      <c r="S1066" s="980"/>
      <c r="T1066" s="980"/>
      <c r="U1066" s="980"/>
      <c r="V1066" s="980"/>
      <c r="W1066" s="980"/>
      <c r="X1066" s="981"/>
    </row>
    <row r="1067" spans="1:24" ht="24" customHeight="1" x14ac:dyDescent="0.25">
      <c r="A1067" s="1989" t="s">
        <v>3064</v>
      </c>
      <c r="B1067" s="1991" t="s">
        <v>3344</v>
      </c>
      <c r="C1067" s="1996" t="s">
        <v>3345</v>
      </c>
      <c r="D1067" s="953" t="s">
        <v>201</v>
      </c>
      <c r="E1067" s="1307" t="s">
        <v>73</v>
      </c>
      <c r="F1067" s="1307" t="s">
        <v>1785</v>
      </c>
      <c r="G1067" s="1307" t="s">
        <v>1752</v>
      </c>
      <c r="H1067" s="980"/>
      <c r="I1067" s="980"/>
      <c r="J1067" s="980"/>
      <c r="K1067" s="980"/>
      <c r="L1067" s="980">
        <v>-348099</v>
      </c>
      <c r="M1067" s="980"/>
      <c r="N1067" s="980"/>
      <c r="O1067" s="980"/>
      <c r="P1067" s="981"/>
      <c r="Q1067" s="1449"/>
      <c r="R1067" s="980"/>
      <c r="S1067" s="980"/>
      <c r="T1067" s="980"/>
      <c r="U1067" s="980"/>
      <c r="V1067" s="980"/>
      <c r="W1067" s="980"/>
      <c r="X1067" s="981"/>
    </row>
    <row r="1068" spans="1:24" ht="24" customHeight="1" x14ac:dyDescent="0.25">
      <c r="A1068" s="1990"/>
      <c r="B1068" s="1992"/>
      <c r="C1068" s="1996"/>
      <c r="D1068" s="953" t="s">
        <v>203</v>
      </c>
      <c r="E1068" s="1307" t="s">
        <v>1297</v>
      </c>
      <c r="F1068" s="1307" t="s">
        <v>550</v>
      </c>
      <c r="G1068" s="1307" t="s">
        <v>1754</v>
      </c>
      <c r="H1068" s="980"/>
      <c r="I1068" s="980"/>
      <c r="J1068" s="980"/>
      <c r="K1068" s="980"/>
      <c r="L1068" s="980"/>
      <c r="M1068" s="980"/>
      <c r="N1068" s="980"/>
      <c r="O1068" s="980"/>
      <c r="P1068" s="981">
        <v>348099</v>
      </c>
      <c r="Q1068" s="1449"/>
      <c r="R1068" s="980"/>
      <c r="S1068" s="980"/>
      <c r="T1068" s="980"/>
      <c r="U1068" s="980"/>
      <c r="V1068" s="980"/>
      <c r="W1068" s="980"/>
      <c r="X1068" s="981"/>
    </row>
    <row r="1069" spans="1:24" ht="24.75" customHeight="1" x14ac:dyDescent="0.25">
      <c r="A1069" s="1989" t="s">
        <v>3066</v>
      </c>
      <c r="B1069" s="1991" t="s">
        <v>3348</v>
      </c>
      <c r="C1069" s="1996" t="s">
        <v>3349</v>
      </c>
      <c r="D1069" s="953" t="s">
        <v>201</v>
      </c>
      <c r="E1069" s="1307" t="s">
        <v>73</v>
      </c>
      <c r="F1069" s="1307" t="s">
        <v>1785</v>
      </c>
      <c r="G1069" s="1307" t="s">
        <v>1752</v>
      </c>
      <c r="H1069" s="980"/>
      <c r="I1069" s="980"/>
      <c r="J1069" s="980"/>
      <c r="K1069" s="980"/>
      <c r="L1069" s="980">
        <v>-138400</v>
      </c>
      <c r="M1069" s="980"/>
      <c r="N1069" s="980"/>
      <c r="O1069" s="980"/>
      <c r="P1069" s="981"/>
      <c r="Q1069" s="1449"/>
      <c r="R1069" s="980"/>
      <c r="S1069" s="980"/>
      <c r="T1069" s="980"/>
      <c r="U1069" s="980"/>
      <c r="V1069" s="980"/>
      <c r="W1069" s="980"/>
      <c r="X1069" s="981"/>
    </row>
    <row r="1070" spans="1:24" ht="24.75" customHeight="1" x14ac:dyDescent="0.25">
      <c r="A1070" s="1990"/>
      <c r="B1070" s="1992"/>
      <c r="C1070" s="1996"/>
      <c r="D1070" s="953" t="s">
        <v>203</v>
      </c>
      <c r="E1070" s="1307" t="s">
        <v>1297</v>
      </c>
      <c r="F1070" s="1307" t="s">
        <v>550</v>
      </c>
      <c r="G1070" s="1307" t="s">
        <v>1754</v>
      </c>
      <c r="H1070" s="980"/>
      <c r="I1070" s="980"/>
      <c r="J1070" s="980"/>
      <c r="K1070" s="980"/>
      <c r="L1070" s="980"/>
      <c r="M1070" s="980"/>
      <c r="N1070" s="980"/>
      <c r="O1070" s="980"/>
      <c r="P1070" s="981">
        <v>138400</v>
      </c>
      <c r="Q1070" s="1449"/>
      <c r="R1070" s="980"/>
      <c r="S1070" s="980"/>
      <c r="T1070" s="980"/>
      <c r="U1070" s="980"/>
      <c r="V1070" s="980"/>
      <c r="W1070" s="980"/>
      <c r="X1070" s="981"/>
    </row>
    <row r="1071" spans="1:24" ht="30.75" customHeight="1" x14ac:dyDescent="0.25">
      <c r="A1071" s="1989" t="s">
        <v>3069</v>
      </c>
      <c r="B1071" s="1991" t="s">
        <v>3350</v>
      </c>
      <c r="C1071" s="1996" t="s">
        <v>3351</v>
      </c>
      <c r="D1071" s="953" t="s">
        <v>201</v>
      </c>
      <c r="E1071" s="1307" t="s">
        <v>73</v>
      </c>
      <c r="F1071" s="1307" t="s">
        <v>1785</v>
      </c>
      <c r="G1071" s="1307" t="s">
        <v>1752</v>
      </c>
      <c r="H1071" s="980"/>
      <c r="I1071" s="980"/>
      <c r="J1071" s="980"/>
      <c r="K1071" s="980"/>
      <c r="L1071" s="980">
        <v>-427500</v>
      </c>
      <c r="M1071" s="980"/>
      <c r="N1071" s="980"/>
      <c r="O1071" s="980"/>
      <c r="P1071" s="981"/>
      <c r="Q1071" s="1449"/>
      <c r="R1071" s="980"/>
      <c r="S1071" s="980"/>
      <c r="T1071" s="980"/>
      <c r="U1071" s="980"/>
      <c r="V1071" s="980"/>
      <c r="W1071" s="980"/>
      <c r="X1071" s="981"/>
    </row>
    <row r="1072" spans="1:24" ht="30.75" customHeight="1" x14ac:dyDescent="0.25">
      <c r="A1072" s="1990"/>
      <c r="B1072" s="1992"/>
      <c r="C1072" s="1996"/>
      <c r="D1072" s="953" t="s">
        <v>203</v>
      </c>
      <c r="E1072" s="1307" t="s">
        <v>1297</v>
      </c>
      <c r="F1072" s="1307" t="s">
        <v>550</v>
      </c>
      <c r="G1072" s="1307" t="s">
        <v>1754</v>
      </c>
      <c r="H1072" s="980"/>
      <c r="I1072" s="980"/>
      <c r="J1072" s="980"/>
      <c r="K1072" s="980"/>
      <c r="L1072" s="980"/>
      <c r="M1072" s="980"/>
      <c r="N1072" s="980"/>
      <c r="O1072" s="980"/>
      <c r="P1072" s="981">
        <v>427500</v>
      </c>
      <c r="Q1072" s="1449"/>
      <c r="R1072" s="980"/>
      <c r="S1072" s="980"/>
      <c r="T1072" s="980"/>
      <c r="U1072" s="980"/>
      <c r="V1072" s="980"/>
      <c r="W1072" s="980"/>
      <c r="X1072" s="981"/>
    </row>
    <row r="1073" spans="1:24" ht="24.75" customHeight="1" x14ac:dyDescent="0.25">
      <c r="A1073" s="1989" t="s">
        <v>3071</v>
      </c>
      <c r="B1073" s="1991" t="s">
        <v>3353</v>
      </c>
      <c r="C1073" s="1996" t="s">
        <v>3354</v>
      </c>
      <c r="D1073" s="953" t="s">
        <v>201</v>
      </c>
      <c r="E1073" s="1307" t="s">
        <v>73</v>
      </c>
      <c r="F1073" s="1307" t="s">
        <v>1785</v>
      </c>
      <c r="G1073" s="1307" t="s">
        <v>1752</v>
      </c>
      <c r="H1073" s="980"/>
      <c r="I1073" s="980"/>
      <c r="J1073" s="980"/>
      <c r="K1073" s="980"/>
      <c r="L1073" s="980">
        <v>-65000</v>
      </c>
      <c r="M1073" s="980"/>
      <c r="N1073" s="980"/>
      <c r="O1073" s="980"/>
      <c r="P1073" s="981"/>
      <c r="Q1073" s="1449"/>
      <c r="R1073" s="980"/>
      <c r="S1073" s="980"/>
      <c r="T1073" s="980"/>
      <c r="U1073" s="980"/>
      <c r="V1073" s="980"/>
      <c r="W1073" s="980"/>
      <c r="X1073" s="981"/>
    </row>
    <row r="1074" spans="1:24" ht="24.75" customHeight="1" x14ac:dyDescent="0.25">
      <c r="A1074" s="1990"/>
      <c r="B1074" s="1992"/>
      <c r="C1074" s="1996"/>
      <c r="D1074" s="953" t="s">
        <v>199</v>
      </c>
      <c r="E1074" s="1307" t="s">
        <v>561</v>
      </c>
      <c r="F1074" s="1307" t="s">
        <v>867</v>
      </c>
      <c r="G1074" s="1307" t="s">
        <v>1754</v>
      </c>
      <c r="H1074" s="980"/>
      <c r="I1074" s="980"/>
      <c r="J1074" s="980"/>
      <c r="K1074" s="980"/>
      <c r="L1074" s="980"/>
      <c r="M1074" s="980">
        <f>51181+13819</f>
        <v>65000</v>
      </c>
      <c r="N1074" s="980"/>
      <c r="O1074" s="980"/>
      <c r="P1074" s="981"/>
      <c r="Q1074" s="1449"/>
      <c r="R1074" s="980"/>
      <c r="S1074" s="980"/>
      <c r="T1074" s="980"/>
      <c r="U1074" s="980"/>
      <c r="V1074" s="980"/>
      <c r="W1074" s="980"/>
      <c r="X1074" s="981"/>
    </row>
    <row r="1075" spans="1:24" ht="21.75" customHeight="1" x14ac:dyDescent="0.25">
      <c r="A1075" s="1989" t="s">
        <v>3073</v>
      </c>
      <c r="B1075" s="1991" t="s">
        <v>3355</v>
      </c>
      <c r="C1075" s="1985" t="s">
        <v>3356</v>
      </c>
      <c r="D1075" s="953" t="s">
        <v>194</v>
      </c>
      <c r="E1075" s="1307" t="s">
        <v>130</v>
      </c>
      <c r="F1075" s="1307" t="s">
        <v>153</v>
      </c>
      <c r="G1075" s="1307" t="s">
        <v>1754</v>
      </c>
      <c r="H1075" s="980"/>
      <c r="I1075" s="980"/>
      <c r="J1075" s="980"/>
      <c r="K1075" s="980"/>
      <c r="L1075" s="980"/>
      <c r="M1075" s="980"/>
      <c r="N1075" s="980"/>
      <c r="O1075" s="980"/>
      <c r="P1075" s="981"/>
      <c r="Q1075" s="1449"/>
      <c r="R1075" s="980"/>
      <c r="S1075" s="980"/>
      <c r="T1075" s="980">
        <v>173321</v>
      </c>
      <c r="U1075" s="980"/>
      <c r="V1075" s="980"/>
      <c r="W1075" s="980"/>
      <c r="X1075" s="981"/>
    </row>
    <row r="1076" spans="1:24" ht="21.75" customHeight="1" x14ac:dyDescent="0.25">
      <c r="A1076" s="1990"/>
      <c r="B1076" s="1992"/>
      <c r="C1076" s="1986"/>
      <c r="D1076" s="953" t="s">
        <v>201</v>
      </c>
      <c r="E1076" s="1307" t="s">
        <v>73</v>
      </c>
      <c r="F1076" s="1307" t="s">
        <v>1785</v>
      </c>
      <c r="G1076" s="1307" t="s">
        <v>1754</v>
      </c>
      <c r="H1076" s="980"/>
      <c r="I1076" s="980"/>
      <c r="J1076" s="980"/>
      <c r="K1076" s="980"/>
      <c r="L1076" s="980">
        <v>173321</v>
      </c>
      <c r="M1076" s="980"/>
      <c r="N1076" s="980"/>
      <c r="O1076" s="980"/>
      <c r="P1076" s="981"/>
      <c r="Q1076" s="1449"/>
      <c r="R1076" s="980"/>
      <c r="S1076" s="980"/>
      <c r="T1076" s="980"/>
      <c r="U1076" s="980"/>
      <c r="V1076" s="980"/>
      <c r="W1076" s="980"/>
      <c r="X1076" s="981"/>
    </row>
    <row r="1077" spans="1:24" ht="24.75" customHeight="1" x14ac:dyDescent="0.25">
      <c r="A1077" s="1989" t="s">
        <v>3075</v>
      </c>
      <c r="B1077" s="1991" t="s">
        <v>3362</v>
      </c>
      <c r="C1077" s="1985" t="s">
        <v>3363</v>
      </c>
      <c r="D1077" s="953" t="s">
        <v>204</v>
      </c>
      <c r="E1077" s="1307" t="s">
        <v>1753</v>
      </c>
      <c r="F1077" s="1307" t="s">
        <v>1784</v>
      </c>
      <c r="G1077" s="1307" t="s">
        <v>1754</v>
      </c>
      <c r="H1077" s="980"/>
      <c r="I1077" s="980"/>
      <c r="J1077" s="980"/>
      <c r="K1077" s="980"/>
      <c r="L1077" s="980"/>
      <c r="M1077" s="980"/>
      <c r="N1077" s="980"/>
      <c r="O1077" s="980"/>
      <c r="P1077" s="981"/>
      <c r="Q1077" s="1449">
        <v>2325296</v>
      </c>
      <c r="R1077" s="980"/>
      <c r="S1077" s="980"/>
      <c r="T1077" s="980"/>
      <c r="U1077" s="980"/>
      <c r="V1077" s="980"/>
      <c r="W1077" s="980"/>
      <c r="X1077" s="981"/>
    </row>
    <row r="1078" spans="1:24" ht="24.75" customHeight="1" x14ac:dyDescent="0.25">
      <c r="A1078" s="1990"/>
      <c r="B1078" s="1992"/>
      <c r="C1078" s="1986"/>
      <c r="D1078" s="953" t="s">
        <v>201</v>
      </c>
      <c r="E1078" s="1307" t="s">
        <v>73</v>
      </c>
      <c r="F1078" s="1307" t="s">
        <v>1785</v>
      </c>
      <c r="G1078" s="1307" t="s">
        <v>1754</v>
      </c>
      <c r="H1078" s="980"/>
      <c r="I1078" s="980"/>
      <c r="J1078" s="980"/>
      <c r="K1078" s="980"/>
      <c r="L1078" s="980">
        <v>2325296</v>
      </c>
      <c r="M1078" s="980"/>
      <c r="N1078" s="980"/>
      <c r="O1078" s="980"/>
      <c r="P1078" s="981"/>
      <c r="Q1078" s="1449"/>
      <c r="R1078" s="980"/>
      <c r="S1078" s="980"/>
      <c r="T1078" s="980"/>
      <c r="U1078" s="980"/>
      <c r="V1078" s="980"/>
      <c r="W1078" s="980"/>
      <c r="X1078" s="981"/>
    </row>
    <row r="1079" spans="1:24" ht="17.25" customHeight="1" x14ac:dyDescent="0.25">
      <c r="A1079" s="1989" t="s">
        <v>3080</v>
      </c>
      <c r="B1079" s="1991" t="s">
        <v>3364</v>
      </c>
      <c r="C1079" s="1985" t="s">
        <v>3365</v>
      </c>
      <c r="D1079" s="953" t="s">
        <v>199</v>
      </c>
      <c r="E1079" s="1307" t="s">
        <v>844</v>
      </c>
      <c r="F1079" s="1307" t="s">
        <v>1802</v>
      </c>
      <c r="G1079" s="1307" t="s">
        <v>1752</v>
      </c>
      <c r="H1079" s="980"/>
      <c r="I1079" s="980"/>
      <c r="J1079" s="980"/>
      <c r="K1079" s="980"/>
      <c r="L1079" s="980"/>
      <c r="M1079" s="980">
        <v>-128104452</v>
      </c>
      <c r="N1079" s="980"/>
      <c r="O1079" s="980"/>
      <c r="P1079" s="981"/>
      <c r="Q1079" s="1449"/>
      <c r="R1079" s="980"/>
      <c r="S1079" s="980"/>
      <c r="T1079" s="980"/>
      <c r="U1079" s="980"/>
      <c r="V1079" s="980"/>
      <c r="W1079" s="980"/>
      <c r="X1079" s="981"/>
    </row>
    <row r="1080" spans="1:24" ht="17.25" customHeight="1" x14ac:dyDescent="0.25">
      <c r="A1080" s="1995"/>
      <c r="B1080" s="1994"/>
      <c r="C1080" s="1993"/>
      <c r="D1080" s="953" t="s">
        <v>199</v>
      </c>
      <c r="E1080" s="1307" t="s">
        <v>844</v>
      </c>
      <c r="F1080" s="1307" t="s">
        <v>1312</v>
      </c>
      <c r="G1080" s="1307" t="s">
        <v>1754</v>
      </c>
      <c r="H1080" s="980"/>
      <c r="I1080" s="980"/>
      <c r="J1080" s="980"/>
      <c r="K1080" s="980"/>
      <c r="L1080" s="980"/>
      <c r="M1080" s="980">
        <v>128104452</v>
      </c>
      <c r="N1080" s="980"/>
      <c r="O1080" s="980"/>
      <c r="P1080" s="981"/>
      <c r="Q1080" s="1449"/>
      <c r="R1080" s="980"/>
      <c r="S1080" s="980"/>
      <c r="T1080" s="980"/>
      <c r="U1080" s="980"/>
      <c r="V1080" s="980"/>
      <c r="W1080" s="980"/>
      <c r="X1080" s="981"/>
    </row>
    <row r="1081" spans="1:24" ht="17.25" customHeight="1" x14ac:dyDescent="0.25">
      <c r="A1081" s="1995"/>
      <c r="B1081" s="1994"/>
      <c r="C1081" s="1993"/>
      <c r="D1081" s="953" t="s">
        <v>194</v>
      </c>
      <c r="E1081" s="1307" t="s">
        <v>844</v>
      </c>
      <c r="F1081" s="1307" t="s">
        <v>1802</v>
      </c>
      <c r="G1081" s="1307" t="s">
        <v>1752</v>
      </c>
      <c r="H1081" s="980"/>
      <c r="I1081" s="980"/>
      <c r="J1081" s="980">
        <v>-34588202</v>
      </c>
      <c r="K1081" s="980"/>
      <c r="L1081" s="980"/>
      <c r="M1081" s="980"/>
      <c r="N1081" s="980"/>
      <c r="O1081" s="980"/>
      <c r="P1081" s="981"/>
      <c r="Q1081" s="1449"/>
      <c r="R1081" s="980"/>
      <c r="S1081" s="980"/>
      <c r="T1081" s="980"/>
      <c r="U1081" s="980"/>
      <c r="V1081" s="980"/>
      <c r="W1081" s="980"/>
      <c r="X1081" s="981"/>
    </row>
    <row r="1082" spans="1:24" ht="17.25" customHeight="1" x14ac:dyDescent="0.25">
      <c r="A1082" s="1990"/>
      <c r="B1082" s="1992"/>
      <c r="C1082" s="1986"/>
      <c r="D1082" s="953" t="s">
        <v>194</v>
      </c>
      <c r="E1082" s="1307" t="s">
        <v>844</v>
      </c>
      <c r="F1082" s="1307" t="s">
        <v>1312</v>
      </c>
      <c r="G1082" s="1307" t="s">
        <v>1754</v>
      </c>
      <c r="H1082" s="980"/>
      <c r="I1082" s="980"/>
      <c r="J1082" s="980">
        <v>34588202</v>
      </c>
      <c r="K1082" s="980"/>
      <c r="L1082" s="980"/>
      <c r="M1082" s="980"/>
      <c r="N1082" s="980"/>
      <c r="O1082" s="980"/>
      <c r="P1082" s="981"/>
      <c r="Q1082" s="1449"/>
      <c r="R1082" s="980"/>
      <c r="S1082" s="980"/>
      <c r="T1082" s="980"/>
      <c r="U1082" s="980"/>
      <c r="V1082" s="980"/>
      <c r="W1082" s="980"/>
      <c r="X1082" s="981"/>
    </row>
    <row r="1083" spans="1:24" ht="23.25" customHeight="1" x14ac:dyDescent="0.25">
      <c r="A1083" s="1989" t="s">
        <v>3082</v>
      </c>
      <c r="B1083" s="1991" t="s">
        <v>3377</v>
      </c>
      <c r="C1083" s="1985" t="s">
        <v>3374</v>
      </c>
      <c r="D1083" s="953" t="s">
        <v>194</v>
      </c>
      <c r="E1083" s="1307" t="s">
        <v>73</v>
      </c>
      <c r="F1083" s="1307" t="s">
        <v>453</v>
      </c>
      <c r="G1083" s="1307" t="s">
        <v>1752</v>
      </c>
      <c r="H1083" s="980">
        <v>-980527</v>
      </c>
      <c r="I1083" s="980"/>
      <c r="J1083" s="980"/>
      <c r="K1083" s="980"/>
      <c r="L1083" s="980"/>
      <c r="M1083" s="980"/>
      <c r="N1083" s="980"/>
      <c r="O1083" s="980"/>
      <c r="P1083" s="981"/>
      <c r="Q1083" s="1449"/>
      <c r="R1083" s="980"/>
      <c r="S1083" s="980"/>
      <c r="T1083" s="980"/>
      <c r="U1083" s="980"/>
      <c r="V1083" s="980"/>
      <c r="W1083" s="980"/>
      <c r="X1083" s="981"/>
    </row>
    <row r="1084" spans="1:24" ht="23.25" customHeight="1" x14ac:dyDescent="0.25">
      <c r="A1084" s="1995"/>
      <c r="B1084" s="1994"/>
      <c r="C1084" s="1993"/>
      <c r="D1084" s="953" t="s">
        <v>194</v>
      </c>
      <c r="E1084" s="1307" t="s">
        <v>73</v>
      </c>
      <c r="F1084" s="1307" t="s">
        <v>553</v>
      </c>
      <c r="G1084" s="1307" t="s">
        <v>1754</v>
      </c>
      <c r="H1084" s="980">
        <f>390527+590000</f>
        <v>980527</v>
      </c>
      <c r="I1084" s="980"/>
      <c r="J1084" s="980"/>
      <c r="K1084" s="980"/>
      <c r="L1084" s="980"/>
      <c r="M1084" s="980"/>
      <c r="N1084" s="980"/>
      <c r="O1084" s="980"/>
      <c r="P1084" s="981"/>
      <c r="Q1084" s="1449"/>
      <c r="R1084" s="980"/>
      <c r="S1084" s="980"/>
      <c r="T1084" s="980"/>
      <c r="U1084" s="980"/>
      <c r="V1084" s="980"/>
      <c r="W1084" s="980"/>
      <c r="X1084" s="981"/>
    </row>
    <row r="1085" spans="1:24" ht="23.25" customHeight="1" x14ac:dyDescent="0.25">
      <c r="A1085" s="1995"/>
      <c r="B1085" s="1994"/>
      <c r="C1085" s="1993"/>
      <c r="D1085" s="953" t="s">
        <v>194</v>
      </c>
      <c r="E1085" s="1307" t="s">
        <v>609</v>
      </c>
      <c r="F1085" s="1307" t="s">
        <v>455</v>
      </c>
      <c r="G1085" s="1307" t="s">
        <v>1766</v>
      </c>
      <c r="H1085" s="980">
        <f>-355600+340000+15600</f>
        <v>0</v>
      </c>
      <c r="I1085" s="980"/>
      <c r="J1085" s="980"/>
      <c r="K1085" s="980"/>
      <c r="L1085" s="980"/>
      <c r="M1085" s="980"/>
      <c r="N1085" s="980"/>
      <c r="O1085" s="980"/>
      <c r="P1085" s="981"/>
      <c r="Q1085" s="1449"/>
      <c r="R1085" s="980"/>
      <c r="S1085" s="980"/>
      <c r="T1085" s="980"/>
      <c r="U1085" s="980"/>
      <c r="V1085" s="980"/>
      <c r="W1085" s="980"/>
      <c r="X1085" s="981"/>
    </row>
    <row r="1086" spans="1:24" ht="23.25" customHeight="1" x14ac:dyDescent="0.25">
      <c r="A1086" s="1995"/>
      <c r="B1086" s="1994"/>
      <c r="C1086" s="1993"/>
      <c r="D1086" s="953" t="s">
        <v>194</v>
      </c>
      <c r="E1086" s="1307" t="s">
        <v>130</v>
      </c>
      <c r="F1086" s="1307" t="s">
        <v>457</v>
      </c>
      <c r="G1086" s="1307" t="s">
        <v>1766</v>
      </c>
      <c r="H1086" s="980">
        <f>-50690+50690</f>
        <v>0</v>
      </c>
      <c r="I1086" s="980"/>
      <c r="J1086" s="980"/>
      <c r="K1086" s="980"/>
      <c r="L1086" s="980"/>
      <c r="M1086" s="980"/>
      <c r="N1086" s="980"/>
      <c r="O1086" s="980"/>
      <c r="P1086" s="981"/>
      <c r="Q1086" s="1449"/>
      <c r="R1086" s="980"/>
      <c r="S1086" s="980"/>
      <c r="T1086" s="980"/>
      <c r="U1086" s="980"/>
      <c r="V1086" s="980"/>
      <c r="W1086" s="980"/>
      <c r="X1086" s="981"/>
    </row>
    <row r="1087" spans="1:24" ht="23.25" customHeight="1" x14ac:dyDescent="0.25">
      <c r="A1087" s="1995"/>
      <c r="B1087" s="1994"/>
      <c r="C1087" s="1993"/>
      <c r="D1087" s="953" t="s">
        <v>194</v>
      </c>
      <c r="E1087" s="1307" t="s">
        <v>557</v>
      </c>
      <c r="F1087" s="1307" t="s">
        <v>462</v>
      </c>
      <c r="G1087" s="1307" t="s">
        <v>1766</v>
      </c>
      <c r="H1087" s="980">
        <f>-118920+54000+64920</f>
        <v>0</v>
      </c>
      <c r="I1087" s="980">
        <v>-45396</v>
      </c>
      <c r="J1087" s="980"/>
      <c r="K1087" s="980"/>
      <c r="L1087" s="980"/>
      <c r="M1087" s="980"/>
      <c r="N1087" s="980"/>
      <c r="O1087" s="980"/>
      <c r="P1087" s="981"/>
      <c r="Q1087" s="1449"/>
      <c r="R1087" s="980"/>
      <c r="S1087" s="980"/>
      <c r="T1087" s="980"/>
      <c r="U1087" s="980"/>
      <c r="V1087" s="980"/>
      <c r="W1087" s="980"/>
      <c r="X1087" s="981"/>
    </row>
    <row r="1088" spans="1:24" ht="23.25" customHeight="1" x14ac:dyDescent="0.25">
      <c r="A1088" s="1995"/>
      <c r="B1088" s="1994"/>
      <c r="C1088" s="1993"/>
      <c r="D1088" s="953" t="s">
        <v>194</v>
      </c>
      <c r="E1088" s="1307" t="s">
        <v>557</v>
      </c>
      <c r="F1088" s="1307" t="s">
        <v>460</v>
      </c>
      <c r="G1088" s="1307" t="s">
        <v>1754</v>
      </c>
      <c r="H1088" s="980"/>
      <c r="I1088" s="980">
        <v>45396</v>
      </c>
      <c r="J1088" s="980"/>
      <c r="K1088" s="980"/>
      <c r="L1088" s="980"/>
      <c r="M1088" s="980"/>
      <c r="N1088" s="980"/>
      <c r="O1088" s="980"/>
      <c r="P1088" s="981"/>
      <c r="Q1088" s="1449"/>
      <c r="R1088" s="980"/>
      <c r="S1088" s="980"/>
      <c r="T1088" s="980"/>
      <c r="U1088" s="980"/>
      <c r="V1088" s="980"/>
      <c r="W1088" s="980"/>
      <c r="X1088" s="981"/>
    </row>
    <row r="1089" spans="1:24" ht="23.25" customHeight="1" x14ac:dyDescent="0.25">
      <c r="A1089" s="1990"/>
      <c r="B1089" s="1992"/>
      <c r="C1089" s="1986"/>
      <c r="D1089" s="953" t="s">
        <v>194</v>
      </c>
      <c r="E1089" s="1307" t="s">
        <v>62</v>
      </c>
      <c r="F1089" s="1307" t="s">
        <v>541</v>
      </c>
      <c r="G1089" s="1307" t="s">
        <v>1766</v>
      </c>
      <c r="H1089" s="980">
        <f>-146566+146566</f>
        <v>0</v>
      </c>
      <c r="I1089" s="980"/>
      <c r="J1089" s="980"/>
      <c r="K1089" s="980"/>
      <c r="L1089" s="980"/>
      <c r="M1089" s="980"/>
      <c r="N1089" s="980"/>
      <c r="O1089" s="980"/>
      <c r="P1089" s="981"/>
      <c r="Q1089" s="1449"/>
      <c r="R1089" s="980"/>
      <c r="S1089" s="980"/>
      <c r="T1089" s="980"/>
      <c r="U1089" s="980"/>
      <c r="V1089" s="980"/>
      <c r="W1089" s="980"/>
      <c r="X1089" s="981"/>
    </row>
    <row r="1090" spans="1:24" ht="24.75" customHeight="1" x14ac:dyDescent="0.25">
      <c r="A1090" s="1989" t="s">
        <v>3084</v>
      </c>
      <c r="B1090" s="1991" t="s">
        <v>3378</v>
      </c>
      <c r="C1090" s="1996" t="s">
        <v>3379</v>
      </c>
      <c r="D1090" s="953" t="s">
        <v>201</v>
      </c>
      <c r="E1090" s="1307" t="s">
        <v>73</v>
      </c>
      <c r="F1090" s="1307" t="s">
        <v>1785</v>
      </c>
      <c r="G1090" s="1307" t="s">
        <v>1752</v>
      </c>
      <c r="H1090" s="980"/>
      <c r="I1090" s="980"/>
      <c r="J1090" s="980"/>
      <c r="K1090" s="980"/>
      <c r="L1090" s="980">
        <v>-396875</v>
      </c>
      <c r="M1090" s="980"/>
      <c r="N1090" s="980"/>
      <c r="O1090" s="980"/>
      <c r="P1090" s="981"/>
      <c r="Q1090" s="1449"/>
      <c r="R1090" s="980"/>
      <c r="S1090" s="980"/>
      <c r="T1090" s="980"/>
      <c r="U1090" s="980"/>
      <c r="V1090" s="980"/>
      <c r="W1090" s="980"/>
      <c r="X1090" s="981"/>
    </row>
    <row r="1091" spans="1:24" ht="24.75" customHeight="1" x14ac:dyDescent="0.25">
      <c r="A1091" s="1990"/>
      <c r="B1091" s="1992"/>
      <c r="C1091" s="1996"/>
      <c r="D1091" s="953" t="s">
        <v>194</v>
      </c>
      <c r="E1091" s="1307" t="s">
        <v>561</v>
      </c>
      <c r="F1091" s="1307" t="s">
        <v>867</v>
      </c>
      <c r="G1091" s="1307" t="s">
        <v>1754</v>
      </c>
      <c r="H1091" s="980"/>
      <c r="I1091" s="980"/>
      <c r="J1091" s="980">
        <f>312500+84375</f>
        <v>396875</v>
      </c>
      <c r="K1091" s="980"/>
      <c r="L1091" s="980"/>
      <c r="M1091" s="980"/>
      <c r="N1091" s="980"/>
      <c r="O1091" s="980"/>
      <c r="P1091" s="981"/>
      <c r="Q1091" s="1449"/>
      <c r="R1091" s="980"/>
      <c r="S1091" s="980"/>
      <c r="T1091" s="980"/>
      <c r="U1091" s="980"/>
      <c r="V1091" s="980"/>
      <c r="W1091" s="980"/>
      <c r="X1091" s="981"/>
    </row>
    <row r="1092" spans="1:24" ht="22.5" customHeight="1" x14ac:dyDescent="0.25">
      <c r="A1092" s="1989" t="s">
        <v>3085</v>
      </c>
      <c r="B1092" s="1991" t="s">
        <v>3380</v>
      </c>
      <c r="C1092" s="1985" t="s">
        <v>3381</v>
      </c>
      <c r="D1092" s="953" t="s">
        <v>197</v>
      </c>
      <c r="E1092" s="1307" t="s">
        <v>130</v>
      </c>
      <c r="F1092" s="1307" t="s">
        <v>1768</v>
      </c>
      <c r="G1092" s="1307" t="s">
        <v>1752</v>
      </c>
      <c r="H1092" s="980"/>
      <c r="I1092" s="980"/>
      <c r="J1092" s="980"/>
      <c r="K1092" s="980"/>
      <c r="L1092" s="980"/>
      <c r="M1092" s="980"/>
      <c r="N1092" s="980"/>
      <c r="O1092" s="980">
        <v>-350000</v>
      </c>
      <c r="P1092" s="981"/>
      <c r="Q1092" s="1449"/>
      <c r="R1092" s="980"/>
      <c r="S1092" s="980"/>
      <c r="T1092" s="980"/>
      <c r="U1092" s="980"/>
      <c r="V1092" s="980"/>
      <c r="W1092" s="980"/>
      <c r="X1092" s="981"/>
    </row>
    <row r="1093" spans="1:24" ht="22.5" customHeight="1" x14ac:dyDescent="0.25">
      <c r="A1093" s="1990"/>
      <c r="B1093" s="1992"/>
      <c r="C1093" s="1986"/>
      <c r="D1093" s="953" t="s">
        <v>194</v>
      </c>
      <c r="E1093" s="1307" t="s">
        <v>1838</v>
      </c>
      <c r="F1093" s="1307" t="s">
        <v>1837</v>
      </c>
      <c r="G1093" s="1307" t="s">
        <v>1754</v>
      </c>
      <c r="H1093" s="980"/>
      <c r="I1093" s="980"/>
      <c r="J1093" s="980">
        <v>350000</v>
      </c>
      <c r="K1093" s="980"/>
      <c r="L1093" s="980"/>
      <c r="M1093" s="980"/>
      <c r="N1093" s="980"/>
      <c r="O1093" s="980"/>
      <c r="P1093" s="981"/>
      <c r="Q1093" s="1449"/>
      <c r="R1093" s="980"/>
      <c r="S1093" s="980"/>
      <c r="T1093" s="980"/>
      <c r="U1093" s="980"/>
      <c r="V1093" s="980"/>
      <c r="W1093" s="980"/>
      <c r="X1093" s="981"/>
    </row>
    <row r="1094" spans="1:24" ht="25.5" customHeight="1" x14ac:dyDescent="0.25">
      <c r="A1094" s="1989" t="s">
        <v>3087</v>
      </c>
      <c r="B1094" s="1987" t="s">
        <v>3382</v>
      </c>
      <c r="C1094" s="1996" t="s">
        <v>3383</v>
      </c>
      <c r="D1094" s="953" t="s">
        <v>201</v>
      </c>
      <c r="E1094" s="1307" t="s">
        <v>73</v>
      </c>
      <c r="F1094" s="1307" t="s">
        <v>1785</v>
      </c>
      <c r="G1094" s="1307" t="s">
        <v>1752</v>
      </c>
      <c r="H1094" s="980"/>
      <c r="I1094" s="980"/>
      <c r="J1094" s="980"/>
      <c r="K1094" s="980"/>
      <c r="L1094" s="980">
        <v>-300000</v>
      </c>
      <c r="M1094" s="980"/>
      <c r="N1094" s="980"/>
      <c r="O1094" s="980"/>
      <c r="P1094" s="981"/>
      <c r="Q1094" s="1449"/>
      <c r="R1094" s="980"/>
      <c r="S1094" s="980"/>
      <c r="T1094" s="980"/>
      <c r="U1094" s="980"/>
      <c r="V1094" s="980"/>
      <c r="W1094" s="980"/>
      <c r="X1094" s="981"/>
    </row>
    <row r="1095" spans="1:24" ht="25.5" customHeight="1" x14ac:dyDescent="0.25">
      <c r="A1095" s="1990"/>
      <c r="B1095" s="1988"/>
      <c r="C1095" s="1996"/>
      <c r="D1095" s="953" t="s">
        <v>199</v>
      </c>
      <c r="E1095" s="1307" t="s">
        <v>561</v>
      </c>
      <c r="F1095" s="1307" t="s">
        <v>867</v>
      </c>
      <c r="G1095" s="1307" t="s">
        <v>1754</v>
      </c>
      <c r="H1095" s="980"/>
      <c r="I1095" s="980"/>
      <c r="J1095" s="980"/>
      <c r="K1095" s="980"/>
      <c r="L1095" s="980"/>
      <c r="M1095" s="980">
        <v>300000</v>
      </c>
      <c r="N1095" s="980"/>
      <c r="O1095" s="980"/>
      <c r="P1095" s="981"/>
      <c r="Q1095" s="1449"/>
      <c r="R1095" s="980"/>
      <c r="S1095" s="980"/>
      <c r="T1095" s="980"/>
      <c r="U1095" s="980"/>
      <c r="V1095" s="980"/>
      <c r="W1095" s="980"/>
      <c r="X1095" s="981"/>
    </row>
    <row r="1096" spans="1:24" ht="26.25" customHeight="1" x14ac:dyDescent="0.25">
      <c r="A1096" s="1989" t="s">
        <v>3089</v>
      </c>
      <c r="B1096" s="1987" t="s">
        <v>3385</v>
      </c>
      <c r="C1096" s="1996" t="s">
        <v>3386</v>
      </c>
      <c r="D1096" s="953" t="s">
        <v>201</v>
      </c>
      <c r="E1096" s="1307" t="s">
        <v>73</v>
      </c>
      <c r="F1096" s="1307" t="s">
        <v>1785</v>
      </c>
      <c r="G1096" s="1307" t="s">
        <v>1752</v>
      </c>
      <c r="H1096" s="980"/>
      <c r="I1096" s="980"/>
      <c r="J1096" s="980"/>
      <c r="K1096" s="980"/>
      <c r="L1096" s="980">
        <v>-2286000</v>
      </c>
      <c r="M1096" s="980"/>
      <c r="N1096" s="980"/>
      <c r="O1096" s="980"/>
      <c r="P1096" s="981"/>
      <c r="Q1096" s="1449"/>
      <c r="R1096" s="980"/>
      <c r="S1096" s="980"/>
      <c r="T1096" s="980"/>
      <c r="U1096" s="980"/>
      <c r="V1096" s="980"/>
      <c r="W1096" s="980"/>
      <c r="X1096" s="981"/>
    </row>
    <row r="1097" spans="1:24" ht="26.25" customHeight="1" x14ac:dyDescent="0.25">
      <c r="A1097" s="1990"/>
      <c r="B1097" s="1988"/>
      <c r="C1097" s="1996"/>
      <c r="D1097" s="953" t="s">
        <v>199</v>
      </c>
      <c r="E1097" s="1307" t="s">
        <v>561</v>
      </c>
      <c r="F1097" s="1307" t="s">
        <v>867</v>
      </c>
      <c r="G1097" s="1307" t="s">
        <v>1754</v>
      </c>
      <c r="H1097" s="980"/>
      <c r="I1097" s="980"/>
      <c r="J1097" s="980"/>
      <c r="K1097" s="980"/>
      <c r="L1097" s="980"/>
      <c r="M1097" s="980">
        <f>1800000+486000</f>
        <v>2286000</v>
      </c>
      <c r="N1097" s="980"/>
      <c r="O1097" s="980"/>
      <c r="P1097" s="981"/>
      <c r="Q1097" s="1449"/>
      <c r="R1097" s="980"/>
      <c r="S1097" s="980"/>
      <c r="T1097" s="980"/>
      <c r="U1097" s="980"/>
      <c r="V1097" s="980"/>
      <c r="W1097" s="980"/>
      <c r="X1097" s="981"/>
    </row>
    <row r="1098" spans="1:24" ht="23.25" customHeight="1" x14ac:dyDescent="0.25">
      <c r="A1098" s="1989" t="s">
        <v>3091</v>
      </c>
      <c r="B1098" s="1987" t="s">
        <v>194</v>
      </c>
      <c r="C1098" s="1996" t="s">
        <v>3391</v>
      </c>
      <c r="D1098" s="953" t="s">
        <v>201</v>
      </c>
      <c r="E1098" s="1307" t="s">
        <v>73</v>
      </c>
      <c r="F1098" s="1307" t="s">
        <v>1785</v>
      </c>
      <c r="G1098" s="1307" t="s">
        <v>1752</v>
      </c>
      <c r="H1098" s="980"/>
      <c r="I1098" s="980"/>
      <c r="J1098" s="980"/>
      <c r="K1098" s="980"/>
      <c r="L1098" s="980">
        <v>-100000</v>
      </c>
      <c r="M1098" s="980"/>
      <c r="N1098" s="980"/>
      <c r="O1098" s="980"/>
      <c r="P1098" s="981"/>
      <c r="Q1098" s="1449"/>
      <c r="R1098" s="980"/>
      <c r="S1098" s="980"/>
      <c r="T1098" s="980"/>
      <c r="U1098" s="980"/>
      <c r="V1098" s="980"/>
      <c r="W1098" s="980"/>
      <c r="X1098" s="981"/>
    </row>
    <row r="1099" spans="1:24" ht="23.25" customHeight="1" x14ac:dyDescent="0.25">
      <c r="A1099" s="1990"/>
      <c r="B1099" s="1988"/>
      <c r="C1099" s="1996"/>
      <c r="D1099" s="953" t="s">
        <v>194</v>
      </c>
      <c r="E1099" s="1307" t="s">
        <v>641</v>
      </c>
      <c r="F1099" s="1307" t="s">
        <v>1755</v>
      </c>
      <c r="G1099" s="1307" t="s">
        <v>1754</v>
      </c>
      <c r="H1099" s="980"/>
      <c r="I1099" s="980"/>
      <c r="J1099" s="980">
        <v>100000</v>
      </c>
      <c r="K1099" s="980"/>
      <c r="L1099" s="980"/>
      <c r="M1099" s="980"/>
      <c r="N1099" s="980"/>
      <c r="O1099" s="980"/>
      <c r="P1099" s="981"/>
      <c r="Q1099" s="1449"/>
      <c r="R1099" s="980"/>
      <c r="S1099" s="980"/>
      <c r="T1099" s="980"/>
      <c r="U1099" s="980"/>
      <c r="V1099" s="980"/>
      <c r="W1099" s="980"/>
      <c r="X1099" s="981"/>
    </row>
    <row r="1100" spans="1:24" ht="24.75" customHeight="1" x14ac:dyDescent="0.25">
      <c r="A1100" s="1989" t="s">
        <v>3093</v>
      </c>
      <c r="B1100" s="1987" t="s">
        <v>195</v>
      </c>
      <c r="C1100" s="1985" t="s">
        <v>3388</v>
      </c>
      <c r="D1100" s="953" t="s">
        <v>201</v>
      </c>
      <c r="E1100" s="1307" t="s">
        <v>73</v>
      </c>
      <c r="F1100" s="1307" t="s">
        <v>1785</v>
      </c>
      <c r="G1100" s="1307" t="s">
        <v>1752</v>
      </c>
      <c r="H1100" s="980"/>
      <c r="I1100" s="980"/>
      <c r="J1100" s="980"/>
      <c r="K1100" s="980"/>
      <c r="L1100" s="980">
        <v>-1879600</v>
      </c>
      <c r="M1100" s="980"/>
      <c r="N1100" s="980"/>
      <c r="O1100" s="980"/>
      <c r="P1100" s="981"/>
      <c r="Q1100" s="1449"/>
      <c r="R1100" s="980"/>
      <c r="S1100" s="980"/>
      <c r="T1100" s="980"/>
      <c r="U1100" s="980"/>
      <c r="V1100" s="980"/>
      <c r="W1100" s="980"/>
      <c r="X1100" s="981"/>
    </row>
    <row r="1101" spans="1:24" ht="24.75" customHeight="1" x14ac:dyDescent="0.25">
      <c r="A1101" s="1990"/>
      <c r="B1101" s="1988"/>
      <c r="C1101" s="1986"/>
      <c r="D1101" s="953" t="s">
        <v>199</v>
      </c>
      <c r="E1101" s="1307" t="s">
        <v>601</v>
      </c>
      <c r="F1101" s="1307" t="s">
        <v>127</v>
      </c>
      <c r="G1101" s="1307" t="s">
        <v>1754</v>
      </c>
      <c r="H1101" s="980"/>
      <c r="I1101" s="980"/>
      <c r="J1101" s="980"/>
      <c r="K1101" s="980"/>
      <c r="L1101" s="980"/>
      <c r="M1101" s="980">
        <f>1480000+399600</f>
        <v>1879600</v>
      </c>
      <c r="N1101" s="980"/>
      <c r="O1101" s="980"/>
      <c r="P1101" s="981"/>
      <c r="Q1101" s="1449"/>
      <c r="R1101" s="980"/>
      <c r="S1101" s="980"/>
      <c r="T1101" s="980"/>
      <c r="U1101" s="980"/>
      <c r="V1101" s="980"/>
      <c r="W1101" s="980"/>
      <c r="X1101" s="981"/>
    </row>
    <row r="1102" spans="1:24" ht="23.25" customHeight="1" x14ac:dyDescent="0.25">
      <c r="A1102" s="1989" t="s">
        <v>3095</v>
      </c>
      <c r="B1102" s="1987" t="s">
        <v>196</v>
      </c>
      <c r="C1102" s="1996" t="s">
        <v>3390</v>
      </c>
      <c r="D1102" s="953" t="s">
        <v>201</v>
      </c>
      <c r="E1102" s="1307" t="s">
        <v>73</v>
      </c>
      <c r="F1102" s="1307" t="s">
        <v>1785</v>
      </c>
      <c r="G1102" s="1307" t="s">
        <v>1752</v>
      </c>
      <c r="H1102" s="980"/>
      <c r="I1102" s="980"/>
      <c r="J1102" s="980"/>
      <c r="K1102" s="980"/>
      <c r="L1102" s="980">
        <v>-844550</v>
      </c>
      <c r="M1102" s="980"/>
      <c r="N1102" s="980"/>
      <c r="O1102" s="980"/>
      <c r="P1102" s="981"/>
      <c r="Q1102" s="1449"/>
      <c r="R1102" s="980"/>
      <c r="S1102" s="980"/>
      <c r="T1102" s="980"/>
      <c r="U1102" s="980"/>
      <c r="V1102" s="980"/>
      <c r="W1102" s="980"/>
      <c r="X1102" s="981"/>
    </row>
    <row r="1103" spans="1:24" ht="23.25" customHeight="1" x14ac:dyDescent="0.25">
      <c r="A1103" s="1990"/>
      <c r="B1103" s="1988"/>
      <c r="C1103" s="1996"/>
      <c r="D1103" s="953" t="s">
        <v>194</v>
      </c>
      <c r="E1103" s="1307" t="s">
        <v>641</v>
      </c>
      <c r="F1103" s="1307" t="s">
        <v>1755</v>
      </c>
      <c r="G1103" s="1307" t="s">
        <v>1754</v>
      </c>
      <c r="H1103" s="980"/>
      <c r="I1103" s="980"/>
      <c r="J1103" s="980">
        <f>665000+179550</f>
        <v>844550</v>
      </c>
      <c r="K1103" s="980"/>
      <c r="L1103" s="980"/>
      <c r="M1103" s="980"/>
      <c r="N1103" s="980"/>
      <c r="O1103" s="980"/>
      <c r="P1103" s="981"/>
      <c r="Q1103" s="1449"/>
      <c r="R1103" s="980"/>
      <c r="S1103" s="980"/>
      <c r="T1103" s="980"/>
      <c r="U1103" s="980"/>
      <c r="V1103" s="980"/>
      <c r="W1103" s="980"/>
      <c r="X1103" s="981"/>
    </row>
    <row r="1104" spans="1:24" ht="21" customHeight="1" x14ac:dyDescent="0.25">
      <c r="A1104" s="1989" t="s">
        <v>3098</v>
      </c>
      <c r="B1104" s="1987" t="s">
        <v>197</v>
      </c>
      <c r="C1104" s="1985" t="s">
        <v>3392</v>
      </c>
      <c r="D1104" s="953" t="s">
        <v>201</v>
      </c>
      <c r="E1104" s="1307" t="s">
        <v>73</v>
      </c>
      <c r="F1104" s="1307" t="s">
        <v>1785</v>
      </c>
      <c r="G1104" s="1307" t="s">
        <v>1752</v>
      </c>
      <c r="H1104" s="980"/>
      <c r="I1104" s="980"/>
      <c r="J1104" s="980"/>
      <c r="K1104" s="980"/>
      <c r="L1104" s="980">
        <v>-450000</v>
      </c>
      <c r="M1104" s="980"/>
      <c r="N1104" s="980"/>
      <c r="O1104" s="980"/>
      <c r="P1104" s="981"/>
      <c r="Q1104" s="1449"/>
      <c r="R1104" s="980"/>
      <c r="S1104" s="980"/>
      <c r="T1104" s="980"/>
      <c r="U1104" s="980"/>
      <c r="V1104" s="980"/>
      <c r="W1104" s="980"/>
      <c r="X1104" s="981"/>
    </row>
    <row r="1105" spans="1:24" ht="21" customHeight="1" x14ac:dyDescent="0.25">
      <c r="A1105" s="1990"/>
      <c r="B1105" s="1988"/>
      <c r="C1105" s="1986"/>
      <c r="D1105" s="953" t="s">
        <v>194</v>
      </c>
      <c r="E1105" s="1307" t="s">
        <v>2477</v>
      </c>
      <c r="F1105" s="1307" t="s">
        <v>2476</v>
      </c>
      <c r="G1105" s="1307" t="s">
        <v>1754</v>
      </c>
      <c r="H1105" s="980"/>
      <c r="I1105" s="980"/>
      <c r="J1105" s="980">
        <f>354331+95669</f>
        <v>450000</v>
      </c>
      <c r="K1105" s="980"/>
      <c r="L1105" s="980"/>
      <c r="M1105" s="980"/>
      <c r="N1105" s="980"/>
      <c r="O1105" s="980"/>
      <c r="P1105" s="981"/>
      <c r="Q1105" s="1449"/>
      <c r="R1105" s="980"/>
      <c r="S1105" s="980"/>
      <c r="T1105" s="980"/>
      <c r="U1105" s="980"/>
      <c r="V1105" s="980"/>
      <c r="W1105" s="980"/>
      <c r="X1105" s="981"/>
    </row>
    <row r="1106" spans="1:24" ht="23.25" customHeight="1" x14ac:dyDescent="0.25">
      <c r="A1106" s="1989" t="s">
        <v>3100</v>
      </c>
      <c r="B1106" s="1987" t="s">
        <v>198</v>
      </c>
      <c r="C1106" s="1996" t="s">
        <v>2606</v>
      </c>
      <c r="D1106" s="953" t="s">
        <v>201</v>
      </c>
      <c r="E1106" s="1307" t="s">
        <v>73</v>
      </c>
      <c r="F1106" s="1307" t="s">
        <v>1785</v>
      </c>
      <c r="G1106" s="1307" t="s">
        <v>1752</v>
      </c>
      <c r="H1106" s="980"/>
      <c r="I1106" s="980"/>
      <c r="J1106" s="980"/>
      <c r="K1106" s="980"/>
      <c r="L1106" s="980">
        <v>-904875</v>
      </c>
      <c r="M1106" s="980"/>
      <c r="N1106" s="980"/>
      <c r="O1106" s="980"/>
      <c r="P1106" s="981"/>
      <c r="Q1106" s="1449"/>
      <c r="R1106" s="980"/>
      <c r="S1106" s="980"/>
      <c r="T1106" s="980"/>
      <c r="U1106" s="980"/>
      <c r="V1106" s="980"/>
      <c r="W1106" s="980"/>
      <c r="X1106" s="981"/>
    </row>
    <row r="1107" spans="1:24" ht="23.25" customHeight="1" x14ac:dyDescent="0.25">
      <c r="A1107" s="1990"/>
      <c r="B1107" s="1988"/>
      <c r="C1107" s="1996"/>
      <c r="D1107" s="953" t="s">
        <v>200</v>
      </c>
      <c r="E1107" s="1307" t="s">
        <v>1368</v>
      </c>
      <c r="F1107" s="1307" t="s">
        <v>1412</v>
      </c>
      <c r="G1107" s="1307" t="s">
        <v>1754</v>
      </c>
      <c r="H1107" s="980"/>
      <c r="I1107" s="980"/>
      <c r="J1107" s="980"/>
      <c r="K1107" s="980"/>
      <c r="L1107" s="980"/>
      <c r="M1107" s="980"/>
      <c r="N1107" s="980">
        <f>712500+192375</f>
        <v>904875</v>
      </c>
      <c r="O1107" s="980"/>
      <c r="P1107" s="981"/>
      <c r="Q1107" s="1449"/>
      <c r="R1107" s="980"/>
      <c r="S1107" s="980"/>
      <c r="T1107" s="980"/>
      <c r="U1107" s="980"/>
      <c r="V1107" s="980"/>
      <c r="W1107" s="980"/>
      <c r="X1107" s="981"/>
    </row>
    <row r="1108" spans="1:24" ht="25.5" customHeight="1" x14ac:dyDescent="0.25">
      <c r="A1108" s="1989" t="s">
        <v>3102</v>
      </c>
      <c r="B1108" s="2034" t="s">
        <v>3393</v>
      </c>
      <c r="C1108" s="1996" t="s">
        <v>3394</v>
      </c>
      <c r="D1108" s="953" t="s">
        <v>201</v>
      </c>
      <c r="E1108" s="1307" t="s">
        <v>73</v>
      </c>
      <c r="F1108" s="1307" t="s">
        <v>1785</v>
      </c>
      <c r="G1108" s="1307" t="s">
        <v>1752</v>
      </c>
      <c r="H1108" s="980"/>
      <c r="I1108" s="980"/>
      <c r="J1108" s="980"/>
      <c r="K1108" s="980"/>
      <c r="L1108" s="980">
        <v>-603250</v>
      </c>
      <c r="M1108" s="980"/>
      <c r="N1108" s="980"/>
      <c r="O1108" s="980"/>
      <c r="P1108" s="981"/>
      <c r="Q1108" s="1449"/>
      <c r="R1108" s="980"/>
      <c r="S1108" s="980"/>
      <c r="T1108" s="980"/>
      <c r="U1108" s="980"/>
      <c r="V1108" s="980"/>
      <c r="W1108" s="980"/>
      <c r="X1108" s="981"/>
    </row>
    <row r="1109" spans="1:24" ht="25.5" customHeight="1" x14ac:dyDescent="0.25">
      <c r="A1109" s="1990"/>
      <c r="B1109" s="2035"/>
      <c r="C1109" s="1996"/>
      <c r="D1109" s="953" t="s">
        <v>200</v>
      </c>
      <c r="E1109" s="1307" t="s">
        <v>641</v>
      </c>
      <c r="F1109" s="1307" t="s">
        <v>133</v>
      </c>
      <c r="G1109" s="1307" t="s">
        <v>1754</v>
      </c>
      <c r="H1109" s="980"/>
      <c r="I1109" s="980"/>
      <c r="J1109" s="980"/>
      <c r="K1109" s="980"/>
      <c r="L1109" s="980"/>
      <c r="M1109" s="980"/>
      <c r="N1109" s="980">
        <f>475000+128250</f>
        <v>603250</v>
      </c>
      <c r="O1109" s="980"/>
      <c r="P1109" s="981"/>
      <c r="Q1109" s="1449"/>
      <c r="R1109" s="980"/>
      <c r="S1109" s="980"/>
      <c r="T1109" s="980"/>
      <c r="U1109" s="980"/>
      <c r="V1109" s="980"/>
      <c r="W1109" s="980"/>
      <c r="X1109" s="981"/>
    </row>
    <row r="1110" spans="1:24" ht="24.75" customHeight="1" x14ac:dyDescent="0.25">
      <c r="A1110" s="1989" t="s">
        <v>3111</v>
      </c>
      <c r="B1110" s="2034" t="s">
        <v>3396</v>
      </c>
      <c r="C1110" s="1996" t="s">
        <v>3397</v>
      </c>
      <c r="D1110" s="953" t="s">
        <v>201</v>
      </c>
      <c r="E1110" s="1307" t="s">
        <v>73</v>
      </c>
      <c r="F1110" s="1307" t="s">
        <v>1785</v>
      </c>
      <c r="G1110" s="1307" t="s">
        <v>1752</v>
      </c>
      <c r="H1110" s="980"/>
      <c r="I1110" s="980"/>
      <c r="J1110" s="980"/>
      <c r="K1110" s="980"/>
      <c r="L1110" s="980">
        <v>-941070</v>
      </c>
      <c r="M1110" s="980"/>
      <c r="N1110" s="980"/>
      <c r="O1110" s="980"/>
      <c r="P1110" s="981"/>
      <c r="Q1110" s="1449"/>
      <c r="R1110" s="980"/>
      <c r="S1110" s="980"/>
      <c r="T1110" s="980"/>
      <c r="U1110" s="980"/>
      <c r="V1110" s="980"/>
      <c r="W1110" s="980"/>
      <c r="X1110" s="981"/>
    </row>
    <row r="1111" spans="1:24" ht="24.75" customHeight="1" x14ac:dyDescent="0.25">
      <c r="A1111" s="1990"/>
      <c r="B1111" s="2035"/>
      <c r="C1111" s="1996"/>
      <c r="D1111" s="953" t="s">
        <v>200</v>
      </c>
      <c r="E1111" s="1307" t="s">
        <v>641</v>
      </c>
      <c r="F1111" s="1307" t="s">
        <v>133</v>
      </c>
      <c r="G1111" s="1307" t="s">
        <v>1754</v>
      </c>
      <c r="H1111" s="980"/>
      <c r="I1111" s="980"/>
      <c r="J1111" s="980"/>
      <c r="K1111" s="980"/>
      <c r="L1111" s="980"/>
      <c r="M1111" s="980"/>
      <c r="N1111" s="980">
        <f>741000+200070</f>
        <v>941070</v>
      </c>
      <c r="O1111" s="980"/>
      <c r="P1111" s="981"/>
      <c r="Q1111" s="1449"/>
      <c r="R1111" s="980"/>
      <c r="S1111" s="980"/>
      <c r="T1111" s="980"/>
      <c r="U1111" s="980"/>
      <c r="V1111" s="980"/>
      <c r="W1111" s="980"/>
      <c r="X1111" s="981"/>
    </row>
    <row r="1112" spans="1:24" ht="25.5" customHeight="1" x14ac:dyDescent="0.25">
      <c r="A1112" s="1989" t="s">
        <v>3113</v>
      </c>
      <c r="B1112" s="2034" t="s">
        <v>202</v>
      </c>
      <c r="C1112" s="1996" t="s">
        <v>3401</v>
      </c>
      <c r="D1112" s="953" t="s">
        <v>201</v>
      </c>
      <c r="E1112" s="1307" t="s">
        <v>73</v>
      </c>
      <c r="F1112" s="1307" t="s">
        <v>1785</v>
      </c>
      <c r="G1112" s="1307" t="s">
        <v>1752</v>
      </c>
      <c r="H1112" s="980"/>
      <c r="I1112" s="980"/>
      <c r="J1112" s="980"/>
      <c r="K1112" s="980"/>
      <c r="L1112" s="980">
        <v>-1930400</v>
      </c>
      <c r="M1112" s="980"/>
      <c r="N1112" s="980"/>
      <c r="O1112" s="980"/>
      <c r="P1112" s="981"/>
      <c r="Q1112" s="1449"/>
      <c r="R1112" s="980"/>
      <c r="S1112" s="980"/>
      <c r="T1112" s="980"/>
      <c r="U1112" s="980"/>
      <c r="V1112" s="980"/>
      <c r="W1112" s="980"/>
      <c r="X1112" s="981"/>
    </row>
    <row r="1113" spans="1:24" ht="25.5" customHeight="1" x14ac:dyDescent="0.25">
      <c r="A1113" s="1990"/>
      <c r="B1113" s="2035"/>
      <c r="C1113" s="1996"/>
      <c r="D1113" s="953" t="s">
        <v>200</v>
      </c>
      <c r="E1113" s="1307" t="s">
        <v>641</v>
      </c>
      <c r="F1113" s="1307" t="s">
        <v>133</v>
      </c>
      <c r="G1113" s="1307" t="s">
        <v>1754</v>
      </c>
      <c r="H1113" s="980"/>
      <c r="I1113" s="980"/>
      <c r="J1113" s="980"/>
      <c r="K1113" s="980"/>
      <c r="L1113" s="980"/>
      <c r="M1113" s="980"/>
      <c r="N1113" s="980">
        <f>1520000+410400</f>
        <v>1930400</v>
      </c>
      <c r="O1113" s="980"/>
      <c r="P1113" s="981"/>
      <c r="Q1113" s="1449"/>
      <c r="R1113" s="980"/>
      <c r="S1113" s="980"/>
      <c r="T1113" s="980"/>
      <c r="U1113" s="980"/>
      <c r="V1113" s="980"/>
      <c r="W1113" s="980"/>
      <c r="X1113" s="981"/>
    </row>
    <row r="1114" spans="1:24" ht="23.25" customHeight="1" x14ac:dyDescent="0.25">
      <c r="A1114" s="1989" t="s">
        <v>3121</v>
      </c>
      <c r="B1114" s="2034" t="s">
        <v>204</v>
      </c>
      <c r="C1114" s="1996" t="s">
        <v>3403</v>
      </c>
      <c r="D1114" s="953" t="s">
        <v>201</v>
      </c>
      <c r="E1114" s="1307" t="s">
        <v>73</v>
      </c>
      <c r="F1114" s="1307" t="s">
        <v>1785</v>
      </c>
      <c r="G1114" s="1307" t="s">
        <v>1752</v>
      </c>
      <c r="H1114" s="980"/>
      <c r="I1114" s="980"/>
      <c r="J1114" s="980"/>
      <c r="K1114" s="980"/>
      <c r="L1114" s="980">
        <v>-1689100</v>
      </c>
      <c r="M1114" s="980"/>
      <c r="N1114" s="980"/>
      <c r="O1114" s="980"/>
      <c r="P1114" s="981"/>
      <c r="Q1114" s="1449"/>
      <c r="R1114" s="980"/>
      <c r="S1114" s="980"/>
      <c r="T1114" s="980"/>
      <c r="U1114" s="980"/>
      <c r="V1114" s="980"/>
      <c r="W1114" s="980"/>
      <c r="X1114" s="981"/>
    </row>
    <row r="1115" spans="1:24" ht="23.25" customHeight="1" x14ac:dyDescent="0.25">
      <c r="A1115" s="1990"/>
      <c r="B1115" s="2035"/>
      <c r="C1115" s="1996"/>
      <c r="D1115" s="953" t="s">
        <v>200</v>
      </c>
      <c r="E1115" s="1307" t="s">
        <v>1368</v>
      </c>
      <c r="F1115" s="1307" t="s">
        <v>1412</v>
      </c>
      <c r="G1115" s="1307" t="s">
        <v>1754</v>
      </c>
      <c r="H1115" s="980"/>
      <c r="I1115" s="980"/>
      <c r="J1115" s="980"/>
      <c r="K1115" s="980"/>
      <c r="L1115" s="980"/>
      <c r="M1115" s="980"/>
      <c r="N1115" s="980">
        <f>1330000+359100</f>
        <v>1689100</v>
      </c>
      <c r="O1115" s="980"/>
      <c r="P1115" s="981"/>
      <c r="Q1115" s="1449"/>
      <c r="R1115" s="980"/>
      <c r="S1115" s="980"/>
      <c r="T1115" s="980"/>
      <c r="U1115" s="980"/>
      <c r="V1115" s="980"/>
      <c r="W1115" s="980"/>
      <c r="X1115" s="981"/>
    </row>
    <row r="1116" spans="1:24" ht="21" customHeight="1" x14ac:dyDescent="0.25">
      <c r="A1116" s="1989" t="s">
        <v>3123</v>
      </c>
      <c r="B1116" s="2034" t="s">
        <v>231</v>
      </c>
      <c r="C1116" s="1985" t="s">
        <v>3405</v>
      </c>
      <c r="D1116" s="953" t="s">
        <v>201</v>
      </c>
      <c r="E1116" s="1307" t="s">
        <v>73</v>
      </c>
      <c r="F1116" s="1307" t="s">
        <v>1785</v>
      </c>
      <c r="G1116" s="1307" t="s">
        <v>1752</v>
      </c>
      <c r="H1116" s="980"/>
      <c r="I1116" s="980"/>
      <c r="J1116" s="980"/>
      <c r="K1116" s="980"/>
      <c r="L1116" s="980">
        <v>-2500000</v>
      </c>
      <c r="M1116" s="980"/>
      <c r="N1116" s="980"/>
      <c r="O1116" s="980"/>
      <c r="P1116" s="981"/>
      <c r="Q1116" s="1449"/>
      <c r="R1116" s="980"/>
      <c r="S1116" s="980"/>
      <c r="T1116" s="980"/>
      <c r="U1116" s="980"/>
      <c r="V1116" s="980"/>
      <c r="W1116" s="980"/>
      <c r="X1116" s="981"/>
    </row>
    <row r="1117" spans="1:24" ht="21" customHeight="1" x14ac:dyDescent="0.25">
      <c r="A1117" s="1990"/>
      <c r="B1117" s="2035"/>
      <c r="C1117" s="1986"/>
      <c r="D1117" s="953" t="s">
        <v>194</v>
      </c>
      <c r="E1117" s="1307" t="s">
        <v>130</v>
      </c>
      <c r="F1117" s="1307" t="s">
        <v>1865</v>
      </c>
      <c r="G1117" s="1307" t="s">
        <v>1754</v>
      </c>
      <c r="H1117" s="980"/>
      <c r="I1117" s="980"/>
      <c r="J1117" s="980">
        <f>1968504+531496</f>
        <v>2500000</v>
      </c>
      <c r="K1117" s="980"/>
      <c r="L1117" s="980"/>
      <c r="M1117" s="980"/>
      <c r="N1117" s="980"/>
      <c r="O1117" s="980"/>
      <c r="P1117" s="981"/>
      <c r="Q1117" s="1449"/>
      <c r="R1117" s="980"/>
      <c r="S1117" s="980"/>
      <c r="T1117" s="980"/>
      <c r="U1117" s="980"/>
      <c r="V1117" s="980"/>
      <c r="W1117" s="980"/>
      <c r="X1117" s="981"/>
    </row>
    <row r="1118" spans="1:24" ht="24.75" customHeight="1" x14ac:dyDescent="0.25">
      <c r="A1118" s="1989" t="s">
        <v>3128</v>
      </c>
      <c r="B1118" s="2034" t="s">
        <v>232</v>
      </c>
      <c r="C1118" s="1985" t="s">
        <v>3406</v>
      </c>
      <c r="D1118" s="953" t="s">
        <v>201</v>
      </c>
      <c r="E1118" s="1307" t="s">
        <v>73</v>
      </c>
      <c r="F1118" s="1307" t="s">
        <v>1785</v>
      </c>
      <c r="G1118" s="1307" t="s">
        <v>1752</v>
      </c>
      <c r="H1118" s="980"/>
      <c r="I1118" s="980"/>
      <c r="J1118" s="980"/>
      <c r="K1118" s="980"/>
      <c r="L1118" s="980">
        <v>-118804</v>
      </c>
      <c r="M1118" s="980"/>
      <c r="N1118" s="980"/>
      <c r="O1118" s="980"/>
      <c r="P1118" s="981"/>
      <c r="Q1118" s="1449"/>
      <c r="R1118" s="980"/>
      <c r="S1118" s="980"/>
      <c r="T1118" s="980"/>
      <c r="U1118" s="980"/>
      <c r="V1118" s="980"/>
      <c r="W1118" s="980"/>
      <c r="X1118" s="981"/>
    </row>
    <row r="1119" spans="1:24" ht="24.75" customHeight="1" x14ac:dyDescent="0.25">
      <c r="A1119" s="1990"/>
      <c r="B1119" s="2035"/>
      <c r="C1119" s="1986"/>
      <c r="D1119" s="953" t="s">
        <v>194</v>
      </c>
      <c r="E1119" s="1307" t="s">
        <v>130</v>
      </c>
      <c r="F1119" s="1307" t="s">
        <v>1865</v>
      </c>
      <c r="G1119" s="1307" t="s">
        <v>1754</v>
      </c>
      <c r="H1119" s="980"/>
      <c r="I1119" s="980"/>
      <c r="J1119" s="980">
        <f>93546+25258</f>
        <v>118804</v>
      </c>
      <c r="K1119" s="980"/>
      <c r="L1119" s="980"/>
      <c r="M1119" s="980"/>
      <c r="N1119" s="980"/>
      <c r="O1119" s="980"/>
      <c r="P1119" s="981"/>
      <c r="Q1119" s="1449"/>
      <c r="R1119" s="980"/>
      <c r="S1119" s="980"/>
      <c r="T1119" s="980"/>
      <c r="U1119" s="980"/>
      <c r="V1119" s="980"/>
      <c r="W1119" s="980"/>
      <c r="X1119" s="981"/>
    </row>
    <row r="1120" spans="1:24" ht="17.25" customHeight="1" x14ac:dyDescent="0.25">
      <c r="A1120" s="1989" t="s">
        <v>3130</v>
      </c>
      <c r="B1120" s="2034" t="s">
        <v>233</v>
      </c>
      <c r="C1120" s="1985" t="s">
        <v>3407</v>
      </c>
      <c r="D1120" s="953" t="s">
        <v>199</v>
      </c>
      <c r="E1120" s="1307" t="s">
        <v>601</v>
      </c>
      <c r="F1120" s="1307" t="s">
        <v>127</v>
      </c>
      <c r="G1120" s="1307" t="s">
        <v>1752</v>
      </c>
      <c r="H1120" s="980"/>
      <c r="I1120" s="980"/>
      <c r="J1120" s="980"/>
      <c r="K1120" s="980"/>
      <c r="L1120" s="980"/>
      <c r="M1120" s="980">
        <f>-1030708-278292-186273-50294</f>
        <v>-1545567</v>
      </c>
      <c r="N1120" s="980"/>
      <c r="O1120" s="980"/>
      <c r="P1120" s="981"/>
      <c r="Q1120" s="1449"/>
      <c r="R1120" s="980"/>
      <c r="S1120" s="980"/>
      <c r="T1120" s="980"/>
      <c r="U1120" s="980"/>
      <c r="V1120" s="980"/>
      <c r="W1120" s="980"/>
      <c r="X1120" s="981"/>
    </row>
    <row r="1121" spans="1:24" ht="17.25" customHeight="1" x14ac:dyDescent="0.25">
      <c r="A1121" s="1995"/>
      <c r="B1121" s="2036"/>
      <c r="C1121" s="1993"/>
      <c r="D1121" s="953" t="s">
        <v>199</v>
      </c>
      <c r="E1121" s="1307" t="s">
        <v>602</v>
      </c>
      <c r="F1121" s="1307" t="s">
        <v>134</v>
      </c>
      <c r="G1121" s="1307" t="s">
        <v>1752</v>
      </c>
      <c r="H1121" s="980"/>
      <c r="I1121" s="980"/>
      <c r="J1121" s="980"/>
      <c r="K1121" s="980"/>
      <c r="L1121" s="980"/>
      <c r="M1121" s="980">
        <f>-541819-146291</f>
        <v>-688110</v>
      </c>
      <c r="N1121" s="980"/>
      <c r="O1121" s="980"/>
      <c r="P1121" s="981"/>
      <c r="Q1121" s="1449"/>
      <c r="R1121" s="980"/>
      <c r="S1121" s="980"/>
      <c r="T1121" s="980"/>
      <c r="U1121" s="980"/>
      <c r="V1121" s="980"/>
      <c r="W1121" s="980"/>
      <c r="X1121" s="981"/>
    </row>
    <row r="1122" spans="1:24" ht="17.25" customHeight="1" x14ac:dyDescent="0.25">
      <c r="A1122" s="1995"/>
      <c r="B1122" s="2036"/>
      <c r="C1122" s="1993"/>
      <c r="D1122" s="953" t="s">
        <v>197</v>
      </c>
      <c r="E1122" s="1307" t="s">
        <v>130</v>
      </c>
      <c r="F1122" s="1307" t="s">
        <v>1768</v>
      </c>
      <c r="G1122" s="1307" t="s">
        <v>1752</v>
      </c>
      <c r="H1122" s="980"/>
      <c r="I1122" s="980"/>
      <c r="J1122" s="980"/>
      <c r="K1122" s="980"/>
      <c r="L1122" s="980"/>
      <c r="M1122" s="980"/>
      <c r="N1122" s="980"/>
      <c r="O1122" s="980">
        <f>-1181102-318898</f>
        <v>-1500000</v>
      </c>
      <c r="P1122" s="981"/>
      <c r="Q1122" s="1449"/>
      <c r="R1122" s="980"/>
      <c r="S1122" s="980"/>
      <c r="T1122" s="980"/>
      <c r="U1122" s="980"/>
      <c r="V1122" s="980"/>
      <c r="W1122" s="980"/>
      <c r="X1122" s="981"/>
    </row>
    <row r="1123" spans="1:24" ht="17.25" customHeight="1" x14ac:dyDescent="0.25">
      <c r="A1123" s="1995"/>
      <c r="B1123" s="2036"/>
      <c r="C1123" s="1993"/>
      <c r="D1123" s="953" t="s">
        <v>194</v>
      </c>
      <c r="E1123" s="1307" t="s">
        <v>2483</v>
      </c>
      <c r="F1123" s="1307" t="s">
        <v>2482</v>
      </c>
      <c r="G1123" s="1307" t="s">
        <v>1752</v>
      </c>
      <c r="H1123" s="980"/>
      <c r="I1123" s="980"/>
      <c r="J1123" s="980">
        <f>-425647-114925</f>
        <v>-540572</v>
      </c>
      <c r="K1123" s="980"/>
      <c r="L1123" s="980"/>
      <c r="M1123" s="980"/>
      <c r="N1123" s="980"/>
      <c r="O1123" s="980"/>
      <c r="P1123" s="981"/>
      <c r="Q1123" s="1449"/>
      <c r="R1123" s="980"/>
      <c r="S1123" s="980"/>
      <c r="T1123" s="980"/>
      <c r="U1123" s="980"/>
      <c r="V1123" s="980"/>
      <c r="W1123" s="980"/>
      <c r="X1123" s="981"/>
    </row>
    <row r="1124" spans="1:24" ht="17.25" customHeight="1" x14ac:dyDescent="0.25">
      <c r="A1124" s="1990"/>
      <c r="B1124" s="2035"/>
      <c r="C1124" s="1986"/>
      <c r="D1124" s="953" t="s">
        <v>194</v>
      </c>
      <c r="E1124" s="1307" t="s">
        <v>130</v>
      </c>
      <c r="F1124" s="1307" t="s">
        <v>1865</v>
      </c>
      <c r="G1124" s="1307" t="s">
        <v>1752</v>
      </c>
      <c r="H1124" s="980"/>
      <c r="I1124" s="980"/>
      <c r="J1124" s="980">
        <f>3365550+908699</f>
        <v>4274249</v>
      </c>
      <c r="K1124" s="980"/>
      <c r="L1124" s="980"/>
      <c r="M1124" s="980"/>
      <c r="N1124" s="980"/>
      <c r="O1124" s="980"/>
      <c r="P1124" s="981"/>
      <c r="Q1124" s="1449"/>
      <c r="R1124" s="980"/>
      <c r="S1124" s="980"/>
      <c r="T1124" s="980"/>
      <c r="U1124" s="980"/>
      <c r="V1124" s="980"/>
      <c r="W1124" s="980"/>
      <c r="X1124" s="981"/>
    </row>
    <row r="1125" spans="1:24" ht="25.5" customHeight="1" x14ac:dyDescent="0.25">
      <c r="A1125" s="1989" t="s">
        <v>3136</v>
      </c>
      <c r="B1125" s="2034" t="s">
        <v>234</v>
      </c>
      <c r="C1125" s="1985" t="s">
        <v>3408</v>
      </c>
      <c r="D1125" s="953" t="s">
        <v>199</v>
      </c>
      <c r="E1125" s="1307" t="s">
        <v>601</v>
      </c>
      <c r="F1125" s="1307" t="s">
        <v>127</v>
      </c>
      <c r="G1125" s="1307" t="s">
        <v>1752</v>
      </c>
      <c r="H1125" s="980"/>
      <c r="I1125" s="980"/>
      <c r="J1125" s="980"/>
      <c r="K1125" s="980"/>
      <c r="L1125" s="980"/>
      <c r="M1125" s="980">
        <f>-980000-264600</f>
        <v>-1244600</v>
      </c>
      <c r="N1125" s="980"/>
      <c r="O1125" s="980"/>
      <c r="P1125" s="981"/>
      <c r="Q1125" s="1449"/>
      <c r="R1125" s="980"/>
      <c r="S1125" s="980"/>
      <c r="T1125" s="980"/>
      <c r="U1125" s="980"/>
      <c r="V1125" s="980"/>
      <c r="W1125" s="980"/>
      <c r="X1125" s="981"/>
    </row>
    <row r="1126" spans="1:24" ht="27" customHeight="1" x14ac:dyDescent="0.25">
      <c r="A1126" s="1990"/>
      <c r="B1126" s="2035"/>
      <c r="C1126" s="1986"/>
      <c r="D1126" s="953" t="s">
        <v>199</v>
      </c>
      <c r="E1126" s="1307" t="s">
        <v>129</v>
      </c>
      <c r="F1126" s="1307" t="s">
        <v>90</v>
      </c>
      <c r="G1126" s="1307" t="s">
        <v>1754</v>
      </c>
      <c r="H1126" s="980"/>
      <c r="I1126" s="980"/>
      <c r="J1126" s="980"/>
      <c r="K1126" s="980"/>
      <c r="L1126" s="980"/>
      <c r="M1126" s="980">
        <f>980000+264600</f>
        <v>1244600</v>
      </c>
      <c r="N1126" s="980"/>
      <c r="O1126" s="980"/>
      <c r="P1126" s="981"/>
      <c r="Q1126" s="1449"/>
      <c r="R1126" s="980"/>
      <c r="S1126" s="980"/>
      <c r="T1126" s="980"/>
      <c r="U1126" s="980"/>
      <c r="V1126" s="980"/>
      <c r="W1126" s="980"/>
      <c r="X1126" s="981"/>
    </row>
    <row r="1127" spans="1:24" ht="22.5" customHeight="1" x14ac:dyDescent="0.25">
      <c r="A1127" s="1989" t="s">
        <v>3138</v>
      </c>
      <c r="B1127" s="2034" t="s">
        <v>235</v>
      </c>
      <c r="C1127" s="1985" t="s">
        <v>3410</v>
      </c>
      <c r="D1127" s="1539" t="s">
        <v>199</v>
      </c>
      <c r="E1127" s="1307" t="s">
        <v>601</v>
      </c>
      <c r="F1127" s="1307" t="s">
        <v>127</v>
      </c>
      <c r="G1127" s="1307" t="s">
        <v>1752</v>
      </c>
      <c r="H1127" s="980"/>
      <c r="I1127" s="980"/>
      <c r="J1127" s="980"/>
      <c r="K1127" s="980"/>
      <c r="L1127" s="980"/>
      <c r="M1127" s="980">
        <f>-110336-29790-330530-89243-1789-719</f>
        <v>-562407</v>
      </c>
      <c r="N1127" s="980"/>
      <c r="O1127" s="980"/>
      <c r="P1127" s="981"/>
      <c r="Q1127" s="1449"/>
      <c r="R1127" s="980"/>
      <c r="S1127" s="980"/>
      <c r="T1127" s="980"/>
      <c r="U1127" s="980"/>
      <c r="V1127" s="980"/>
      <c r="W1127" s="980"/>
      <c r="X1127" s="981"/>
    </row>
    <row r="1128" spans="1:24" ht="22.5" customHeight="1" x14ac:dyDescent="0.25">
      <c r="A1128" s="1995"/>
      <c r="B1128" s="2036"/>
      <c r="C1128" s="1993"/>
      <c r="D1128" s="953" t="s">
        <v>199</v>
      </c>
      <c r="E1128" s="1307" t="s">
        <v>129</v>
      </c>
      <c r="F1128" s="1307" t="s">
        <v>151</v>
      </c>
      <c r="G1128" s="1307" t="s">
        <v>1752</v>
      </c>
      <c r="H1128" s="980"/>
      <c r="I1128" s="980"/>
      <c r="J1128" s="980"/>
      <c r="K1128" s="980"/>
      <c r="L1128" s="980"/>
      <c r="M1128" s="980">
        <f>-200000-54000</f>
        <v>-254000</v>
      </c>
      <c r="N1128" s="980"/>
      <c r="O1128" s="980"/>
      <c r="P1128" s="981"/>
      <c r="Q1128" s="1449"/>
      <c r="R1128" s="980"/>
      <c r="S1128" s="980"/>
      <c r="T1128" s="980"/>
      <c r="U1128" s="980"/>
      <c r="V1128" s="980"/>
      <c r="W1128" s="980"/>
      <c r="X1128" s="981"/>
    </row>
    <row r="1129" spans="1:24" ht="22.5" customHeight="1" x14ac:dyDescent="0.25">
      <c r="A1129" s="1995"/>
      <c r="B1129" s="2036"/>
      <c r="C1129" s="1993"/>
      <c r="D1129" s="953" t="s">
        <v>199</v>
      </c>
      <c r="E1129" s="1307" t="s">
        <v>563</v>
      </c>
      <c r="F1129" s="1307" t="s">
        <v>132</v>
      </c>
      <c r="G1129" s="1307" t="s">
        <v>1752</v>
      </c>
      <c r="H1129" s="980"/>
      <c r="I1129" s="980"/>
      <c r="J1129" s="980"/>
      <c r="K1129" s="980"/>
      <c r="L1129" s="980"/>
      <c r="M1129" s="980">
        <f>-200000-54000</f>
        <v>-254000</v>
      </c>
      <c r="N1129" s="980"/>
      <c r="O1129" s="980"/>
      <c r="P1129" s="981"/>
      <c r="Q1129" s="1449"/>
      <c r="R1129" s="980"/>
      <c r="S1129" s="980"/>
      <c r="T1129" s="980"/>
      <c r="U1129" s="980"/>
      <c r="V1129" s="980"/>
      <c r="W1129" s="980"/>
      <c r="X1129" s="981"/>
    </row>
    <row r="1130" spans="1:24" ht="22.5" customHeight="1" x14ac:dyDescent="0.25">
      <c r="A1130" s="1995"/>
      <c r="B1130" s="2036"/>
      <c r="C1130" s="1993"/>
      <c r="D1130" s="953" t="s">
        <v>199</v>
      </c>
      <c r="E1130" s="1307" t="s">
        <v>129</v>
      </c>
      <c r="F1130" s="1307" t="s">
        <v>90</v>
      </c>
      <c r="G1130" s="1307" t="s">
        <v>1752</v>
      </c>
      <c r="H1130" s="980"/>
      <c r="I1130" s="980"/>
      <c r="J1130" s="980"/>
      <c r="K1130" s="980"/>
      <c r="L1130" s="980"/>
      <c r="M1130" s="980">
        <v>-874</v>
      </c>
      <c r="N1130" s="980"/>
      <c r="O1130" s="980"/>
      <c r="P1130" s="981"/>
      <c r="Q1130" s="1449"/>
      <c r="R1130" s="980"/>
      <c r="S1130" s="980"/>
      <c r="T1130" s="980"/>
      <c r="U1130" s="980"/>
      <c r="V1130" s="980"/>
      <c r="W1130" s="980"/>
      <c r="X1130" s="981"/>
    </row>
    <row r="1131" spans="1:24" ht="22.5" customHeight="1" x14ac:dyDescent="0.25">
      <c r="A1131" s="1990"/>
      <c r="B1131" s="2035"/>
      <c r="C1131" s="1986"/>
      <c r="D1131" s="953" t="s">
        <v>194</v>
      </c>
      <c r="E1131" s="1307" t="s">
        <v>2477</v>
      </c>
      <c r="F1131" s="1307" t="s">
        <v>2476</v>
      </c>
      <c r="G1131" s="1307" t="s">
        <v>1754</v>
      </c>
      <c r="H1131" s="980"/>
      <c r="I1131" s="980"/>
      <c r="J1131" s="980">
        <f>843528+227753</f>
        <v>1071281</v>
      </c>
      <c r="K1131" s="980"/>
      <c r="L1131" s="980"/>
      <c r="M1131" s="980"/>
      <c r="N1131" s="980"/>
      <c r="O1131" s="980"/>
      <c r="P1131" s="981"/>
      <c r="Q1131" s="1449"/>
      <c r="R1131" s="980"/>
      <c r="S1131" s="980"/>
      <c r="T1131" s="980"/>
      <c r="U1131" s="980"/>
      <c r="V1131" s="980"/>
      <c r="W1131" s="980"/>
      <c r="X1131" s="981"/>
    </row>
    <row r="1132" spans="1:24" ht="21.75" customHeight="1" x14ac:dyDescent="0.25">
      <c r="A1132" s="1989" t="s">
        <v>3141</v>
      </c>
      <c r="B1132" s="2034" t="s">
        <v>236</v>
      </c>
      <c r="C1132" s="1985" t="s">
        <v>3411</v>
      </c>
      <c r="D1132" s="953" t="s">
        <v>194</v>
      </c>
      <c r="E1132" s="1307" t="s">
        <v>130</v>
      </c>
      <c r="F1132" s="1307" t="s">
        <v>1812</v>
      </c>
      <c r="G1132" s="1307" t="s">
        <v>1752</v>
      </c>
      <c r="H1132" s="980"/>
      <c r="I1132" s="980"/>
      <c r="J1132" s="980">
        <f>-28000-7560</f>
        <v>-35560</v>
      </c>
      <c r="K1132" s="980"/>
      <c r="L1132" s="980"/>
      <c r="M1132" s="980"/>
      <c r="N1132" s="980"/>
      <c r="O1132" s="980"/>
      <c r="P1132" s="981"/>
      <c r="Q1132" s="1449"/>
      <c r="R1132" s="980"/>
      <c r="S1132" s="980"/>
      <c r="T1132" s="980"/>
      <c r="U1132" s="980"/>
      <c r="V1132" s="980"/>
      <c r="W1132" s="980"/>
      <c r="X1132" s="981"/>
    </row>
    <row r="1133" spans="1:24" ht="21.75" customHeight="1" x14ac:dyDescent="0.25">
      <c r="A1133" s="1990"/>
      <c r="B1133" s="2035"/>
      <c r="C1133" s="1986"/>
      <c r="D1133" s="953" t="s">
        <v>194</v>
      </c>
      <c r="E1133" s="1307" t="s">
        <v>844</v>
      </c>
      <c r="F1133" s="1307" t="s">
        <v>1802</v>
      </c>
      <c r="G1133" s="1307" t="s">
        <v>1754</v>
      </c>
      <c r="H1133" s="980"/>
      <c r="I1133" s="980"/>
      <c r="J1133" s="980">
        <f>28000+7560</f>
        <v>35560</v>
      </c>
      <c r="K1133" s="980"/>
      <c r="L1133" s="980"/>
      <c r="M1133" s="980"/>
      <c r="N1133" s="980"/>
      <c r="O1133" s="980"/>
      <c r="P1133" s="981"/>
      <c r="Q1133" s="1449"/>
      <c r="R1133" s="980"/>
      <c r="S1133" s="980"/>
      <c r="T1133" s="980"/>
      <c r="U1133" s="980"/>
      <c r="V1133" s="980"/>
      <c r="W1133" s="980"/>
      <c r="X1133" s="981"/>
    </row>
    <row r="1134" spans="1:24" ht="18.75" customHeight="1" x14ac:dyDescent="0.25">
      <c r="A1134" s="1989" t="s">
        <v>3146</v>
      </c>
      <c r="B1134" s="2034" t="s">
        <v>237</v>
      </c>
      <c r="C1134" s="1985" t="s">
        <v>3412</v>
      </c>
      <c r="D1134" s="953" t="s">
        <v>194</v>
      </c>
      <c r="E1134" s="1307" t="s">
        <v>1838</v>
      </c>
      <c r="F1134" s="1307" t="s">
        <v>3142</v>
      </c>
      <c r="G1134" s="1307" t="s">
        <v>1752</v>
      </c>
      <c r="H1134" s="980"/>
      <c r="I1134" s="980"/>
      <c r="J1134" s="980">
        <f>-68008-18362</f>
        <v>-86370</v>
      </c>
      <c r="K1134" s="980"/>
      <c r="L1134" s="980"/>
      <c r="M1134" s="980"/>
      <c r="N1134" s="980"/>
      <c r="O1134" s="980"/>
      <c r="P1134" s="981"/>
      <c r="Q1134" s="1449"/>
      <c r="R1134" s="980"/>
      <c r="S1134" s="980"/>
      <c r="T1134" s="980"/>
      <c r="U1134" s="980"/>
      <c r="V1134" s="980"/>
      <c r="W1134" s="980"/>
      <c r="X1134" s="981"/>
    </row>
    <row r="1135" spans="1:24" ht="18.75" customHeight="1" x14ac:dyDescent="0.25">
      <c r="A1135" s="1995"/>
      <c r="B1135" s="2036"/>
      <c r="C1135" s="1993"/>
      <c r="D1135" s="953">
        <v>1</v>
      </c>
      <c r="E1135" s="1307" t="s">
        <v>2764</v>
      </c>
      <c r="F1135" s="1307" t="s">
        <v>2763</v>
      </c>
      <c r="G1135" s="1307" t="s">
        <v>1752</v>
      </c>
      <c r="H1135" s="980" t="s">
        <v>2093</v>
      </c>
      <c r="I1135" s="980"/>
      <c r="J1135" s="980">
        <f>-363835-98236</f>
        <v>-462071</v>
      </c>
      <c r="K1135" s="980"/>
      <c r="L1135" s="980"/>
      <c r="M1135" s="980"/>
      <c r="N1135" s="980"/>
      <c r="O1135" s="980"/>
      <c r="P1135" s="981"/>
      <c r="Q1135" s="1449"/>
      <c r="R1135" s="980"/>
      <c r="S1135" s="980"/>
      <c r="T1135" s="980"/>
      <c r="U1135" s="980"/>
      <c r="V1135" s="980"/>
      <c r="W1135" s="980"/>
      <c r="X1135" s="981"/>
    </row>
    <row r="1136" spans="1:24" ht="18.75" customHeight="1" x14ac:dyDescent="0.25">
      <c r="A1136" s="1995"/>
      <c r="B1136" s="2036"/>
      <c r="C1136" s="1993"/>
      <c r="D1136" s="953" t="s">
        <v>199</v>
      </c>
      <c r="E1136" s="1307" t="s">
        <v>607</v>
      </c>
      <c r="F1136" s="1307" t="s">
        <v>605</v>
      </c>
      <c r="G1136" s="1307" t="s">
        <v>1752</v>
      </c>
      <c r="H1136" s="980"/>
      <c r="I1136" s="980"/>
      <c r="J1136" s="980"/>
      <c r="K1136" s="980"/>
      <c r="L1136" s="980"/>
      <c r="M1136" s="980">
        <f>-218157-58902</f>
        <v>-277059</v>
      </c>
      <c r="N1136" s="980"/>
      <c r="O1136" s="980"/>
      <c r="P1136" s="981"/>
      <c r="Q1136" s="1449"/>
      <c r="R1136" s="980"/>
      <c r="S1136" s="980"/>
      <c r="T1136" s="980"/>
      <c r="U1136" s="980"/>
      <c r="V1136" s="980"/>
      <c r="W1136" s="980"/>
      <c r="X1136" s="981"/>
    </row>
    <row r="1137" spans="1:24" ht="18.75" customHeight="1" x14ac:dyDescent="0.25">
      <c r="A1137" s="1990"/>
      <c r="B1137" s="2035"/>
      <c r="C1137" s="1986"/>
      <c r="D1137" s="953" t="s">
        <v>194</v>
      </c>
      <c r="E1137" s="1307" t="s">
        <v>1838</v>
      </c>
      <c r="F1137" s="1307" t="s">
        <v>1837</v>
      </c>
      <c r="G1137" s="1307" t="s">
        <v>1754</v>
      </c>
      <c r="H1137" s="980"/>
      <c r="I1137" s="980"/>
      <c r="J1137" s="980">
        <f>650000+175500</f>
        <v>825500</v>
      </c>
      <c r="K1137" s="980"/>
      <c r="L1137" s="980"/>
      <c r="M1137" s="980"/>
      <c r="N1137" s="980"/>
      <c r="O1137" s="980"/>
      <c r="P1137" s="981"/>
      <c r="Q1137" s="1449"/>
      <c r="R1137" s="980"/>
      <c r="S1137" s="980"/>
      <c r="T1137" s="980"/>
      <c r="U1137" s="980"/>
      <c r="V1137" s="980"/>
      <c r="W1137" s="980"/>
      <c r="X1137" s="981"/>
    </row>
    <row r="1138" spans="1:24" ht="24.75" customHeight="1" x14ac:dyDescent="0.25">
      <c r="A1138" s="1989" t="s">
        <v>3147</v>
      </c>
      <c r="B1138" s="1991" t="s">
        <v>238</v>
      </c>
      <c r="C1138" s="1996" t="s">
        <v>3415</v>
      </c>
      <c r="D1138" s="953" t="s">
        <v>201</v>
      </c>
      <c r="E1138" s="1307" t="s">
        <v>73</v>
      </c>
      <c r="F1138" s="1307" t="s">
        <v>1785</v>
      </c>
      <c r="G1138" s="1307" t="s">
        <v>1752</v>
      </c>
      <c r="H1138" s="980"/>
      <c r="I1138" s="980"/>
      <c r="J1138" s="980"/>
      <c r="K1138" s="980"/>
      <c r="L1138" s="980">
        <v>-2535300</v>
      </c>
      <c r="M1138" s="980"/>
      <c r="N1138" s="980"/>
      <c r="O1138" s="980"/>
      <c r="P1138" s="981"/>
      <c r="Q1138" s="1449"/>
      <c r="R1138" s="980"/>
      <c r="S1138" s="980"/>
      <c r="T1138" s="980"/>
      <c r="U1138" s="980"/>
      <c r="V1138" s="980"/>
      <c r="W1138" s="980"/>
      <c r="X1138" s="981"/>
    </row>
    <row r="1139" spans="1:24" ht="24.75" customHeight="1" x14ac:dyDescent="0.25">
      <c r="A1139" s="1990"/>
      <c r="B1139" s="1992"/>
      <c r="C1139" s="1996"/>
      <c r="D1139" s="953" t="s">
        <v>203</v>
      </c>
      <c r="E1139" s="1307" t="s">
        <v>1297</v>
      </c>
      <c r="F1139" s="1307" t="s">
        <v>550</v>
      </c>
      <c r="G1139" s="1307" t="s">
        <v>1754</v>
      </c>
      <c r="H1139" s="980"/>
      <c r="I1139" s="980"/>
      <c r="J1139" s="980"/>
      <c r="K1139" s="980"/>
      <c r="L1139" s="980"/>
      <c r="M1139" s="980"/>
      <c r="N1139" s="980"/>
      <c r="O1139" s="980"/>
      <c r="P1139" s="981">
        <v>2535300</v>
      </c>
      <c r="Q1139" s="1449"/>
      <c r="R1139" s="980"/>
      <c r="S1139" s="980"/>
      <c r="T1139" s="980"/>
      <c r="U1139" s="980"/>
      <c r="V1139" s="980"/>
      <c r="W1139" s="980"/>
      <c r="X1139" s="981"/>
    </row>
    <row r="1140" spans="1:24" ht="22.5" customHeight="1" x14ac:dyDescent="0.25">
      <c r="A1140" s="1481"/>
      <c r="B1140" s="1483"/>
      <c r="C1140" s="1477" t="s">
        <v>2381</v>
      </c>
      <c r="D1140" s="953" t="s">
        <v>203</v>
      </c>
      <c r="E1140" s="1307" t="s">
        <v>1297</v>
      </c>
      <c r="F1140" s="1307" t="s">
        <v>550</v>
      </c>
      <c r="G1140" s="1307" t="s">
        <v>1766</v>
      </c>
      <c r="H1140" s="980"/>
      <c r="I1140" s="980"/>
      <c r="J1140" s="980"/>
      <c r="K1140" s="980"/>
      <c r="L1140" s="980"/>
      <c r="M1140" s="980"/>
      <c r="N1140" s="980"/>
      <c r="O1140" s="980"/>
      <c r="P1140" s="981">
        <f>-1156503+1156503</f>
        <v>0</v>
      </c>
      <c r="Q1140" s="1449"/>
      <c r="R1140" s="980"/>
      <c r="S1140" s="980"/>
      <c r="T1140" s="980"/>
      <c r="U1140" s="980"/>
      <c r="V1140" s="980"/>
      <c r="W1140" s="980"/>
      <c r="X1140" s="981"/>
    </row>
    <row r="1141" spans="1:24" ht="24.75" customHeight="1" x14ac:dyDescent="0.25">
      <c r="A1141" s="1989" t="s">
        <v>3151</v>
      </c>
      <c r="B1141" s="1991" t="s">
        <v>239</v>
      </c>
      <c r="C1141" s="1996" t="s">
        <v>3419</v>
      </c>
      <c r="D1141" s="953" t="s">
        <v>201</v>
      </c>
      <c r="E1141" s="1307" t="s">
        <v>73</v>
      </c>
      <c r="F1141" s="1307" t="s">
        <v>1785</v>
      </c>
      <c r="G1141" s="1307" t="s">
        <v>1752</v>
      </c>
      <c r="H1141" s="980"/>
      <c r="I1141" s="980"/>
      <c r="J1141" s="980"/>
      <c r="K1141" s="980"/>
      <c r="L1141" s="980">
        <v>-2468032</v>
      </c>
      <c r="M1141" s="980"/>
      <c r="N1141" s="980"/>
      <c r="O1141" s="980"/>
      <c r="P1141" s="981"/>
      <c r="Q1141" s="1449"/>
      <c r="R1141" s="980"/>
      <c r="S1141" s="980"/>
      <c r="T1141" s="980"/>
      <c r="U1141" s="980"/>
      <c r="V1141" s="980"/>
      <c r="W1141" s="980"/>
      <c r="X1141" s="981"/>
    </row>
    <row r="1142" spans="1:24" ht="24.75" customHeight="1" x14ac:dyDescent="0.25">
      <c r="A1142" s="1990"/>
      <c r="B1142" s="1992"/>
      <c r="C1142" s="1996"/>
      <c r="D1142" s="953" t="s">
        <v>203</v>
      </c>
      <c r="E1142" s="1307" t="s">
        <v>1297</v>
      </c>
      <c r="F1142" s="1307" t="s">
        <v>550</v>
      </c>
      <c r="G1142" s="1307" t="s">
        <v>1754</v>
      </c>
      <c r="H1142" s="980"/>
      <c r="I1142" s="980"/>
      <c r="J1142" s="980"/>
      <c r="K1142" s="980"/>
      <c r="L1142" s="980"/>
      <c r="M1142" s="980"/>
      <c r="N1142" s="980"/>
      <c r="O1142" s="980"/>
      <c r="P1142" s="981">
        <v>2468032</v>
      </c>
      <c r="Q1142" s="1449"/>
      <c r="R1142" s="980"/>
      <c r="S1142" s="980"/>
      <c r="T1142" s="980"/>
      <c r="U1142" s="980"/>
      <c r="V1142" s="980"/>
      <c r="W1142" s="980"/>
      <c r="X1142" s="981"/>
    </row>
    <row r="1143" spans="1:24" ht="24.75" customHeight="1" x14ac:dyDescent="0.25">
      <c r="A1143" s="1989" t="s">
        <v>3157</v>
      </c>
      <c r="B1143" s="1991" t="s">
        <v>266</v>
      </c>
      <c r="C1143" s="1996" t="s">
        <v>3421</v>
      </c>
      <c r="D1143" s="953" t="s">
        <v>201</v>
      </c>
      <c r="E1143" s="1307" t="s">
        <v>73</v>
      </c>
      <c r="F1143" s="1307" t="s">
        <v>1785</v>
      </c>
      <c r="G1143" s="1307" t="s">
        <v>1752</v>
      </c>
      <c r="H1143" s="980"/>
      <c r="I1143" s="980"/>
      <c r="J1143" s="980"/>
      <c r="K1143" s="980"/>
      <c r="L1143" s="980">
        <v>-627399</v>
      </c>
      <c r="M1143" s="980"/>
      <c r="N1143" s="980"/>
      <c r="O1143" s="980"/>
      <c r="P1143" s="981"/>
      <c r="Q1143" s="1449"/>
      <c r="R1143" s="980"/>
      <c r="S1143" s="980"/>
      <c r="T1143" s="980"/>
      <c r="U1143" s="980"/>
      <c r="V1143" s="980"/>
      <c r="W1143" s="980"/>
      <c r="X1143" s="981"/>
    </row>
    <row r="1144" spans="1:24" ht="24.75" customHeight="1" x14ac:dyDescent="0.25">
      <c r="A1144" s="1990"/>
      <c r="B1144" s="1992"/>
      <c r="C1144" s="1996"/>
      <c r="D1144" s="953" t="s">
        <v>203</v>
      </c>
      <c r="E1144" s="1307" t="s">
        <v>1297</v>
      </c>
      <c r="F1144" s="1307" t="s">
        <v>550</v>
      </c>
      <c r="G1144" s="1307" t="s">
        <v>1754</v>
      </c>
      <c r="H1144" s="980"/>
      <c r="I1144" s="980"/>
      <c r="J1144" s="980"/>
      <c r="K1144" s="980"/>
      <c r="L1144" s="980"/>
      <c r="M1144" s="980"/>
      <c r="N1144" s="980"/>
      <c r="O1144" s="980"/>
      <c r="P1144" s="981">
        <v>627399</v>
      </c>
      <c r="Q1144" s="1449"/>
      <c r="R1144" s="980"/>
      <c r="S1144" s="980"/>
      <c r="T1144" s="980"/>
      <c r="U1144" s="980"/>
      <c r="V1144" s="980"/>
      <c r="W1144" s="980"/>
      <c r="X1144" s="981"/>
    </row>
    <row r="1145" spans="1:24" ht="23.25" customHeight="1" x14ac:dyDescent="0.25">
      <c r="A1145" s="1989" t="s">
        <v>3176</v>
      </c>
      <c r="B1145" s="1991" t="s">
        <v>267</v>
      </c>
      <c r="C1145" s="1985" t="s">
        <v>3423</v>
      </c>
      <c r="D1145" s="953" t="s">
        <v>201</v>
      </c>
      <c r="E1145" s="1307" t="s">
        <v>73</v>
      </c>
      <c r="F1145" s="1307" t="s">
        <v>1785</v>
      </c>
      <c r="G1145" s="1307" t="s">
        <v>1752</v>
      </c>
      <c r="H1145" s="980"/>
      <c r="I1145" s="980"/>
      <c r="J1145" s="980"/>
      <c r="K1145" s="980"/>
      <c r="L1145" s="980">
        <v>-200000</v>
      </c>
      <c r="M1145" s="980"/>
      <c r="N1145" s="980"/>
      <c r="O1145" s="980"/>
      <c r="P1145" s="981"/>
      <c r="Q1145" s="1449"/>
      <c r="R1145" s="980"/>
      <c r="S1145" s="980"/>
      <c r="T1145" s="980"/>
      <c r="U1145" s="980"/>
      <c r="V1145" s="980"/>
      <c r="W1145" s="980"/>
      <c r="X1145" s="981"/>
    </row>
    <row r="1146" spans="1:24" ht="23.25" customHeight="1" x14ac:dyDescent="0.25">
      <c r="A1146" s="1990"/>
      <c r="B1146" s="1992"/>
      <c r="C1146" s="1986"/>
      <c r="D1146" s="953" t="s">
        <v>203</v>
      </c>
      <c r="E1146" s="1307" t="s">
        <v>1297</v>
      </c>
      <c r="F1146" s="1307" t="s">
        <v>550</v>
      </c>
      <c r="G1146" s="1307" t="s">
        <v>1754</v>
      </c>
      <c r="H1146" s="980"/>
      <c r="I1146" s="980"/>
      <c r="J1146" s="980"/>
      <c r="K1146" s="980"/>
      <c r="L1146" s="980"/>
      <c r="M1146" s="980"/>
      <c r="N1146" s="980"/>
      <c r="O1146" s="980"/>
      <c r="P1146" s="981">
        <v>200000</v>
      </c>
      <c r="Q1146" s="1449"/>
      <c r="R1146" s="980"/>
      <c r="S1146" s="980"/>
      <c r="T1146" s="980"/>
      <c r="U1146" s="980"/>
      <c r="V1146" s="980"/>
      <c r="W1146" s="980"/>
      <c r="X1146" s="981"/>
    </row>
    <row r="1147" spans="1:24" ht="24.75" customHeight="1" x14ac:dyDescent="0.25">
      <c r="A1147" s="1989" t="s">
        <v>3179</v>
      </c>
      <c r="B1147" s="1991" t="s">
        <v>268</v>
      </c>
      <c r="C1147" s="1996" t="s">
        <v>3425</v>
      </c>
      <c r="D1147" s="953" t="s">
        <v>201</v>
      </c>
      <c r="E1147" s="1307" t="s">
        <v>73</v>
      </c>
      <c r="F1147" s="1307" t="s">
        <v>1785</v>
      </c>
      <c r="G1147" s="1307" t="s">
        <v>1752</v>
      </c>
      <c r="H1147" s="980"/>
      <c r="I1147" s="980"/>
      <c r="J1147" s="980"/>
      <c r="K1147" s="980"/>
      <c r="L1147" s="980">
        <v>-2508213</v>
      </c>
      <c r="M1147" s="980"/>
      <c r="N1147" s="980"/>
      <c r="O1147" s="980"/>
      <c r="P1147" s="981"/>
      <c r="Q1147" s="1449"/>
      <c r="R1147" s="980"/>
      <c r="S1147" s="980"/>
      <c r="T1147" s="980"/>
      <c r="U1147" s="980"/>
      <c r="V1147" s="980"/>
      <c r="W1147" s="980"/>
      <c r="X1147" s="981"/>
    </row>
    <row r="1148" spans="1:24" ht="24.75" customHeight="1" x14ac:dyDescent="0.25">
      <c r="A1148" s="1990"/>
      <c r="B1148" s="1992"/>
      <c r="C1148" s="1996"/>
      <c r="D1148" s="953" t="s">
        <v>203</v>
      </c>
      <c r="E1148" s="1307" t="s">
        <v>1297</v>
      </c>
      <c r="F1148" s="1307" t="s">
        <v>550</v>
      </c>
      <c r="G1148" s="1307" t="s">
        <v>1754</v>
      </c>
      <c r="H1148" s="980"/>
      <c r="I1148" s="980"/>
      <c r="J1148" s="980"/>
      <c r="K1148" s="980"/>
      <c r="L1148" s="980"/>
      <c r="M1148" s="980"/>
      <c r="N1148" s="980"/>
      <c r="O1148" s="980"/>
      <c r="P1148" s="981">
        <v>2508213</v>
      </c>
      <c r="Q1148" s="1449"/>
      <c r="R1148" s="980"/>
      <c r="S1148" s="980"/>
      <c r="T1148" s="980"/>
      <c r="U1148" s="980"/>
      <c r="V1148" s="980"/>
      <c r="W1148" s="980"/>
      <c r="X1148" s="981"/>
    </row>
    <row r="1149" spans="1:24" ht="23.25" customHeight="1" x14ac:dyDescent="0.25">
      <c r="A1149" s="1481"/>
      <c r="B1149" s="1483"/>
      <c r="C1149" s="1477" t="s">
        <v>2381</v>
      </c>
      <c r="D1149" s="953" t="s">
        <v>203</v>
      </c>
      <c r="E1149" s="1307" t="s">
        <v>1297</v>
      </c>
      <c r="F1149" s="1307" t="s">
        <v>550</v>
      </c>
      <c r="G1149" s="1307" t="s">
        <v>1766</v>
      </c>
      <c r="H1149" s="980"/>
      <c r="I1149" s="980"/>
      <c r="J1149" s="980"/>
      <c r="K1149" s="980"/>
      <c r="L1149" s="980"/>
      <c r="M1149" s="980"/>
      <c r="N1149" s="980"/>
      <c r="O1149" s="980"/>
      <c r="P1149" s="981">
        <f>-254000+254000</f>
        <v>0</v>
      </c>
      <c r="Q1149" s="1449"/>
      <c r="R1149" s="980"/>
      <c r="S1149" s="980"/>
      <c r="T1149" s="980"/>
      <c r="U1149" s="980"/>
      <c r="V1149" s="980"/>
      <c r="W1149" s="980"/>
      <c r="X1149" s="981"/>
    </row>
    <row r="1150" spans="1:24" ht="24" customHeight="1" x14ac:dyDescent="0.25">
      <c r="A1150" s="1989" t="s">
        <v>3182</v>
      </c>
      <c r="B1150" s="1991" t="s">
        <v>269</v>
      </c>
      <c r="C1150" s="1996" t="s">
        <v>3429</v>
      </c>
      <c r="D1150" s="953" t="s">
        <v>201</v>
      </c>
      <c r="E1150" s="1307" t="s">
        <v>73</v>
      </c>
      <c r="F1150" s="1307" t="s">
        <v>1785</v>
      </c>
      <c r="G1150" s="1307" t="s">
        <v>1752</v>
      </c>
      <c r="H1150" s="980"/>
      <c r="I1150" s="980"/>
      <c r="J1150" s="980"/>
      <c r="K1150" s="980"/>
      <c r="L1150" s="980">
        <v>-698500</v>
      </c>
      <c r="M1150" s="980"/>
      <c r="N1150" s="980"/>
      <c r="O1150" s="980"/>
      <c r="P1150" s="981"/>
      <c r="Q1150" s="1449"/>
      <c r="R1150" s="980"/>
      <c r="S1150" s="980"/>
      <c r="T1150" s="980"/>
      <c r="U1150" s="980"/>
      <c r="V1150" s="980"/>
      <c r="W1150" s="980"/>
      <c r="X1150" s="981"/>
    </row>
    <row r="1151" spans="1:24" ht="24" customHeight="1" x14ac:dyDescent="0.25">
      <c r="A1151" s="1990"/>
      <c r="B1151" s="1992"/>
      <c r="C1151" s="1996"/>
      <c r="D1151" s="953" t="s">
        <v>199</v>
      </c>
      <c r="E1151" s="1307" t="s">
        <v>641</v>
      </c>
      <c r="F1151" s="1307" t="s">
        <v>1322</v>
      </c>
      <c r="G1151" s="1307" t="s">
        <v>1754</v>
      </c>
      <c r="H1151" s="980"/>
      <c r="I1151" s="980"/>
      <c r="J1151" s="980"/>
      <c r="K1151" s="980"/>
      <c r="L1151" s="980"/>
      <c r="M1151" s="980">
        <f>550000+148500</f>
        <v>698500</v>
      </c>
      <c r="N1151" s="980"/>
      <c r="O1151" s="980"/>
      <c r="P1151" s="981"/>
      <c r="Q1151" s="1449"/>
      <c r="R1151" s="980"/>
      <c r="S1151" s="980"/>
      <c r="T1151" s="980"/>
      <c r="U1151" s="980"/>
      <c r="V1151" s="980"/>
      <c r="W1151" s="980"/>
      <c r="X1151" s="981"/>
    </row>
    <row r="1152" spans="1:24" ht="27" customHeight="1" x14ac:dyDescent="0.25">
      <c r="A1152" s="1989" t="s">
        <v>3184</v>
      </c>
      <c r="B1152" s="1991" t="s">
        <v>270</v>
      </c>
      <c r="C1152" s="1985" t="s">
        <v>3430</v>
      </c>
      <c r="D1152" s="953" t="s">
        <v>201</v>
      </c>
      <c r="E1152" s="1307" t="s">
        <v>73</v>
      </c>
      <c r="F1152" s="1307" t="s">
        <v>1785</v>
      </c>
      <c r="G1152" s="1307" t="s">
        <v>1752</v>
      </c>
      <c r="H1152" s="980"/>
      <c r="I1152" s="980"/>
      <c r="J1152" s="980"/>
      <c r="K1152" s="980"/>
      <c r="L1152" s="980">
        <v>-51619369</v>
      </c>
      <c r="M1152" s="980"/>
      <c r="N1152" s="980"/>
      <c r="O1152" s="980"/>
      <c r="P1152" s="981"/>
      <c r="Q1152" s="1449"/>
      <c r="R1152" s="980"/>
      <c r="S1152" s="980"/>
      <c r="T1152" s="980"/>
      <c r="U1152" s="980"/>
      <c r="V1152" s="980"/>
      <c r="W1152" s="980"/>
      <c r="X1152" s="981"/>
    </row>
    <row r="1153" spans="1:24" ht="27" customHeight="1" x14ac:dyDescent="0.25">
      <c r="A1153" s="1995"/>
      <c r="B1153" s="1994"/>
      <c r="C1153" s="1993"/>
      <c r="D1153" s="953" t="s">
        <v>200</v>
      </c>
      <c r="E1153" s="1307" t="s">
        <v>129</v>
      </c>
      <c r="F1153" s="1307" t="s">
        <v>128</v>
      </c>
      <c r="G1153" s="1307" t="s">
        <v>1754</v>
      </c>
      <c r="H1153" s="980"/>
      <c r="I1153" s="980"/>
      <c r="J1153" s="980"/>
      <c r="K1153" s="980"/>
      <c r="L1153" s="980"/>
      <c r="M1153" s="980"/>
      <c r="N1153" s="980">
        <f>6023622+1626378</f>
        <v>7650000</v>
      </c>
      <c r="O1153" s="980"/>
      <c r="P1153" s="981"/>
      <c r="Q1153" s="1449"/>
      <c r="R1153" s="980"/>
      <c r="S1153" s="980"/>
      <c r="T1153" s="980"/>
      <c r="U1153" s="980"/>
      <c r="V1153" s="980"/>
      <c r="W1153" s="980"/>
      <c r="X1153" s="981"/>
    </row>
    <row r="1154" spans="1:24" ht="27" customHeight="1" x14ac:dyDescent="0.25">
      <c r="A1154" s="1990"/>
      <c r="B1154" s="1992"/>
      <c r="C1154" s="1986"/>
      <c r="D1154" s="953" t="s">
        <v>200</v>
      </c>
      <c r="E1154" s="1307" t="s">
        <v>563</v>
      </c>
      <c r="F1154" s="1307" t="s">
        <v>777</v>
      </c>
      <c r="G1154" s="1307" t="s">
        <v>1754</v>
      </c>
      <c r="H1154" s="980"/>
      <c r="I1154" s="980"/>
      <c r="J1154" s="980"/>
      <c r="K1154" s="980"/>
      <c r="L1154" s="980"/>
      <c r="M1154" s="980"/>
      <c r="N1154" s="980">
        <f>34621550+9347819</f>
        <v>43969369</v>
      </c>
      <c r="O1154" s="980"/>
      <c r="P1154" s="981"/>
      <c r="Q1154" s="1449"/>
      <c r="R1154" s="980"/>
      <c r="S1154" s="980"/>
      <c r="T1154" s="980"/>
      <c r="U1154" s="980"/>
      <c r="V1154" s="980"/>
      <c r="W1154" s="980"/>
      <c r="X1154" s="981"/>
    </row>
    <row r="1155" spans="1:24" ht="25.5" customHeight="1" x14ac:dyDescent="0.25">
      <c r="A1155" s="1989" t="s">
        <v>3186</v>
      </c>
      <c r="B1155" s="1991" t="s">
        <v>271</v>
      </c>
      <c r="C1155" s="1985" t="s">
        <v>3437</v>
      </c>
      <c r="D1155" s="953" t="s">
        <v>201</v>
      </c>
      <c r="E1155" s="1307" t="s">
        <v>73</v>
      </c>
      <c r="F1155" s="1307" t="s">
        <v>1785</v>
      </c>
      <c r="G1155" s="1307" t="s">
        <v>1752</v>
      </c>
      <c r="H1155" s="980"/>
      <c r="I1155" s="980"/>
      <c r="J1155" s="980"/>
      <c r="K1155" s="980"/>
      <c r="L1155" s="980">
        <v>-320000</v>
      </c>
      <c r="M1155" s="980"/>
      <c r="N1155" s="980"/>
      <c r="O1155" s="980"/>
      <c r="P1155" s="981"/>
      <c r="Q1155" s="1449"/>
      <c r="R1155" s="980"/>
      <c r="S1155" s="980"/>
      <c r="T1155" s="980"/>
      <c r="U1155" s="980"/>
      <c r="V1155" s="980"/>
      <c r="W1155" s="980"/>
      <c r="X1155" s="981"/>
    </row>
    <row r="1156" spans="1:24" ht="25.5" customHeight="1" x14ac:dyDescent="0.25">
      <c r="A1156" s="1990"/>
      <c r="B1156" s="1992"/>
      <c r="C1156" s="1986"/>
      <c r="D1156" s="953" t="s">
        <v>194</v>
      </c>
      <c r="E1156" s="1307" t="s">
        <v>844</v>
      </c>
      <c r="F1156" s="1307" t="s">
        <v>3014</v>
      </c>
      <c r="G1156" s="1307" t="s">
        <v>1754</v>
      </c>
      <c r="H1156" s="980"/>
      <c r="I1156" s="980"/>
      <c r="J1156" s="980">
        <f>251969+68031</f>
        <v>320000</v>
      </c>
      <c r="K1156" s="980"/>
      <c r="L1156" s="980"/>
      <c r="M1156" s="980"/>
      <c r="N1156" s="980"/>
      <c r="O1156" s="980"/>
      <c r="P1156" s="981"/>
      <c r="Q1156" s="1449"/>
      <c r="R1156" s="980"/>
      <c r="S1156" s="980"/>
      <c r="T1156" s="980"/>
      <c r="U1156" s="980"/>
      <c r="V1156" s="980"/>
      <c r="W1156" s="980"/>
      <c r="X1156" s="981"/>
    </row>
    <row r="1157" spans="1:24" ht="24" customHeight="1" x14ac:dyDescent="0.25">
      <c r="A1157" s="1989" t="s">
        <v>3188</v>
      </c>
      <c r="B1157" s="1991" t="s">
        <v>272</v>
      </c>
      <c r="C1157" s="1996" t="s">
        <v>3438</v>
      </c>
      <c r="D1157" s="953" t="s">
        <v>201</v>
      </c>
      <c r="E1157" s="1307" t="s">
        <v>73</v>
      </c>
      <c r="F1157" s="1307" t="s">
        <v>1785</v>
      </c>
      <c r="G1157" s="1307" t="s">
        <v>1752</v>
      </c>
      <c r="H1157" s="980"/>
      <c r="I1157" s="980"/>
      <c r="J1157" s="980"/>
      <c r="K1157" s="980"/>
      <c r="L1157" s="980">
        <v>-4096092</v>
      </c>
      <c r="M1157" s="980"/>
      <c r="N1157" s="980"/>
      <c r="O1157" s="980"/>
      <c r="P1157" s="981"/>
      <c r="Q1157" s="1449"/>
      <c r="R1157" s="980"/>
      <c r="S1157" s="980"/>
      <c r="T1157" s="980"/>
      <c r="U1157" s="980"/>
      <c r="V1157" s="980"/>
      <c r="W1157" s="980"/>
      <c r="X1157" s="981"/>
    </row>
    <row r="1158" spans="1:24" ht="24" customHeight="1" x14ac:dyDescent="0.25">
      <c r="A1158" s="1990"/>
      <c r="B1158" s="1992"/>
      <c r="C1158" s="1996"/>
      <c r="D1158" s="953" t="s">
        <v>199</v>
      </c>
      <c r="E1158" s="1307" t="s">
        <v>572</v>
      </c>
      <c r="F1158" s="1307" t="s">
        <v>1326</v>
      </c>
      <c r="G1158" s="1307" t="s">
        <v>1754</v>
      </c>
      <c r="H1158" s="980"/>
      <c r="I1158" s="980"/>
      <c r="J1158" s="980"/>
      <c r="K1158" s="980"/>
      <c r="L1158" s="980"/>
      <c r="M1158" s="980">
        <f>3225269+870823</f>
        <v>4096092</v>
      </c>
      <c r="N1158" s="980"/>
      <c r="O1158" s="980"/>
      <c r="P1158" s="981"/>
      <c r="Q1158" s="1449"/>
      <c r="R1158" s="980"/>
      <c r="S1158" s="980"/>
      <c r="T1158" s="980"/>
      <c r="U1158" s="980"/>
      <c r="V1158" s="980"/>
      <c r="W1158" s="980"/>
      <c r="X1158" s="981"/>
    </row>
    <row r="1159" spans="1:24" ht="24" customHeight="1" x14ac:dyDescent="0.25">
      <c r="A1159" s="1989" t="s">
        <v>3192</v>
      </c>
      <c r="B1159" s="1991" t="s">
        <v>273</v>
      </c>
      <c r="C1159" s="1996" t="s">
        <v>3439</v>
      </c>
      <c r="D1159" s="953" t="s">
        <v>201</v>
      </c>
      <c r="E1159" s="1307" t="s">
        <v>73</v>
      </c>
      <c r="F1159" s="1307" t="s">
        <v>1785</v>
      </c>
      <c r="G1159" s="1307" t="s">
        <v>1752</v>
      </c>
      <c r="H1159" s="980"/>
      <c r="I1159" s="980"/>
      <c r="J1159" s="980"/>
      <c r="K1159" s="980"/>
      <c r="L1159" s="980">
        <v>-4983436</v>
      </c>
      <c r="M1159" s="980"/>
      <c r="N1159" s="980"/>
      <c r="O1159" s="980"/>
      <c r="P1159" s="981"/>
      <c r="Q1159" s="1449"/>
      <c r="R1159" s="980"/>
      <c r="S1159" s="980"/>
      <c r="T1159" s="980"/>
      <c r="U1159" s="980"/>
      <c r="V1159" s="980"/>
      <c r="W1159" s="980"/>
      <c r="X1159" s="981"/>
    </row>
    <row r="1160" spans="1:24" ht="24" customHeight="1" x14ac:dyDescent="0.25">
      <c r="A1160" s="1990"/>
      <c r="B1160" s="1992"/>
      <c r="C1160" s="1996"/>
      <c r="D1160" s="953" t="s">
        <v>199</v>
      </c>
      <c r="E1160" s="1307" t="s">
        <v>572</v>
      </c>
      <c r="F1160" s="1307" t="s">
        <v>1326</v>
      </c>
      <c r="G1160" s="1307" t="s">
        <v>1754</v>
      </c>
      <c r="H1160" s="980"/>
      <c r="I1160" s="980"/>
      <c r="J1160" s="980"/>
      <c r="K1160" s="980"/>
      <c r="L1160" s="980"/>
      <c r="M1160" s="980">
        <f>3923965+1059471</f>
        <v>4983436</v>
      </c>
      <c r="N1160" s="980"/>
      <c r="O1160" s="980"/>
      <c r="P1160" s="981"/>
      <c r="Q1160" s="1449"/>
      <c r="R1160" s="980"/>
      <c r="S1160" s="980"/>
      <c r="T1160" s="980"/>
      <c r="U1160" s="980"/>
      <c r="V1160" s="980"/>
      <c r="W1160" s="980"/>
      <c r="X1160" s="981"/>
    </row>
    <row r="1161" spans="1:24" ht="30.75" customHeight="1" x14ac:dyDescent="0.25">
      <c r="A1161" s="1989" t="s">
        <v>3195</v>
      </c>
      <c r="B1161" s="1991" t="s">
        <v>274</v>
      </c>
      <c r="C1161" s="1985" t="s">
        <v>3441</v>
      </c>
      <c r="D1161" s="953" t="s">
        <v>199</v>
      </c>
      <c r="E1161" s="1307" t="s">
        <v>601</v>
      </c>
      <c r="F1161" s="1307" t="s">
        <v>1391</v>
      </c>
      <c r="G1161" s="1307" t="s">
        <v>1752</v>
      </c>
      <c r="H1161" s="980"/>
      <c r="I1161" s="980"/>
      <c r="J1161" s="980"/>
      <c r="K1161" s="980"/>
      <c r="L1161" s="980"/>
      <c r="M1161" s="980">
        <f>-11105000-2998350</f>
        <v>-14103350</v>
      </c>
      <c r="N1161" s="980"/>
      <c r="O1161" s="980"/>
      <c r="P1161" s="981"/>
      <c r="Q1161" s="1449"/>
      <c r="R1161" s="980"/>
      <c r="S1161" s="980"/>
      <c r="T1161" s="980"/>
      <c r="U1161" s="980"/>
      <c r="V1161" s="980"/>
      <c r="W1161" s="980"/>
      <c r="X1161" s="981"/>
    </row>
    <row r="1162" spans="1:24" ht="30.75" customHeight="1" x14ac:dyDescent="0.25">
      <c r="A1162" s="1990"/>
      <c r="B1162" s="1992"/>
      <c r="C1162" s="1986"/>
      <c r="D1162" s="953" t="s">
        <v>201</v>
      </c>
      <c r="E1162" s="1307" t="s">
        <v>73</v>
      </c>
      <c r="F1162" s="1307" t="s">
        <v>1785</v>
      </c>
      <c r="G1162" s="1307" t="s">
        <v>1754</v>
      </c>
      <c r="H1162" s="980"/>
      <c r="I1162" s="980"/>
      <c r="J1162" s="980"/>
      <c r="K1162" s="980"/>
      <c r="L1162" s="980">
        <v>14103350</v>
      </c>
      <c r="M1162" s="980"/>
      <c r="N1162" s="980"/>
      <c r="O1162" s="980"/>
      <c r="P1162" s="981"/>
      <c r="Q1162" s="1449"/>
      <c r="R1162" s="980"/>
      <c r="S1162" s="980"/>
      <c r="T1162" s="980"/>
      <c r="U1162" s="980"/>
      <c r="V1162" s="980"/>
      <c r="W1162" s="980"/>
      <c r="X1162" s="981"/>
    </row>
    <row r="1163" spans="1:24" ht="22.5" customHeight="1" x14ac:dyDescent="0.25">
      <c r="A1163" s="1989" t="s">
        <v>3197</v>
      </c>
      <c r="B1163" s="1991" t="s">
        <v>275</v>
      </c>
      <c r="C1163" s="1996" t="s">
        <v>3443</v>
      </c>
      <c r="D1163" s="953" t="s">
        <v>201</v>
      </c>
      <c r="E1163" s="1307" t="s">
        <v>73</v>
      </c>
      <c r="F1163" s="1307" t="s">
        <v>1785</v>
      </c>
      <c r="G1163" s="1307" t="s">
        <v>1752</v>
      </c>
      <c r="H1163" s="980"/>
      <c r="I1163" s="980"/>
      <c r="J1163" s="980"/>
      <c r="K1163" s="980"/>
      <c r="L1163" s="980">
        <v>-297612</v>
      </c>
      <c r="M1163" s="980"/>
      <c r="N1163" s="980"/>
      <c r="O1163" s="980"/>
      <c r="P1163" s="981"/>
      <c r="Q1163" s="1449"/>
      <c r="R1163" s="980"/>
      <c r="S1163" s="980"/>
      <c r="T1163" s="980"/>
      <c r="U1163" s="980"/>
      <c r="V1163" s="980"/>
      <c r="W1163" s="980"/>
      <c r="X1163" s="981"/>
    </row>
    <row r="1164" spans="1:24" ht="22.5" customHeight="1" x14ac:dyDescent="0.25">
      <c r="A1164" s="1990"/>
      <c r="B1164" s="1992"/>
      <c r="C1164" s="1996"/>
      <c r="D1164" s="953" t="s">
        <v>199</v>
      </c>
      <c r="E1164" s="1307" t="s">
        <v>561</v>
      </c>
      <c r="F1164" s="1307" t="s">
        <v>867</v>
      </c>
      <c r="G1164" s="1307" t="s">
        <v>1754</v>
      </c>
      <c r="H1164" s="980"/>
      <c r="I1164" s="980"/>
      <c r="J1164" s="980"/>
      <c r="K1164" s="980"/>
      <c r="L1164" s="980"/>
      <c r="M1164" s="980">
        <f>234340+63272</f>
        <v>297612</v>
      </c>
      <c r="N1164" s="980"/>
      <c r="O1164" s="980"/>
      <c r="P1164" s="981"/>
      <c r="Q1164" s="1449"/>
      <c r="R1164" s="980"/>
      <c r="S1164" s="980"/>
      <c r="T1164" s="980"/>
      <c r="U1164" s="980"/>
      <c r="V1164" s="980"/>
      <c r="W1164" s="980"/>
      <c r="X1164" s="981"/>
    </row>
    <row r="1165" spans="1:24" ht="30.75" customHeight="1" x14ac:dyDescent="0.25">
      <c r="A1165" s="1989" t="s">
        <v>3201</v>
      </c>
      <c r="B1165" s="1991" t="s">
        <v>276</v>
      </c>
      <c r="C1165" s="1996" t="s">
        <v>3444</v>
      </c>
      <c r="D1165" s="953" t="s">
        <v>201</v>
      </c>
      <c r="E1165" s="1307" t="s">
        <v>73</v>
      </c>
      <c r="F1165" s="1307" t="s">
        <v>1785</v>
      </c>
      <c r="G1165" s="1307" t="s">
        <v>1752</v>
      </c>
      <c r="H1165" s="980"/>
      <c r="I1165" s="980"/>
      <c r="J1165" s="980"/>
      <c r="K1165" s="980"/>
      <c r="L1165" s="980">
        <v>-1920000</v>
      </c>
      <c r="M1165" s="980"/>
      <c r="N1165" s="980"/>
      <c r="O1165" s="980"/>
      <c r="P1165" s="981"/>
      <c r="Q1165" s="1449"/>
      <c r="R1165" s="980"/>
      <c r="S1165" s="980"/>
      <c r="T1165" s="980"/>
      <c r="U1165" s="980"/>
      <c r="V1165" s="980"/>
      <c r="W1165" s="980"/>
      <c r="X1165" s="981"/>
    </row>
    <row r="1166" spans="1:24" ht="30.75" customHeight="1" x14ac:dyDescent="0.25">
      <c r="A1166" s="1990"/>
      <c r="B1166" s="1992"/>
      <c r="C1166" s="1996"/>
      <c r="D1166" s="953" t="s">
        <v>203</v>
      </c>
      <c r="E1166" s="1307" t="s">
        <v>1297</v>
      </c>
      <c r="F1166" s="1307" t="s">
        <v>550</v>
      </c>
      <c r="G1166" s="1307" t="s">
        <v>1754</v>
      </c>
      <c r="H1166" s="980"/>
      <c r="I1166" s="980"/>
      <c r="J1166" s="980"/>
      <c r="K1166" s="980"/>
      <c r="L1166" s="980"/>
      <c r="M1166" s="980"/>
      <c r="N1166" s="980"/>
      <c r="O1166" s="980"/>
      <c r="P1166" s="981">
        <v>1920000</v>
      </c>
      <c r="Q1166" s="1449"/>
      <c r="R1166" s="980"/>
      <c r="S1166" s="980"/>
      <c r="T1166" s="980"/>
      <c r="U1166" s="980"/>
      <c r="V1166" s="980"/>
      <c r="W1166" s="980"/>
      <c r="X1166" s="981"/>
    </row>
    <row r="1167" spans="1:24" ht="19.5" customHeight="1" x14ac:dyDescent="0.25">
      <c r="A1167" s="1989" t="s">
        <v>3203</v>
      </c>
      <c r="B1167" s="1991" t="s">
        <v>277</v>
      </c>
      <c r="C1167" s="1985" t="s">
        <v>2700</v>
      </c>
      <c r="D1167" s="953" t="s">
        <v>194</v>
      </c>
      <c r="E1167" s="1307" t="s">
        <v>641</v>
      </c>
      <c r="F1167" s="1307" t="s">
        <v>66</v>
      </c>
      <c r="G1167" s="1307" t="s">
        <v>1754</v>
      </c>
      <c r="H1167" s="980"/>
      <c r="I1167" s="980"/>
      <c r="J1167" s="980"/>
      <c r="K1167" s="980"/>
      <c r="L1167" s="980"/>
      <c r="M1167" s="980"/>
      <c r="N1167" s="980"/>
      <c r="O1167" s="980"/>
      <c r="P1167" s="981"/>
      <c r="Q1167" s="1449"/>
      <c r="R1167" s="980"/>
      <c r="S1167" s="980"/>
      <c r="T1167" s="980">
        <f>78740+21260</f>
        <v>100000</v>
      </c>
      <c r="U1167" s="980"/>
      <c r="V1167" s="980"/>
      <c r="W1167" s="980"/>
      <c r="X1167" s="981"/>
    </row>
    <row r="1168" spans="1:24" ht="19.5" customHeight="1" x14ac:dyDescent="0.25">
      <c r="A1168" s="1990"/>
      <c r="B1168" s="1992"/>
      <c r="C1168" s="1986"/>
      <c r="D1168" s="953" t="s">
        <v>201</v>
      </c>
      <c r="E1168" s="1307" t="s">
        <v>73</v>
      </c>
      <c r="F1168" s="1307" t="s">
        <v>1785</v>
      </c>
      <c r="G1168" s="1307" t="s">
        <v>1754</v>
      </c>
      <c r="H1168" s="980"/>
      <c r="I1168" s="980"/>
      <c r="J1168" s="980"/>
      <c r="K1168" s="980"/>
      <c r="L1168" s="980">
        <v>100000</v>
      </c>
      <c r="M1168" s="980"/>
      <c r="N1168" s="980"/>
      <c r="O1168" s="980"/>
      <c r="P1168" s="981"/>
      <c r="Q1168" s="1449"/>
      <c r="R1168" s="980"/>
      <c r="S1168" s="980"/>
      <c r="T1168" s="980"/>
      <c r="U1168" s="980"/>
      <c r="V1168" s="980"/>
      <c r="W1168" s="980"/>
      <c r="X1168" s="981"/>
    </row>
    <row r="1169" spans="1:24" ht="32.25" customHeight="1" x14ac:dyDescent="0.25">
      <c r="A1169" s="1481" t="s">
        <v>3205</v>
      </c>
      <c r="B1169" s="1483" t="s">
        <v>278</v>
      </c>
      <c r="C1169" s="1477" t="s">
        <v>3446</v>
      </c>
      <c r="D1169" s="953" t="s">
        <v>194</v>
      </c>
      <c r="E1169" s="1307" t="s">
        <v>73</v>
      </c>
      <c r="F1169" s="1307" t="s">
        <v>453</v>
      </c>
      <c r="G1169" s="1307" t="s">
        <v>1766</v>
      </c>
      <c r="H1169" s="980">
        <f>-1500000+1500000</f>
        <v>0</v>
      </c>
      <c r="I1169" s="980"/>
      <c r="J1169" s="980"/>
      <c r="K1169" s="980"/>
      <c r="L1169" s="980"/>
      <c r="M1169" s="980"/>
      <c r="N1169" s="980"/>
      <c r="O1169" s="980"/>
      <c r="P1169" s="981"/>
      <c r="Q1169" s="1449"/>
      <c r="R1169" s="980"/>
      <c r="S1169" s="980"/>
      <c r="T1169" s="980"/>
      <c r="U1169" s="980"/>
      <c r="V1169" s="980"/>
      <c r="W1169" s="980"/>
      <c r="X1169" s="981"/>
    </row>
    <row r="1170" spans="1:24" ht="32.25" customHeight="1" x14ac:dyDescent="0.25">
      <c r="A1170" s="1481" t="s">
        <v>3206</v>
      </c>
      <c r="B1170" s="1483" t="s">
        <v>282</v>
      </c>
      <c r="C1170" s="1477" t="s">
        <v>3447</v>
      </c>
      <c r="D1170" s="953" t="s">
        <v>194</v>
      </c>
      <c r="E1170" s="1307" t="s">
        <v>3449</v>
      </c>
      <c r="F1170" s="1307" t="s">
        <v>3448</v>
      </c>
      <c r="G1170" s="1307" t="s">
        <v>1766</v>
      </c>
      <c r="H1170" s="980"/>
      <c r="I1170" s="980"/>
      <c r="J1170" s="980">
        <f>-10000+10000</f>
        <v>0</v>
      </c>
      <c r="K1170" s="980"/>
      <c r="L1170" s="980"/>
      <c r="M1170" s="980"/>
      <c r="N1170" s="980"/>
      <c r="O1170" s="980"/>
      <c r="P1170" s="981"/>
      <c r="Q1170" s="1449"/>
      <c r="R1170" s="980"/>
      <c r="S1170" s="980"/>
      <c r="T1170" s="980"/>
      <c r="U1170" s="980"/>
      <c r="V1170" s="980"/>
      <c r="W1170" s="980"/>
      <c r="X1170" s="981"/>
    </row>
    <row r="1171" spans="1:24" ht="30.75" customHeight="1" x14ac:dyDescent="0.25">
      <c r="A1171" s="1481"/>
      <c r="B1171" s="1483"/>
      <c r="C1171" s="1477" t="s">
        <v>1862</v>
      </c>
      <c r="D1171" s="953" t="s">
        <v>203</v>
      </c>
      <c r="E1171" s="1307" t="s">
        <v>1297</v>
      </c>
      <c r="F1171" s="1307" t="s">
        <v>550</v>
      </c>
      <c r="G1171" s="1307" t="s">
        <v>1766</v>
      </c>
      <c r="H1171" s="980"/>
      <c r="I1171" s="980"/>
      <c r="J1171" s="980"/>
      <c r="K1171" s="980"/>
      <c r="L1171" s="980"/>
      <c r="M1171" s="980"/>
      <c r="N1171" s="980"/>
      <c r="O1171" s="980"/>
      <c r="P1171" s="981">
        <f>-97088+97088</f>
        <v>0</v>
      </c>
      <c r="Q1171" s="1449"/>
      <c r="R1171" s="980"/>
      <c r="S1171" s="980"/>
      <c r="T1171" s="980"/>
      <c r="U1171" s="980"/>
      <c r="V1171" s="980"/>
      <c r="W1171" s="980"/>
      <c r="X1171" s="981"/>
    </row>
    <row r="1172" spans="1:24" ht="23.25" customHeight="1" x14ac:dyDescent="0.25">
      <c r="A1172" s="1989" t="s">
        <v>3209</v>
      </c>
      <c r="B1172" s="1991" t="s">
        <v>283</v>
      </c>
      <c r="C1172" s="1985" t="s">
        <v>3458</v>
      </c>
      <c r="D1172" s="953" t="s">
        <v>201</v>
      </c>
      <c r="E1172" s="1307" t="s">
        <v>73</v>
      </c>
      <c r="F1172" s="1307" t="s">
        <v>1785</v>
      </c>
      <c r="G1172" s="1307" t="s">
        <v>1752</v>
      </c>
      <c r="H1172" s="980"/>
      <c r="I1172" s="980"/>
      <c r="J1172" s="980"/>
      <c r="K1172" s="980"/>
      <c r="L1172" s="980">
        <v>-1270000</v>
      </c>
      <c r="M1172" s="980"/>
      <c r="N1172" s="980"/>
      <c r="O1172" s="980"/>
      <c r="P1172" s="981"/>
      <c r="Q1172" s="1449"/>
      <c r="R1172" s="980"/>
      <c r="S1172" s="980"/>
      <c r="T1172" s="980"/>
      <c r="U1172" s="980"/>
      <c r="V1172" s="980"/>
      <c r="W1172" s="980"/>
      <c r="X1172" s="981"/>
    </row>
    <row r="1173" spans="1:24" ht="23.25" customHeight="1" x14ac:dyDescent="0.25">
      <c r="A1173" s="1990"/>
      <c r="B1173" s="1992"/>
      <c r="C1173" s="1986"/>
      <c r="D1173" s="953" t="s">
        <v>203</v>
      </c>
      <c r="E1173" s="1307" t="s">
        <v>1297</v>
      </c>
      <c r="F1173" s="1307" t="s">
        <v>550</v>
      </c>
      <c r="G1173" s="1307" t="s">
        <v>1754</v>
      </c>
      <c r="H1173" s="980"/>
      <c r="I1173" s="980"/>
      <c r="J1173" s="980"/>
      <c r="K1173" s="980"/>
      <c r="L1173" s="980"/>
      <c r="M1173" s="980"/>
      <c r="N1173" s="980"/>
      <c r="O1173" s="980"/>
      <c r="P1173" s="981">
        <v>1270000</v>
      </c>
      <c r="Q1173" s="1449"/>
      <c r="R1173" s="980"/>
      <c r="S1173" s="980"/>
      <c r="T1173" s="980"/>
      <c r="U1173" s="980"/>
      <c r="V1173" s="980"/>
      <c r="W1173" s="980"/>
      <c r="X1173" s="981"/>
    </row>
    <row r="1174" spans="1:24" ht="24.75" customHeight="1" x14ac:dyDescent="0.25">
      <c r="A1174" s="1989" t="s">
        <v>3210</v>
      </c>
      <c r="B1174" s="1991" t="s">
        <v>284</v>
      </c>
      <c r="C1174" s="1985" t="s">
        <v>3459</v>
      </c>
      <c r="D1174" s="953" t="s">
        <v>194</v>
      </c>
      <c r="E1174" s="1307" t="s">
        <v>130</v>
      </c>
      <c r="F1174" s="1307" t="s">
        <v>153</v>
      </c>
      <c r="G1174" s="1307" t="s">
        <v>3460</v>
      </c>
      <c r="H1174" s="980"/>
      <c r="I1174" s="980"/>
      <c r="J1174" s="980"/>
      <c r="K1174" s="980"/>
      <c r="L1174" s="980"/>
      <c r="M1174" s="980"/>
      <c r="N1174" s="980"/>
      <c r="O1174" s="980"/>
      <c r="P1174" s="981"/>
      <c r="Q1174" s="1449"/>
      <c r="R1174" s="980"/>
      <c r="S1174" s="980"/>
      <c r="T1174" s="980">
        <v>1585600</v>
      </c>
      <c r="U1174" s="980"/>
      <c r="V1174" s="980"/>
      <c r="W1174" s="980"/>
      <c r="X1174" s="981"/>
    </row>
    <row r="1175" spans="1:24" ht="24.75" customHeight="1" x14ac:dyDescent="0.25">
      <c r="A1175" s="1990"/>
      <c r="B1175" s="1992"/>
      <c r="C1175" s="1986"/>
      <c r="D1175" s="953" t="s">
        <v>201</v>
      </c>
      <c r="E1175" s="1307" t="s">
        <v>73</v>
      </c>
      <c r="F1175" s="1307" t="s">
        <v>1785</v>
      </c>
      <c r="G1175" s="1307" t="s">
        <v>1754</v>
      </c>
      <c r="H1175" s="980"/>
      <c r="I1175" s="980"/>
      <c r="J1175" s="980"/>
      <c r="K1175" s="980"/>
      <c r="L1175" s="980">
        <v>1585600</v>
      </c>
      <c r="M1175" s="980"/>
      <c r="N1175" s="980"/>
      <c r="O1175" s="980"/>
      <c r="P1175" s="981"/>
      <c r="Q1175" s="1449"/>
      <c r="R1175" s="980"/>
      <c r="S1175" s="980"/>
      <c r="T1175" s="980"/>
      <c r="U1175" s="980"/>
      <c r="V1175" s="980"/>
      <c r="W1175" s="980"/>
      <c r="X1175" s="981"/>
    </row>
    <row r="1176" spans="1:24" ht="21" customHeight="1" x14ac:dyDescent="0.25">
      <c r="A1176" s="1989" t="s">
        <v>3214</v>
      </c>
      <c r="B1176" s="1991" t="s">
        <v>285</v>
      </c>
      <c r="C1176" s="1985" t="s">
        <v>3461</v>
      </c>
      <c r="D1176" s="953" t="s">
        <v>194</v>
      </c>
      <c r="E1176" s="1307" t="s">
        <v>73</v>
      </c>
      <c r="F1176" s="1307" t="s">
        <v>153</v>
      </c>
      <c r="G1176" s="1307" t="s">
        <v>1754</v>
      </c>
      <c r="H1176" s="980"/>
      <c r="I1176" s="980"/>
      <c r="J1176" s="980"/>
      <c r="K1176" s="980"/>
      <c r="L1176" s="980"/>
      <c r="M1176" s="980"/>
      <c r="N1176" s="980"/>
      <c r="O1176" s="980"/>
      <c r="P1176" s="981"/>
      <c r="Q1176" s="1449"/>
      <c r="R1176" s="980"/>
      <c r="S1176" s="980">
        <v>28146</v>
      </c>
      <c r="T1176" s="980"/>
      <c r="U1176" s="980"/>
      <c r="V1176" s="980"/>
      <c r="W1176" s="980"/>
      <c r="X1176" s="981"/>
    </row>
    <row r="1177" spans="1:24" ht="21" customHeight="1" x14ac:dyDescent="0.25">
      <c r="A1177" s="1990"/>
      <c r="B1177" s="1992"/>
      <c r="C1177" s="1986"/>
      <c r="D1177" s="953" t="s">
        <v>201</v>
      </c>
      <c r="E1177" s="1307" t="s">
        <v>73</v>
      </c>
      <c r="F1177" s="1307" t="s">
        <v>1785</v>
      </c>
      <c r="G1177" s="1307" t="s">
        <v>1754</v>
      </c>
      <c r="H1177" s="980"/>
      <c r="I1177" s="980"/>
      <c r="J1177" s="980"/>
      <c r="K1177" s="980"/>
      <c r="L1177" s="980">
        <v>28146</v>
      </c>
      <c r="M1177" s="980"/>
      <c r="N1177" s="980"/>
      <c r="O1177" s="980"/>
      <c r="P1177" s="981"/>
      <c r="Q1177" s="1449"/>
      <c r="R1177" s="980"/>
      <c r="S1177" s="980"/>
      <c r="T1177" s="980"/>
      <c r="U1177" s="980"/>
      <c r="V1177" s="980"/>
      <c r="W1177" s="980"/>
      <c r="X1177" s="981"/>
    </row>
    <row r="1178" spans="1:24" ht="19.5" customHeight="1" x14ac:dyDescent="0.25">
      <c r="A1178" s="1989" t="s">
        <v>3216</v>
      </c>
      <c r="B1178" s="1991" t="s">
        <v>286</v>
      </c>
      <c r="C1178" s="1985" t="s">
        <v>3463</v>
      </c>
      <c r="D1178" s="953" t="s">
        <v>194</v>
      </c>
      <c r="E1178" s="1307" t="s">
        <v>1753</v>
      </c>
      <c r="F1178" s="1307" t="s">
        <v>1784</v>
      </c>
      <c r="G1178" s="1307" t="s">
        <v>1754</v>
      </c>
      <c r="H1178" s="980"/>
      <c r="I1178" s="980"/>
      <c r="J1178" s="980"/>
      <c r="K1178" s="980"/>
      <c r="L1178" s="980"/>
      <c r="M1178" s="980"/>
      <c r="N1178" s="980"/>
      <c r="O1178" s="980"/>
      <c r="P1178" s="981"/>
      <c r="Q1178" s="1449"/>
      <c r="R1178" s="980"/>
      <c r="S1178" s="980"/>
      <c r="T1178" s="980"/>
      <c r="U1178" s="980"/>
      <c r="V1178" s="980"/>
      <c r="W1178" s="980"/>
      <c r="X1178" s="981">
        <v>72036518</v>
      </c>
    </row>
    <row r="1179" spans="1:24" ht="19.5" customHeight="1" x14ac:dyDescent="0.25">
      <c r="A1179" s="1990"/>
      <c r="B1179" s="1992"/>
      <c r="C1179" s="1986"/>
      <c r="D1179" s="953" t="s">
        <v>201</v>
      </c>
      <c r="E1179" s="1307" t="s">
        <v>73</v>
      </c>
      <c r="F1179" s="1307" t="s">
        <v>1785</v>
      </c>
      <c r="G1179" s="1307" t="s">
        <v>1754</v>
      </c>
      <c r="H1179" s="980"/>
      <c r="I1179" s="980"/>
      <c r="J1179" s="980"/>
      <c r="K1179" s="980"/>
      <c r="L1179" s="980">
        <v>72036518</v>
      </c>
      <c r="M1179" s="980"/>
      <c r="N1179" s="980"/>
      <c r="O1179" s="980"/>
      <c r="P1179" s="981"/>
      <c r="Q1179" s="1449"/>
      <c r="R1179" s="980"/>
      <c r="S1179" s="980"/>
      <c r="T1179" s="980"/>
      <c r="U1179" s="980"/>
      <c r="V1179" s="980"/>
      <c r="W1179" s="980"/>
      <c r="X1179" s="981"/>
    </row>
    <row r="1180" spans="1:24" ht="25.5" customHeight="1" x14ac:dyDescent="0.25">
      <c r="A1180" s="1481" t="s">
        <v>3218</v>
      </c>
      <c r="B1180" s="1483" t="s">
        <v>287</v>
      </c>
      <c r="C1180" s="1477" t="s">
        <v>3053</v>
      </c>
      <c r="D1180" s="953" t="s">
        <v>194</v>
      </c>
      <c r="E1180" s="1307" t="s">
        <v>609</v>
      </c>
      <c r="F1180" s="1307" t="s">
        <v>455</v>
      </c>
      <c r="G1180" s="1307" t="s">
        <v>1754</v>
      </c>
      <c r="H1180" s="980"/>
      <c r="I1180" s="980"/>
      <c r="J1180" s="980">
        <f>47850+400000</f>
        <v>447850</v>
      </c>
      <c r="K1180" s="980"/>
      <c r="L1180" s="980"/>
      <c r="M1180" s="980"/>
      <c r="N1180" s="980"/>
      <c r="O1180" s="980"/>
      <c r="P1180" s="981"/>
      <c r="Q1180" s="1449"/>
      <c r="R1180" s="980"/>
      <c r="S1180" s="980"/>
      <c r="T1180" s="980">
        <f>2043635-1595785</f>
        <v>447850</v>
      </c>
      <c r="U1180" s="980"/>
      <c r="V1180" s="980"/>
      <c r="W1180" s="980"/>
      <c r="X1180" s="981"/>
    </row>
    <row r="1181" spans="1:24" ht="30" customHeight="1" x14ac:dyDescent="0.25">
      <c r="A1181" s="1481" t="s">
        <v>3220</v>
      </c>
      <c r="B1181" s="1483" t="s">
        <v>288</v>
      </c>
      <c r="C1181" s="1477" t="s">
        <v>3465</v>
      </c>
      <c r="D1181" s="953" t="s">
        <v>194</v>
      </c>
      <c r="E1181" s="1307" t="s">
        <v>641</v>
      </c>
      <c r="F1181" s="1307" t="s">
        <v>1755</v>
      </c>
      <c r="G1181" s="1307" t="s">
        <v>1754</v>
      </c>
      <c r="H1181" s="980"/>
      <c r="I1181" s="980"/>
      <c r="J1181" s="980">
        <f>1055005+8803</f>
        <v>1063808</v>
      </c>
      <c r="K1181" s="980"/>
      <c r="L1181" s="980"/>
      <c r="M1181" s="980"/>
      <c r="N1181" s="980"/>
      <c r="O1181" s="980"/>
      <c r="P1181" s="981"/>
      <c r="Q1181" s="1449"/>
      <c r="R1181" s="980"/>
      <c r="S1181" s="980"/>
      <c r="T1181" s="980">
        <f>1022413+8803+32592</f>
        <v>1063808</v>
      </c>
      <c r="U1181" s="980"/>
      <c r="V1181" s="980"/>
      <c r="W1181" s="980"/>
      <c r="X1181" s="981"/>
    </row>
    <row r="1182" spans="1:24" ht="34.5" customHeight="1" x14ac:dyDescent="0.25">
      <c r="A1182" s="1481" t="s">
        <v>3223</v>
      </c>
      <c r="B1182" s="1483" t="s">
        <v>289</v>
      </c>
      <c r="C1182" s="1477" t="s">
        <v>3466</v>
      </c>
      <c r="D1182" s="953" t="s">
        <v>194</v>
      </c>
      <c r="E1182" s="1307" t="s">
        <v>1757</v>
      </c>
      <c r="F1182" s="1307" t="s">
        <v>1756</v>
      </c>
      <c r="G1182" s="1307" t="s">
        <v>1754</v>
      </c>
      <c r="H1182" s="980"/>
      <c r="I1182" s="980"/>
      <c r="J1182" s="980">
        <v>15200</v>
      </c>
      <c r="K1182" s="980"/>
      <c r="L1182" s="980"/>
      <c r="M1182" s="980"/>
      <c r="N1182" s="980"/>
      <c r="O1182" s="980"/>
      <c r="P1182" s="981"/>
      <c r="Q1182" s="1449"/>
      <c r="R1182" s="980"/>
      <c r="S1182" s="980"/>
      <c r="T1182" s="980">
        <v>15200</v>
      </c>
      <c r="U1182" s="980"/>
      <c r="V1182" s="980"/>
      <c r="W1182" s="980"/>
      <c r="X1182" s="981"/>
    </row>
    <row r="1183" spans="1:24" ht="34.5" customHeight="1" x14ac:dyDescent="0.25">
      <c r="A1183" s="1481" t="s">
        <v>3226</v>
      </c>
      <c r="B1183" s="1483" t="s">
        <v>290</v>
      </c>
      <c r="C1183" s="1477" t="s">
        <v>3204</v>
      </c>
      <c r="D1183" s="953" t="s">
        <v>194</v>
      </c>
      <c r="E1183" s="1307" t="s">
        <v>1758</v>
      </c>
      <c r="F1183" s="1307" t="s">
        <v>1449</v>
      </c>
      <c r="G1183" s="1307" t="s">
        <v>1754</v>
      </c>
      <c r="H1183" s="980"/>
      <c r="I1183" s="980"/>
      <c r="J1183" s="980">
        <f>43739+11871</f>
        <v>55610</v>
      </c>
      <c r="K1183" s="980"/>
      <c r="L1183" s="980"/>
      <c r="M1183" s="980"/>
      <c r="N1183" s="980"/>
      <c r="O1183" s="980"/>
      <c r="P1183" s="981"/>
      <c r="Q1183" s="1449"/>
      <c r="R1183" s="980"/>
      <c r="S1183" s="980"/>
      <c r="T1183" s="980">
        <f>43739+11871</f>
        <v>55610</v>
      </c>
      <c r="U1183" s="980"/>
      <c r="V1183" s="980"/>
      <c r="W1183" s="980"/>
      <c r="X1183" s="981"/>
    </row>
    <row r="1184" spans="1:24" ht="34.5" customHeight="1" x14ac:dyDescent="0.25">
      <c r="A1184" s="1481" t="s">
        <v>3229</v>
      </c>
      <c r="B1184" s="1479" t="s">
        <v>3199</v>
      </c>
      <c r="C1184" s="1477" t="s">
        <v>2449</v>
      </c>
      <c r="D1184" s="953" t="s">
        <v>194</v>
      </c>
      <c r="E1184" s="1307" t="s">
        <v>62</v>
      </c>
      <c r="F1184" s="1307" t="s">
        <v>541</v>
      </c>
      <c r="G1184" s="1307" t="s">
        <v>1754</v>
      </c>
      <c r="H1184" s="980"/>
      <c r="I1184" s="980"/>
      <c r="J1184" s="980">
        <v>4988000</v>
      </c>
      <c r="K1184" s="980"/>
      <c r="L1184" s="980"/>
      <c r="M1184" s="980"/>
      <c r="N1184" s="980"/>
      <c r="O1184" s="980"/>
      <c r="P1184" s="981"/>
      <c r="Q1184" s="1449"/>
      <c r="R1184" s="980"/>
      <c r="S1184" s="980"/>
      <c r="T1184" s="980">
        <v>4988000</v>
      </c>
      <c r="U1184" s="980"/>
      <c r="V1184" s="980"/>
      <c r="W1184" s="980"/>
      <c r="X1184" s="981"/>
    </row>
    <row r="1185" spans="1:24" ht="51" customHeight="1" x14ac:dyDescent="0.25">
      <c r="A1185" s="1481" t="s">
        <v>3232</v>
      </c>
      <c r="B1185" s="1483" t="s">
        <v>293</v>
      </c>
      <c r="C1185" s="1477" t="s">
        <v>3467</v>
      </c>
      <c r="D1185" s="953" t="s">
        <v>194</v>
      </c>
      <c r="E1185" s="1307" t="s">
        <v>1295</v>
      </c>
      <c r="F1185" s="1307" t="s">
        <v>3468</v>
      </c>
      <c r="G1185" s="1307" t="s">
        <v>1754</v>
      </c>
      <c r="H1185" s="980"/>
      <c r="I1185" s="980"/>
      <c r="J1185" s="980">
        <v>4</v>
      </c>
      <c r="K1185" s="980"/>
      <c r="L1185" s="980"/>
      <c r="M1185" s="980"/>
      <c r="N1185" s="980"/>
      <c r="O1185" s="980"/>
      <c r="P1185" s="981"/>
      <c r="Q1185" s="1449">
        <v>4</v>
      </c>
      <c r="R1185" s="980"/>
      <c r="S1185" s="980"/>
      <c r="T1185" s="980"/>
      <c r="U1185" s="980"/>
      <c r="V1185" s="980"/>
      <c r="W1185" s="980"/>
      <c r="X1185" s="981"/>
    </row>
    <row r="1186" spans="1:24" ht="31.5" customHeight="1" x14ac:dyDescent="0.25">
      <c r="A1186" s="1481" t="s">
        <v>3235</v>
      </c>
      <c r="B1186" s="1483" t="s">
        <v>294</v>
      </c>
      <c r="C1186" s="1477" t="s">
        <v>3469</v>
      </c>
      <c r="D1186" s="953" t="s">
        <v>194</v>
      </c>
      <c r="E1186" s="1307" t="s">
        <v>73</v>
      </c>
      <c r="F1186" s="1307" t="s">
        <v>453</v>
      </c>
      <c r="G1186" s="1307" t="s">
        <v>1766</v>
      </c>
      <c r="H1186" s="980"/>
      <c r="I1186" s="980"/>
      <c r="J1186" s="980">
        <f>-120000+100000+20000</f>
        <v>0</v>
      </c>
      <c r="K1186" s="980"/>
      <c r="L1186" s="980"/>
      <c r="M1186" s="980"/>
      <c r="N1186" s="980"/>
      <c r="O1186" s="980"/>
      <c r="P1186" s="981"/>
      <c r="Q1186" s="1449"/>
      <c r="R1186" s="980"/>
      <c r="S1186" s="980"/>
      <c r="T1186" s="980"/>
      <c r="U1186" s="980"/>
      <c r="V1186" s="980"/>
      <c r="W1186" s="980"/>
      <c r="X1186" s="981"/>
    </row>
    <row r="1187" spans="1:24" ht="20.25" customHeight="1" x14ac:dyDescent="0.25">
      <c r="A1187" s="1989" t="s">
        <v>3238</v>
      </c>
      <c r="B1187" s="1991" t="s">
        <v>295</v>
      </c>
      <c r="C1187" s="1985" t="s">
        <v>3470</v>
      </c>
      <c r="D1187" s="953" t="s">
        <v>201</v>
      </c>
      <c r="E1187" s="1307" t="s">
        <v>73</v>
      </c>
      <c r="F1187" s="1307" t="s">
        <v>1785</v>
      </c>
      <c r="G1187" s="1307" t="s">
        <v>1752</v>
      </c>
      <c r="H1187" s="980"/>
      <c r="I1187" s="980"/>
      <c r="J1187" s="980"/>
      <c r="K1187" s="980"/>
      <c r="L1187" s="980">
        <v>-6604000</v>
      </c>
      <c r="M1187" s="980"/>
      <c r="N1187" s="980"/>
      <c r="O1187" s="980"/>
      <c r="P1187" s="981"/>
      <c r="Q1187" s="1449"/>
      <c r="R1187" s="980"/>
      <c r="S1187" s="980"/>
      <c r="T1187" s="980"/>
      <c r="U1187" s="980"/>
      <c r="V1187" s="980"/>
      <c r="W1187" s="980"/>
      <c r="X1187" s="981"/>
    </row>
    <row r="1188" spans="1:24" ht="20.25" customHeight="1" x14ac:dyDescent="0.25">
      <c r="A1188" s="1990"/>
      <c r="B1188" s="1992"/>
      <c r="C1188" s="1986"/>
      <c r="D1188" s="953" t="s">
        <v>194</v>
      </c>
      <c r="E1188" s="1307" t="s">
        <v>73</v>
      </c>
      <c r="F1188" s="1307" t="s">
        <v>553</v>
      </c>
      <c r="G1188" s="1307" t="s">
        <v>1754</v>
      </c>
      <c r="H1188" s="980"/>
      <c r="I1188" s="980"/>
      <c r="J1188" s="980">
        <f>5200000+1404000</f>
        <v>6604000</v>
      </c>
      <c r="K1188" s="980"/>
      <c r="L1188" s="980"/>
      <c r="M1188" s="980"/>
      <c r="N1188" s="980"/>
      <c r="O1188" s="980"/>
      <c r="P1188" s="981"/>
      <c r="Q1188" s="1449"/>
      <c r="R1188" s="980"/>
      <c r="S1188" s="980"/>
      <c r="T1188" s="980"/>
      <c r="U1188" s="980"/>
      <c r="V1188" s="980"/>
      <c r="W1188" s="980"/>
      <c r="X1188" s="981"/>
    </row>
    <row r="1189" spans="1:24" ht="31.5" customHeight="1" x14ac:dyDescent="0.25">
      <c r="A1189" s="1481" t="s">
        <v>3240</v>
      </c>
      <c r="B1189" s="1483" t="s">
        <v>296</v>
      </c>
      <c r="C1189" s="1477" t="s">
        <v>3471</v>
      </c>
      <c r="D1189" s="953" t="s">
        <v>194</v>
      </c>
      <c r="E1189" s="1307" t="s">
        <v>73</v>
      </c>
      <c r="F1189" s="1307" t="s">
        <v>553</v>
      </c>
      <c r="G1189" s="1307" t="s">
        <v>1766</v>
      </c>
      <c r="H1189" s="980"/>
      <c r="I1189" s="980"/>
      <c r="J1189" s="980">
        <f>-50000+50000</f>
        <v>0</v>
      </c>
      <c r="K1189" s="980"/>
      <c r="L1189" s="980"/>
      <c r="M1189" s="980"/>
      <c r="N1189" s="980"/>
      <c r="O1189" s="980"/>
      <c r="P1189" s="981"/>
      <c r="Q1189" s="1449"/>
      <c r="R1189" s="980"/>
      <c r="S1189" s="980"/>
      <c r="T1189" s="980"/>
      <c r="U1189" s="980"/>
      <c r="V1189" s="980"/>
      <c r="W1189" s="980"/>
      <c r="X1189" s="981"/>
    </row>
    <row r="1190" spans="1:24" ht="24.75" customHeight="1" x14ac:dyDescent="0.25">
      <c r="A1190" s="1989" t="s">
        <v>3244</v>
      </c>
      <c r="B1190" s="1991" t="s">
        <v>297</v>
      </c>
      <c r="C1190" s="1985" t="s">
        <v>3497</v>
      </c>
      <c r="D1190" s="953" t="s">
        <v>194</v>
      </c>
      <c r="E1190" s="1307" t="s">
        <v>607</v>
      </c>
      <c r="F1190" s="1307" t="s">
        <v>605</v>
      </c>
      <c r="G1190" s="1307" t="s">
        <v>1766</v>
      </c>
      <c r="H1190" s="980"/>
      <c r="I1190" s="980"/>
      <c r="J1190" s="980">
        <f>-79344+9648</f>
        <v>-69696</v>
      </c>
      <c r="K1190" s="980"/>
      <c r="L1190" s="980"/>
      <c r="M1190" s="980"/>
      <c r="N1190" s="980"/>
      <c r="O1190" s="980"/>
      <c r="P1190" s="981"/>
      <c r="Q1190" s="1449"/>
      <c r="R1190" s="980"/>
      <c r="S1190" s="980"/>
      <c r="T1190" s="980"/>
      <c r="U1190" s="980"/>
      <c r="V1190" s="980"/>
      <c r="W1190" s="980"/>
      <c r="X1190" s="981"/>
    </row>
    <row r="1191" spans="1:24" ht="24.75" customHeight="1" x14ac:dyDescent="0.25">
      <c r="A1191" s="1990"/>
      <c r="B1191" s="1992"/>
      <c r="C1191" s="1986"/>
      <c r="D1191" s="953" t="s">
        <v>194</v>
      </c>
      <c r="E1191" s="1307" t="s">
        <v>1838</v>
      </c>
      <c r="F1191" s="1307" t="s">
        <v>1837</v>
      </c>
      <c r="G1191" s="1307" t="s">
        <v>1766</v>
      </c>
      <c r="H1191" s="980"/>
      <c r="I1191" s="980"/>
      <c r="J1191" s="980">
        <f>-81290+150986</f>
        <v>69696</v>
      </c>
      <c r="K1191" s="980"/>
      <c r="L1191" s="980"/>
      <c r="M1191" s="980"/>
      <c r="N1191" s="980"/>
      <c r="O1191" s="980"/>
      <c r="P1191" s="981"/>
      <c r="Q1191" s="1449"/>
      <c r="R1191" s="980"/>
      <c r="S1191" s="980"/>
      <c r="T1191" s="980"/>
      <c r="U1191" s="980"/>
      <c r="V1191" s="980"/>
      <c r="W1191" s="980"/>
      <c r="X1191" s="981"/>
    </row>
    <row r="1192" spans="1:24" ht="25.5" customHeight="1" x14ac:dyDescent="0.25">
      <c r="A1192" s="1989" t="s">
        <v>3246</v>
      </c>
      <c r="B1192" s="1991" t="s">
        <v>298</v>
      </c>
      <c r="C1192" s="1985" t="s">
        <v>3501</v>
      </c>
      <c r="D1192" s="953" t="s">
        <v>194</v>
      </c>
      <c r="E1192" s="1307" t="s">
        <v>557</v>
      </c>
      <c r="F1192" s="1307" t="s">
        <v>460</v>
      </c>
      <c r="G1192" s="1307" t="s">
        <v>1766</v>
      </c>
      <c r="H1192" s="980"/>
      <c r="I1192" s="980"/>
      <c r="J1192" s="980">
        <f>-300000+300000</f>
        <v>0</v>
      </c>
      <c r="K1192" s="980"/>
      <c r="L1192" s="980"/>
      <c r="M1192" s="980"/>
      <c r="N1192" s="980"/>
      <c r="O1192" s="980"/>
      <c r="P1192" s="981"/>
      <c r="Q1192" s="1449"/>
      <c r="R1192" s="980"/>
      <c r="S1192" s="980"/>
      <c r="T1192" s="980"/>
      <c r="U1192" s="980"/>
      <c r="V1192" s="980"/>
      <c r="W1192" s="980"/>
      <c r="X1192" s="981"/>
    </row>
    <row r="1193" spans="1:24" ht="25.5" customHeight="1" x14ac:dyDescent="0.25">
      <c r="A1193" s="1990"/>
      <c r="B1193" s="1992"/>
      <c r="C1193" s="1986"/>
      <c r="D1193" s="953" t="s">
        <v>194</v>
      </c>
      <c r="E1193" s="1307" t="s">
        <v>557</v>
      </c>
      <c r="F1193" s="1307" t="s">
        <v>462</v>
      </c>
      <c r="G1193" s="1307" t="s">
        <v>1766</v>
      </c>
      <c r="H1193" s="980"/>
      <c r="I1193" s="980"/>
      <c r="J1193" s="980">
        <f>-220000+100000+20000+100000</f>
        <v>0</v>
      </c>
      <c r="K1193" s="980"/>
      <c r="L1193" s="980"/>
      <c r="M1193" s="980"/>
      <c r="N1193" s="980"/>
      <c r="O1193" s="980"/>
      <c r="P1193" s="981"/>
      <c r="Q1193" s="1449"/>
      <c r="R1193" s="980"/>
      <c r="S1193" s="980"/>
      <c r="T1193" s="980"/>
      <c r="U1193" s="980"/>
      <c r="V1193" s="980"/>
      <c r="W1193" s="980"/>
      <c r="X1193" s="981"/>
    </row>
    <row r="1194" spans="1:24" ht="34.5" customHeight="1" x14ac:dyDescent="0.25">
      <c r="A1194" s="1481" t="s">
        <v>3248</v>
      </c>
      <c r="B1194" s="1483" t="s">
        <v>299</v>
      </c>
      <c r="C1194" s="1477" t="s">
        <v>3472</v>
      </c>
      <c r="D1194" s="953" t="s">
        <v>194</v>
      </c>
      <c r="E1194" s="1307" t="s">
        <v>62</v>
      </c>
      <c r="F1194" s="1307" t="s">
        <v>541</v>
      </c>
      <c r="G1194" s="1307" t="s">
        <v>1766</v>
      </c>
      <c r="H1194" s="980">
        <f>-40000+40000</f>
        <v>0</v>
      </c>
      <c r="I1194" s="980"/>
      <c r="J1194" s="980"/>
      <c r="K1194" s="980"/>
      <c r="L1194" s="980"/>
      <c r="M1194" s="980"/>
      <c r="N1194" s="980"/>
      <c r="O1194" s="980"/>
      <c r="P1194" s="981"/>
      <c r="Q1194" s="1449"/>
      <c r="R1194" s="980"/>
      <c r="S1194" s="980"/>
      <c r="T1194" s="980"/>
      <c r="U1194" s="980"/>
      <c r="V1194" s="980"/>
      <c r="W1194" s="980"/>
      <c r="X1194" s="981"/>
    </row>
    <row r="1195" spans="1:24" ht="24" customHeight="1" x14ac:dyDescent="0.25">
      <c r="A1195" s="1989" t="s">
        <v>3250</v>
      </c>
      <c r="B1195" s="1991" t="s">
        <v>300</v>
      </c>
      <c r="C1195" s="1985" t="s">
        <v>2817</v>
      </c>
      <c r="D1195" s="953" t="s">
        <v>201</v>
      </c>
      <c r="E1195" s="1307" t="s">
        <v>73</v>
      </c>
      <c r="F1195" s="1307" t="s">
        <v>1785</v>
      </c>
      <c r="G1195" s="1307" t="s">
        <v>1752</v>
      </c>
      <c r="H1195" s="980"/>
      <c r="I1195" s="980"/>
      <c r="J1195" s="980"/>
      <c r="K1195" s="980"/>
      <c r="L1195" s="980">
        <v>-5378876</v>
      </c>
      <c r="M1195" s="980"/>
      <c r="N1195" s="980"/>
      <c r="O1195" s="980"/>
      <c r="P1195" s="981"/>
      <c r="Q1195" s="1449"/>
      <c r="R1195" s="980"/>
      <c r="S1195" s="980"/>
      <c r="T1195" s="980"/>
      <c r="U1195" s="980"/>
      <c r="V1195" s="980"/>
      <c r="W1195" s="980"/>
      <c r="X1195" s="981"/>
    </row>
    <row r="1196" spans="1:24" ht="24" customHeight="1" x14ac:dyDescent="0.25">
      <c r="A1196" s="1990"/>
      <c r="B1196" s="1992"/>
      <c r="C1196" s="1986"/>
      <c r="D1196" s="953" t="s">
        <v>194</v>
      </c>
      <c r="E1196" s="1307" t="s">
        <v>130</v>
      </c>
      <c r="F1196" s="1307" t="s">
        <v>2069</v>
      </c>
      <c r="G1196" s="1307" t="s">
        <v>1754</v>
      </c>
      <c r="H1196" s="980"/>
      <c r="I1196" s="980"/>
      <c r="J1196" s="980">
        <f>4258706+1120170</f>
        <v>5378876</v>
      </c>
      <c r="K1196" s="980"/>
      <c r="L1196" s="980"/>
      <c r="M1196" s="980"/>
      <c r="N1196" s="980"/>
      <c r="O1196" s="980"/>
      <c r="P1196" s="981"/>
      <c r="Q1196" s="1449"/>
      <c r="R1196" s="980"/>
      <c r="S1196" s="980"/>
      <c r="T1196" s="980"/>
      <c r="U1196" s="980"/>
      <c r="V1196" s="980"/>
      <c r="W1196" s="980"/>
      <c r="X1196" s="981"/>
    </row>
    <row r="1197" spans="1:24" ht="21.75" customHeight="1" x14ac:dyDescent="0.25">
      <c r="A1197" s="1989" t="s">
        <v>3252</v>
      </c>
      <c r="B1197" s="1991" t="s">
        <v>759</v>
      </c>
      <c r="C1197" s="1985" t="s">
        <v>2815</v>
      </c>
      <c r="D1197" s="953" t="s">
        <v>194</v>
      </c>
      <c r="E1197" s="1307" t="s">
        <v>1781</v>
      </c>
      <c r="F1197" s="1307" t="s">
        <v>1780</v>
      </c>
      <c r="G1197" s="1307" t="s">
        <v>1754</v>
      </c>
      <c r="H1197" s="980"/>
      <c r="I1197" s="980"/>
      <c r="J1197" s="980"/>
      <c r="K1197" s="980"/>
      <c r="L1197" s="980"/>
      <c r="M1197" s="980"/>
      <c r="N1197" s="980"/>
      <c r="O1197" s="980"/>
      <c r="P1197" s="981"/>
      <c r="Q1197" s="1449"/>
      <c r="R1197" s="980"/>
      <c r="S1197" s="980"/>
      <c r="T1197" s="980">
        <v>39515838</v>
      </c>
      <c r="U1197" s="980"/>
      <c r="V1197" s="980"/>
      <c r="W1197" s="980"/>
      <c r="X1197" s="981"/>
    </row>
    <row r="1198" spans="1:24" ht="21.75" customHeight="1" x14ac:dyDescent="0.25">
      <c r="A1198" s="1990"/>
      <c r="B1198" s="1992"/>
      <c r="C1198" s="1986"/>
      <c r="D1198" s="953" t="s">
        <v>201</v>
      </c>
      <c r="E1198" s="1307" t="s">
        <v>73</v>
      </c>
      <c r="F1198" s="1307" t="s">
        <v>1785</v>
      </c>
      <c r="G1198" s="1307" t="s">
        <v>1754</v>
      </c>
      <c r="H1198" s="980"/>
      <c r="I1198" s="980"/>
      <c r="J1198" s="980"/>
      <c r="K1198" s="980"/>
      <c r="L1198" s="980">
        <v>39515838</v>
      </c>
      <c r="M1198" s="980"/>
      <c r="N1198" s="980"/>
      <c r="O1198" s="980"/>
      <c r="P1198" s="981"/>
      <c r="Q1198" s="1449"/>
      <c r="R1198" s="980"/>
      <c r="S1198" s="980"/>
      <c r="T1198" s="980"/>
      <c r="U1198" s="980"/>
      <c r="V1198" s="980"/>
      <c r="W1198" s="980"/>
      <c r="X1198" s="981"/>
    </row>
    <row r="1199" spans="1:24" ht="47.25" customHeight="1" x14ac:dyDescent="0.25">
      <c r="A1199" s="1481" t="s">
        <v>3255</v>
      </c>
      <c r="B1199" s="1479" t="s">
        <v>3478</v>
      </c>
      <c r="C1199" s="1477" t="s">
        <v>3473</v>
      </c>
      <c r="D1199" s="953" t="s">
        <v>199</v>
      </c>
      <c r="E1199" s="1307" t="s">
        <v>844</v>
      </c>
      <c r="F1199" s="1307" t="s">
        <v>1312</v>
      </c>
      <c r="G1199" s="1307" t="s">
        <v>1766</v>
      </c>
      <c r="H1199" s="980"/>
      <c r="I1199" s="980"/>
      <c r="J1199" s="980"/>
      <c r="K1199" s="980"/>
      <c r="L1199" s="980"/>
      <c r="M1199" s="980">
        <f>-19288162+19288162</f>
        <v>0</v>
      </c>
      <c r="N1199" s="980"/>
      <c r="O1199" s="980"/>
      <c r="P1199" s="981"/>
      <c r="Q1199" s="1449"/>
      <c r="R1199" s="980"/>
      <c r="S1199" s="980"/>
      <c r="T1199" s="980"/>
      <c r="U1199" s="980"/>
      <c r="V1199" s="980"/>
      <c r="W1199" s="980"/>
      <c r="X1199" s="981"/>
    </row>
    <row r="1200" spans="1:24" ht="26.25" customHeight="1" x14ac:dyDescent="0.25">
      <c r="A1200" s="1989" t="s">
        <v>3257</v>
      </c>
      <c r="B1200" s="1991" t="s">
        <v>760</v>
      </c>
      <c r="C1200" s="1985" t="s">
        <v>3474</v>
      </c>
      <c r="D1200" s="953" t="s">
        <v>204</v>
      </c>
      <c r="E1200" s="1307" t="s">
        <v>1753</v>
      </c>
      <c r="F1200" s="1307" t="s">
        <v>1784</v>
      </c>
      <c r="G1200" s="1307" t="s">
        <v>1754</v>
      </c>
      <c r="H1200" s="980"/>
      <c r="I1200" s="980"/>
      <c r="J1200" s="980"/>
      <c r="K1200" s="980"/>
      <c r="L1200" s="980"/>
      <c r="M1200" s="980"/>
      <c r="N1200" s="980"/>
      <c r="O1200" s="980"/>
      <c r="P1200" s="981"/>
      <c r="Q1200" s="1449">
        <v>2359553</v>
      </c>
      <c r="R1200" s="980"/>
      <c r="S1200" s="980"/>
      <c r="T1200" s="980"/>
      <c r="U1200" s="980"/>
      <c r="V1200" s="980"/>
      <c r="W1200" s="980"/>
      <c r="X1200" s="981"/>
    </row>
    <row r="1201" spans="1:24" ht="26.25" customHeight="1" x14ac:dyDescent="0.25">
      <c r="A1201" s="1990"/>
      <c r="B1201" s="1992"/>
      <c r="C1201" s="1986"/>
      <c r="D1201" s="953" t="s">
        <v>201</v>
      </c>
      <c r="E1201" s="1307" t="s">
        <v>73</v>
      </c>
      <c r="F1201" s="1307" t="s">
        <v>1785</v>
      </c>
      <c r="G1201" s="1307" t="s">
        <v>1754</v>
      </c>
      <c r="H1201" s="980"/>
      <c r="I1201" s="980"/>
      <c r="J1201" s="980"/>
      <c r="K1201" s="980"/>
      <c r="L1201" s="980">
        <v>2359553</v>
      </c>
      <c r="M1201" s="980"/>
      <c r="N1201" s="980"/>
      <c r="O1201" s="980"/>
      <c r="P1201" s="981"/>
      <c r="Q1201" s="1449"/>
      <c r="R1201" s="980"/>
      <c r="S1201" s="980"/>
      <c r="T1201" s="980"/>
      <c r="U1201" s="980"/>
      <c r="V1201" s="980"/>
      <c r="W1201" s="980"/>
      <c r="X1201" s="981"/>
    </row>
    <row r="1202" spans="1:24" ht="21.75" customHeight="1" x14ac:dyDescent="0.25">
      <c r="A1202" s="1989" t="s">
        <v>3260</v>
      </c>
      <c r="B1202" s="1991" t="s">
        <v>302</v>
      </c>
      <c r="C1202" s="1985" t="s">
        <v>3475</v>
      </c>
      <c r="D1202" s="953" t="s">
        <v>204</v>
      </c>
      <c r="E1202" s="1307" t="s">
        <v>1753</v>
      </c>
      <c r="F1202" s="1307" t="s">
        <v>1784</v>
      </c>
      <c r="G1202" s="1307" t="s">
        <v>1766</v>
      </c>
      <c r="H1202" s="980"/>
      <c r="I1202" s="980"/>
      <c r="J1202" s="980"/>
      <c r="K1202" s="980"/>
      <c r="L1202" s="980"/>
      <c r="M1202" s="980"/>
      <c r="N1202" s="980"/>
      <c r="O1202" s="980"/>
      <c r="P1202" s="981"/>
      <c r="Q1202" s="1449">
        <f>-2635450+770600+27313580</f>
        <v>25448730</v>
      </c>
      <c r="R1202" s="980"/>
      <c r="S1202" s="980"/>
      <c r="T1202" s="980"/>
      <c r="U1202" s="980"/>
      <c r="V1202" s="980"/>
      <c r="W1202" s="980"/>
      <c r="X1202" s="981"/>
    </row>
    <row r="1203" spans="1:24" ht="24" customHeight="1" x14ac:dyDescent="0.25">
      <c r="A1203" s="1990"/>
      <c r="B1203" s="1992"/>
      <c r="C1203" s="1986"/>
      <c r="D1203" s="953" t="s">
        <v>201</v>
      </c>
      <c r="E1203" s="1307" t="s">
        <v>73</v>
      </c>
      <c r="F1203" s="1307" t="s">
        <v>1785</v>
      </c>
      <c r="G1203" s="1307" t="s">
        <v>1754</v>
      </c>
      <c r="H1203" s="980"/>
      <c r="I1203" s="980"/>
      <c r="J1203" s="980"/>
      <c r="K1203" s="980"/>
      <c r="L1203" s="980">
        <v>25448730</v>
      </c>
      <c r="M1203" s="980"/>
      <c r="N1203" s="980"/>
      <c r="O1203" s="980"/>
      <c r="P1203" s="981"/>
      <c r="Q1203" s="1449"/>
      <c r="R1203" s="980"/>
      <c r="S1203" s="980"/>
      <c r="T1203" s="980"/>
      <c r="U1203" s="980"/>
      <c r="V1203" s="980"/>
      <c r="W1203" s="980"/>
      <c r="X1203" s="981"/>
    </row>
    <row r="1204" spans="1:24" ht="38.25" customHeight="1" x14ac:dyDescent="0.25">
      <c r="A1204" s="1989" t="s">
        <v>3262</v>
      </c>
      <c r="B1204" s="1991" t="s">
        <v>303</v>
      </c>
      <c r="C1204" s="1985" t="s">
        <v>3476</v>
      </c>
      <c r="D1204" s="953" t="s">
        <v>204</v>
      </c>
      <c r="E1204" s="1307" t="s">
        <v>1753</v>
      </c>
      <c r="F1204" s="1307" t="s">
        <v>1784</v>
      </c>
      <c r="G1204" s="1307" t="s">
        <v>1766</v>
      </c>
      <c r="H1204" s="980"/>
      <c r="I1204" s="980"/>
      <c r="J1204" s="980"/>
      <c r="K1204" s="980"/>
      <c r="L1204" s="980"/>
      <c r="M1204" s="980"/>
      <c r="N1204" s="980"/>
      <c r="O1204" s="980"/>
      <c r="P1204" s="981"/>
      <c r="Q1204" s="1449">
        <f>-381900+6749700+1536885</f>
        <v>7904685</v>
      </c>
      <c r="R1204" s="980"/>
      <c r="S1204" s="980"/>
      <c r="T1204" s="980"/>
      <c r="U1204" s="980"/>
      <c r="V1204" s="980"/>
      <c r="W1204" s="980"/>
      <c r="X1204" s="981"/>
    </row>
    <row r="1205" spans="1:24" ht="38.25" customHeight="1" x14ac:dyDescent="0.25">
      <c r="A1205" s="1990"/>
      <c r="B1205" s="1992"/>
      <c r="C1205" s="1986"/>
      <c r="D1205" s="953" t="s">
        <v>201</v>
      </c>
      <c r="E1205" s="1307" t="s">
        <v>73</v>
      </c>
      <c r="F1205" s="1307" t="s">
        <v>1785</v>
      </c>
      <c r="G1205" s="1307" t="s">
        <v>1754</v>
      </c>
      <c r="H1205" s="980"/>
      <c r="I1205" s="980"/>
      <c r="J1205" s="980"/>
      <c r="K1205" s="980"/>
      <c r="L1205" s="980">
        <v>7904685</v>
      </c>
      <c r="M1205" s="980"/>
      <c r="N1205" s="980"/>
      <c r="O1205" s="980"/>
      <c r="P1205" s="981"/>
      <c r="Q1205" s="1449"/>
      <c r="R1205" s="980"/>
      <c r="S1205" s="980"/>
      <c r="T1205" s="980"/>
      <c r="U1205" s="980"/>
      <c r="V1205" s="980"/>
      <c r="W1205" s="980"/>
      <c r="X1205" s="981"/>
    </row>
    <row r="1206" spans="1:24" ht="29.25" customHeight="1" x14ac:dyDescent="0.25">
      <c r="A1206" s="1481"/>
      <c r="B1206" s="1483"/>
      <c r="C1206" s="1477" t="s">
        <v>2291</v>
      </c>
      <c r="D1206" s="953" t="s">
        <v>203</v>
      </c>
      <c r="E1206" s="1307" t="s">
        <v>1297</v>
      </c>
      <c r="F1206" s="1307" t="s">
        <v>550</v>
      </c>
      <c r="G1206" s="1307" t="s">
        <v>1766</v>
      </c>
      <c r="H1206" s="980"/>
      <c r="I1206" s="980"/>
      <c r="J1206" s="980"/>
      <c r="K1206" s="980"/>
      <c r="L1206" s="980"/>
      <c r="M1206" s="980"/>
      <c r="N1206" s="980"/>
      <c r="O1206" s="980"/>
      <c r="P1206" s="981">
        <f>-63000+63000</f>
        <v>0</v>
      </c>
      <c r="Q1206" s="1449"/>
      <c r="R1206" s="980"/>
      <c r="S1206" s="980"/>
      <c r="T1206" s="980"/>
      <c r="U1206" s="980"/>
      <c r="V1206" s="980"/>
      <c r="W1206" s="980"/>
      <c r="X1206" s="981"/>
    </row>
    <row r="1207" spans="1:24" ht="32.25" customHeight="1" x14ac:dyDescent="0.25">
      <c r="A1207" s="1481" t="s">
        <v>3263</v>
      </c>
      <c r="B1207" s="1483" t="s">
        <v>305</v>
      </c>
      <c r="C1207" s="1477" t="s">
        <v>3479</v>
      </c>
      <c r="D1207" s="953" t="s">
        <v>194</v>
      </c>
      <c r="E1207" s="1307" t="s">
        <v>130</v>
      </c>
      <c r="F1207" s="1307" t="s">
        <v>1865</v>
      </c>
      <c r="G1207" s="1307" t="s">
        <v>1766</v>
      </c>
      <c r="H1207" s="980"/>
      <c r="I1207" s="980"/>
      <c r="J1207" s="980">
        <f>-1000000+1000000</f>
        <v>0</v>
      </c>
      <c r="K1207" s="980"/>
      <c r="L1207" s="980"/>
      <c r="M1207" s="980"/>
      <c r="N1207" s="980"/>
      <c r="O1207" s="980"/>
      <c r="P1207" s="981"/>
      <c r="Q1207" s="1449"/>
      <c r="R1207" s="980"/>
      <c r="S1207" s="980"/>
      <c r="T1207" s="980"/>
      <c r="U1207" s="980"/>
      <c r="V1207" s="980"/>
      <c r="W1207" s="980"/>
      <c r="X1207" s="981"/>
    </row>
    <row r="1208" spans="1:24" ht="25.5" customHeight="1" x14ac:dyDescent="0.25">
      <c r="A1208" s="1989" t="s">
        <v>3265</v>
      </c>
      <c r="B1208" s="1991" t="s">
        <v>306</v>
      </c>
      <c r="C1208" s="1985" t="s">
        <v>3480</v>
      </c>
      <c r="D1208" s="953" t="s">
        <v>198</v>
      </c>
      <c r="E1208" s="1307" t="s">
        <v>1877</v>
      </c>
      <c r="F1208" s="1307" t="s">
        <v>1830</v>
      </c>
      <c r="G1208" s="1307" t="s">
        <v>1752</v>
      </c>
      <c r="H1208" s="980"/>
      <c r="I1208" s="980"/>
      <c r="J1208" s="980"/>
      <c r="K1208" s="980"/>
      <c r="L1208" s="980">
        <v>-250000</v>
      </c>
      <c r="M1208" s="980"/>
      <c r="N1208" s="980"/>
      <c r="O1208" s="980"/>
      <c r="P1208" s="981"/>
      <c r="Q1208" s="1449"/>
      <c r="R1208" s="980"/>
      <c r="S1208" s="980"/>
      <c r="T1208" s="980"/>
      <c r="U1208" s="980"/>
      <c r="V1208" s="980"/>
      <c r="W1208" s="980"/>
      <c r="X1208" s="981"/>
    </row>
    <row r="1209" spans="1:24" ht="25.5" customHeight="1" x14ac:dyDescent="0.25">
      <c r="A1209" s="1990"/>
      <c r="B1209" s="1992"/>
      <c r="C1209" s="1986"/>
      <c r="D1209" s="953" t="s">
        <v>201</v>
      </c>
      <c r="E1209" s="1307" t="s">
        <v>73</v>
      </c>
      <c r="F1209" s="1307" t="s">
        <v>1785</v>
      </c>
      <c r="G1209" s="1307" t="s">
        <v>1754</v>
      </c>
      <c r="H1209" s="980"/>
      <c r="I1209" s="980"/>
      <c r="J1209" s="980"/>
      <c r="K1209" s="980"/>
      <c r="L1209" s="980">
        <v>250000</v>
      </c>
      <c r="M1209" s="980"/>
      <c r="N1209" s="980"/>
      <c r="O1209" s="980"/>
      <c r="P1209" s="981"/>
      <c r="Q1209" s="1449"/>
      <c r="R1209" s="980"/>
      <c r="S1209" s="980"/>
      <c r="T1209" s="980"/>
      <c r="U1209" s="980"/>
      <c r="V1209" s="980"/>
      <c r="W1209" s="980"/>
      <c r="X1209" s="981"/>
    </row>
    <row r="1210" spans="1:24" ht="33.75" customHeight="1" x14ac:dyDescent="0.25">
      <c r="A1210" s="1481"/>
      <c r="B1210" s="1483"/>
      <c r="C1210" s="1477" t="s">
        <v>2313</v>
      </c>
      <c r="D1210" s="953" t="s">
        <v>203</v>
      </c>
      <c r="E1210" s="1307" t="s">
        <v>1297</v>
      </c>
      <c r="F1210" s="1307" t="s">
        <v>550</v>
      </c>
      <c r="G1210" s="1307" t="s">
        <v>1766</v>
      </c>
      <c r="H1210" s="980"/>
      <c r="I1210" s="980"/>
      <c r="J1210" s="980"/>
      <c r="K1210" s="980"/>
      <c r="L1210" s="980"/>
      <c r="M1210" s="980"/>
      <c r="N1210" s="980"/>
      <c r="O1210" s="980"/>
      <c r="P1210" s="981">
        <f>-1270000+1270000</f>
        <v>0</v>
      </c>
      <c r="Q1210" s="1449"/>
      <c r="R1210" s="980"/>
      <c r="S1210" s="980"/>
      <c r="T1210" s="980"/>
      <c r="U1210" s="980"/>
      <c r="V1210" s="980"/>
      <c r="W1210" s="980"/>
      <c r="X1210" s="981"/>
    </row>
    <row r="1211" spans="1:24" ht="18.75" customHeight="1" x14ac:dyDescent="0.25">
      <c r="A1211" s="1989" t="s">
        <v>3267</v>
      </c>
      <c r="B1211" s="1991" t="s">
        <v>308</v>
      </c>
      <c r="C1211" s="1985" t="s">
        <v>3487</v>
      </c>
      <c r="D1211" s="953" t="s">
        <v>194</v>
      </c>
      <c r="E1211" s="1307" t="s">
        <v>130</v>
      </c>
      <c r="F1211" s="1307" t="s">
        <v>153</v>
      </c>
      <c r="G1211" s="1307" t="s">
        <v>1754</v>
      </c>
      <c r="H1211" s="980"/>
      <c r="I1211" s="980"/>
      <c r="J1211" s="980"/>
      <c r="K1211" s="980"/>
      <c r="L1211" s="980"/>
      <c r="M1211" s="980"/>
      <c r="N1211" s="980"/>
      <c r="O1211" s="980"/>
      <c r="P1211" s="981"/>
      <c r="Q1211" s="1449"/>
      <c r="R1211" s="980"/>
      <c r="S1211" s="980"/>
      <c r="T1211" s="980">
        <v>99838</v>
      </c>
      <c r="U1211" s="980"/>
      <c r="V1211" s="980"/>
      <c r="W1211" s="980"/>
      <c r="X1211" s="981"/>
    </row>
    <row r="1212" spans="1:24" ht="18.75" customHeight="1" x14ac:dyDescent="0.25">
      <c r="A1212" s="1990"/>
      <c r="B1212" s="1992"/>
      <c r="C1212" s="1986"/>
      <c r="D1212" s="953" t="s">
        <v>201</v>
      </c>
      <c r="E1212" s="1307" t="s">
        <v>73</v>
      </c>
      <c r="F1212" s="1307" t="s">
        <v>1785</v>
      </c>
      <c r="G1212" s="1307" t="s">
        <v>1754</v>
      </c>
      <c r="H1212" s="980"/>
      <c r="I1212" s="980"/>
      <c r="J1212" s="980"/>
      <c r="K1212" s="980"/>
      <c r="L1212" s="980">
        <v>99838</v>
      </c>
      <c r="M1212" s="980"/>
      <c r="N1212" s="980"/>
      <c r="O1212" s="980"/>
      <c r="P1212" s="981"/>
      <c r="Q1212" s="1449"/>
      <c r="R1212" s="980"/>
      <c r="S1212" s="980"/>
      <c r="T1212" s="980"/>
      <c r="U1212" s="980"/>
      <c r="V1212" s="980"/>
      <c r="W1212" s="980"/>
      <c r="X1212" s="981"/>
    </row>
    <row r="1213" spans="1:24" ht="33" customHeight="1" x14ac:dyDescent="0.25">
      <c r="A1213" s="1481" t="s">
        <v>3270</v>
      </c>
      <c r="B1213" s="1483" t="s">
        <v>309</v>
      </c>
      <c r="C1213" s="1477" t="s">
        <v>3494</v>
      </c>
      <c r="D1213" s="953" t="s">
        <v>194</v>
      </c>
      <c r="E1213" s="1307" t="s">
        <v>557</v>
      </c>
      <c r="F1213" s="1307" t="s">
        <v>460</v>
      </c>
      <c r="G1213" s="1307" t="s">
        <v>1754</v>
      </c>
      <c r="H1213" s="980"/>
      <c r="I1213" s="980"/>
      <c r="J1213" s="980">
        <v>53189</v>
      </c>
      <c r="K1213" s="980"/>
      <c r="L1213" s="980"/>
      <c r="M1213" s="980"/>
      <c r="N1213" s="980"/>
      <c r="O1213" s="980"/>
      <c r="P1213" s="981"/>
      <c r="Q1213" s="1449"/>
      <c r="R1213" s="980"/>
      <c r="S1213" s="980"/>
      <c r="T1213" s="980">
        <v>53189</v>
      </c>
      <c r="U1213" s="980"/>
      <c r="V1213" s="980"/>
      <c r="W1213" s="980"/>
      <c r="X1213" s="981"/>
    </row>
    <row r="1214" spans="1:24" ht="21" customHeight="1" x14ac:dyDescent="0.25">
      <c r="A1214" s="1989" t="s">
        <v>3273</v>
      </c>
      <c r="B1214" s="1991" t="s">
        <v>310</v>
      </c>
      <c r="C1214" s="1985" t="s">
        <v>3496</v>
      </c>
      <c r="D1214" s="953" t="s">
        <v>194</v>
      </c>
      <c r="E1214" s="1307" t="s">
        <v>130</v>
      </c>
      <c r="F1214" s="1307" t="s">
        <v>153</v>
      </c>
      <c r="G1214" s="1307" t="s">
        <v>1754</v>
      </c>
      <c r="H1214" s="980"/>
      <c r="I1214" s="980"/>
      <c r="J1214" s="980"/>
      <c r="K1214" s="980"/>
      <c r="L1214" s="980"/>
      <c r="M1214" s="980"/>
      <c r="N1214" s="980"/>
      <c r="O1214" s="980"/>
      <c r="P1214" s="981"/>
      <c r="Q1214" s="1449"/>
      <c r="R1214" s="980"/>
      <c r="S1214" s="980"/>
      <c r="T1214" s="980">
        <v>72549</v>
      </c>
      <c r="U1214" s="980"/>
      <c r="V1214" s="980"/>
      <c r="W1214" s="980"/>
      <c r="X1214" s="981"/>
    </row>
    <row r="1215" spans="1:24" ht="21" customHeight="1" x14ac:dyDescent="0.25">
      <c r="A1215" s="1990"/>
      <c r="B1215" s="1992"/>
      <c r="C1215" s="1986"/>
      <c r="D1215" s="953" t="s">
        <v>201</v>
      </c>
      <c r="E1215" s="1307" t="s">
        <v>73</v>
      </c>
      <c r="F1215" s="1307" t="s">
        <v>1785</v>
      </c>
      <c r="G1215" s="1307" t="s">
        <v>1754</v>
      </c>
      <c r="H1215" s="980"/>
      <c r="I1215" s="980"/>
      <c r="J1215" s="980"/>
      <c r="K1215" s="980"/>
      <c r="L1215" s="980">
        <v>72549</v>
      </c>
      <c r="M1215" s="980"/>
      <c r="N1215" s="980"/>
      <c r="O1215" s="980"/>
      <c r="P1215" s="981"/>
      <c r="Q1215" s="1449"/>
      <c r="R1215" s="980"/>
      <c r="S1215" s="980"/>
      <c r="T1215" s="980"/>
      <c r="U1215" s="980"/>
      <c r="V1215" s="980"/>
      <c r="W1215" s="980"/>
      <c r="X1215" s="981"/>
    </row>
    <row r="1216" spans="1:24" ht="19.5" customHeight="1" x14ac:dyDescent="0.25">
      <c r="A1216" s="1989" t="s">
        <v>3276</v>
      </c>
      <c r="B1216" s="1991" t="s">
        <v>311</v>
      </c>
      <c r="C1216" s="1985" t="s">
        <v>3502</v>
      </c>
      <c r="D1216" s="953" t="s">
        <v>198</v>
      </c>
      <c r="E1216" s="1307" t="s">
        <v>76</v>
      </c>
      <c r="F1216" s="1307" t="s">
        <v>775</v>
      </c>
      <c r="G1216" s="1307" t="s">
        <v>1752</v>
      </c>
      <c r="H1216" s="980"/>
      <c r="I1216" s="980"/>
      <c r="J1216" s="980"/>
      <c r="K1216" s="980"/>
      <c r="L1216" s="980">
        <v>-1636291</v>
      </c>
      <c r="M1216" s="980"/>
      <c r="N1216" s="980"/>
      <c r="O1216" s="980"/>
      <c r="P1216" s="981"/>
      <c r="Q1216" s="1449"/>
      <c r="R1216" s="980"/>
      <c r="S1216" s="980"/>
      <c r="T1216" s="980"/>
      <c r="U1216" s="980"/>
      <c r="V1216" s="980"/>
      <c r="W1216" s="980"/>
      <c r="X1216" s="981"/>
    </row>
    <row r="1217" spans="1:24" ht="19.5" customHeight="1" x14ac:dyDescent="0.25">
      <c r="A1217" s="1990"/>
      <c r="B1217" s="1992"/>
      <c r="C1217" s="1986"/>
      <c r="D1217" s="953" t="s">
        <v>197</v>
      </c>
      <c r="E1217" s="1307" t="s">
        <v>76</v>
      </c>
      <c r="F1217" s="1307" t="s">
        <v>775</v>
      </c>
      <c r="G1217" s="1307" t="s">
        <v>1754</v>
      </c>
      <c r="H1217" s="980"/>
      <c r="I1217" s="980"/>
      <c r="J1217" s="980"/>
      <c r="K1217" s="980"/>
      <c r="L1217" s="980"/>
      <c r="M1217" s="980"/>
      <c r="N1217" s="980"/>
      <c r="O1217" s="980">
        <v>1636291</v>
      </c>
      <c r="P1217" s="981"/>
      <c r="Q1217" s="1449"/>
      <c r="R1217" s="980"/>
      <c r="S1217" s="980"/>
      <c r="T1217" s="980"/>
      <c r="U1217" s="980"/>
      <c r="V1217" s="980"/>
      <c r="W1217" s="980"/>
      <c r="X1217" s="981"/>
    </row>
    <row r="1218" spans="1:24" ht="23.25" customHeight="1" x14ac:dyDescent="0.25">
      <c r="A1218" s="1989" t="s">
        <v>3503</v>
      </c>
      <c r="B1218" s="1991" t="s">
        <v>312</v>
      </c>
      <c r="C1218" s="1996" t="s">
        <v>3504</v>
      </c>
      <c r="D1218" s="953" t="s">
        <v>201</v>
      </c>
      <c r="E1218" s="1307" t="s">
        <v>73</v>
      </c>
      <c r="F1218" s="1307" t="s">
        <v>1785</v>
      </c>
      <c r="G1218" s="1307" t="s">
        <v>1752</v>
      </c>
      <c r="H1218" s="980"/>
      <c r="I1218" s="980"/>
      <c r="J1218" s="980"/>
      <c r="K1218" s="980"/>
      <c r="L1218" s="980">
        <v>-4900000</v>
      </c>
      <c r="M1218" s="980"/>
      <c r="N1218" s="980"/>
      <c r="O1218" s="980"/>
      <c r="P1218" s="981"/>
      <c r="Q1218" s="1449"/>
      <c r="R1218" s="980"/>
      <c r="S1218" s="980"/>
      <c r="T1218" s="980"/>
      <c r="U1218" s="980"/>
      <c r="V1218" s="980"/>
      <c r="W1218" s="980"/>
      <c r="X1218" s="981"/>
    </row>
    <row r="1219" spans="1:24" ht="23.25" customHeight="1" x14ac:dyDescent="0.25">
      <c r="A1219" s="1990"/>
      <c r="B1219" s="1992"/>
      <c r="C1219" s="1996"/>
      <c r="D1219" s="953" t="s">
        <v>199</v>
      </c>
      <c r="E1219" s="1307" t="s">
        <v>561</v>
      </c>
      <c r="F1219" s="1307" t="s">
        <v>866</v>
      </c>
      <c r="G1219" s="1307" t="s">
        <v>1754</v>
      </c>
      <c r="H1219" s="980"/>
      <c r="I1219" s="980"/>
      <c r="J1219" s="980"/>
      <c r="K1219" s="980"/>
      <c r="L1219" s="980"/>
      <c r="M1219" s="980">
        <v>4900000</v>
      </c>
      <c r="N1219" s="980"/>
      <c r="O1219" s="980"/>
      <c r="P1219" s="981"/>
      <c r="Q1219" s="1449"/>
      <c r="R1219" s="980"/>
      <c r="S1219" s="980"/>
      <c r="T1219" s="980"/>
      <c r="U1219" s="980"/>
      <c r="V1219" s="980"/>
      <c r="W1219" s="980"/>
      <c r="X1219" s="981"/>
    </row>
    <row r="1220" spans="1:24" ht="26.25" customHeight="1" x14ac:dyDescent="0.25">
      <c r="A1220" s="1989" t="s">
        <v>3511</v>
      </c>
      <c r="B1220" s="1991" t="s">
        <v>313</v>
      </c>
      <c r="C1220" s="1985" t="s">
        <v>3526</v>
      </c>
      <c r="D1220" s="953" t="s">
        <v>232</v>
      </c>
      <c r="E1220" s="1307" t="s">
        <v>1762</v>
      </c>
      <c r="F1220" s="1307" t="s">
        <v>1761</v>
      </c>
      <c r="G1220" s="1307" t="s">
        <v>1754</v>
      </c>
      <c r="H1220" s="980"/>
      <c r="I1220" s="980"/>
      <c r="J1220" s="980"/>
      <c r="K1220" s="980"/>
      <c r="L1220" s="980"/>
      <c r="M1220" s="980"/>
      <c r="N1220" s="980"/>
      <c r="O1220" s="980"/>
      <c r="P1220" s="981"/>
      <c r="Q1220" s="1449"/>
      <c r="R1220" s="980"/>
      <c r="S1220" s="980">
        <f>14259205+92544+2146451</f>
        <v>16498200</v>
      </c>
      <c r="T1220" s="980"/>
      <c r="U1220" s="980"/>
      <c r="V1220" s="980"/>
      <c r="W1220" s="980"/>
      <c r="X1220" s="981"/>
    </row>
    <row r="1221" spans="1:24" ht="26.25" customHeight="1" x14ac:dyDescent="0.25">
      <c r="A1221" s="1990"/>
      <c r="B1221" s="1992"/>
      <c r="C1221" s="1986"/>
      <c r="D1221" s="953" t="s">
        <v>201</v>
      </c>
      <c r="E1221" s="1307" t="s">
        <v>73</v>
      </c>
      <c r="F1221" s="1307" t="s">
        <v>1785</v>
      </c>
      <c r="G1221" s="1307" t="s">
        <v>1754</v>
      </c>
      <c r="H1221" s="980"/>
      <c r="I1221" s="980"/>
      <c r="J1221" s="980"/>
      <c r="K1221" s="980"/>
      <c r="L1221" s="980">
        <v>16498200</v>
      </c>
      <c r="M1221" s="980"/>
      <c r="N1221" s="980"/>
      <c r="O1221" s="980"/>
      <c r="P1221" s="981"/>
      <c r="Q1221" s="1449"/>
      <c r="R1221" s="980"/>
      <c r="S1221" s="980"/>
      <c r="T1221" s="980"/>
      <c r="U1221" s="980"/>
      <c r="V1221" s="980"/>
      <c r="W1221" s="980"/>
      <c r="X1221" s="981"/>
    </row>
    <row r="1222" spans="1:24" ht="21.75" customHeight="1" x14ac:dyDescent="0.25">
      <c r="A1222" s="1989" t="s">
        <v>3287</v>
      </c>
      <c r="B1222" s="1991" t="s">
        <v>314</v>
      </c>
      <c r="C1222" s="1985" t="s">
        <v>3512</v>
      </c>
      <c r="D1222" s="953" t="s">
        <v>194</v>
      </c>
      <c r="E1222" s="1307" t="s">
        <v>130</v>
      </c>
      <c r="F1222" s="1307" t="s">
        <v>153</v>
      </c>
      <c r="G1222" s="1307" t="s">
        <v>1754</v>
      </c>
      <c r="H1222" s="980"/>
      <c r="I1222" s="980"/>
      <c r="J1222" s="980"/>
      <c r="K1222" s="980"/>
      <c r="L1222" s="980"/>
      <c r="M1222" s="980"/>
      <c r="N1222" s="980"/>
      <c r="O1222" s="980"/>
      <c r="P1222" s="981"/>
      <c r="Q1222" s="1449"/>
      <c r="R1222" s="980"/>
      <c r="S1222" s="980"/>
      <c r="T1222" s="980">
        <v>6521</v>
      </c>
      <c r="U1222" s="980"/>
      <c r="V1222" s="980"/>
      <c r="W1222" s="980"/>
      <c r="X1222" s="981"/>
    </row>
    <row r="1223" spans="1:24" ht="21.75" customHeight="1" x14ac:dyDescent="0.25">
      <c r="A1223" s="1990"/>
      <c r="B1223" s="1992"/>
      <c r="C1223" s="1986"/>
      <c r="D1223" s="953" t="s">
        <v>201</v>
      </c>
      <c r="E1223" s="1307" t="s">
        <v>73</v>
      </c>
      <c r="F1223" s="1307" t="s">
        <v>1785</v>
      </c>
      <c r="G1223" s="1307" t="s">
        <v>1754</v>
      </c>
      <c r="H1223" s="980"/>
      <c r="I1223" s="980"/>
      <c r="J1223" s="980"/>
      <c r="K1223" s="980"/>
      <c r="L1223" s="980">
        <v>6521</v>
      </c>
      <c r="M1223" s="980"/>
      <c r="N1223" s="980"/>
      <c r="O1223" s="980"/>
      <c r="P1223" s="981"/>
      <c r="Q1223" s="1449"/>
      <c r="R1223" s="980"/>
      <c r="S1223" s="980"/>
      <c r="T1223" s="980"/>
      <c r="U1223" s="980"/>
      <c r="V1223" s="980"/>
      <c r="W1223" s="980"/>
      <c r="X1223" s="981"/>
    </row>
    <row r="1224" spans="1:24" ht="36" customHeight="1" x14ac:dyDescent="0.25">
      <c r="A1224" s="1481" t="s">
        <v>3293</v>
      </c>
      <c r="B1224" s="1483" t="s">
        <v>315</v>
      </c>
      <c r="C1224" s="1477" t="s">
        <v>3513</v>
      </c>
      <c r="D1224" s="953" t="s">
        <v>194</v>
      </c>
      <c r="E1224" s="1307" t="s">
        <v>557</v>
      </c>
      <c r="F1224" s="1307" t="s">
        <v>460</v>
      </c>
      <c r="G1224" s="1307" t="s">
        <v>1766</v>
      </c>
      <c r="H1224" s="980"/>
      <c r="I1224" s="980"/>
      <c r="J1224" s="980">
        <v>-184870</v>
      </c>
      <c r="K1224" s="980"/>
      <c r="L1224" s="980"/>
      <c r="M1224" s="980">
        <f>174123+10747</f>
        <v>184870</v>
      </c>
      <c r="N1224" s="980"/>
      <c r="O1224" s="980"/>
      <c r="P1224" s="981"/>
      <c r="Q1224" s="1449"/>
      <c r="R1224" s="980"/>
      <c r="S1224" s="980"/>
      <c r="T1224" s="980"/>
      <c r="U1224" s="980"/>
      <c r="V1224" s="980"/>
      <c r="W1224" s="980"/>
      <c r="X1224" s="981"/>
    </row>
    <row r="1225" spans="1:24" ht="19.5" customHeight="1" x14ac:dyDescent="0.25">
      <c r="A1225" s="1989" t="s">
        <v>3297</v>
      </c>
      <c r="B1225" s="1991" t="s">
        <v>761</v>
      </c>
      <c r="C1225" s="1985" t="s">
        <v>3515</v>
      </c>
      <c r="D1225" s="953">
        <v>8</v>
      </c>
      <c r="E1225" s="1307" t="s">
        <v>73</v>
      </c>
      <c r="F1225" s="1307" t="s">
        <v>1785</v>
      </c>
      <c r="G1225" s="1307" t="s">
        <v>1752</v>
      </c>
      <c r="H1225" s="980"/>
      <c r="I1225" s="980"/>
      <c r="J1225" s="980"/>
      <c r="K1225" s="980"/>
      <c r="L1225" s="980">
        <v>-206262</v>
      </c>
      <c r="M1225" s="980"/>
      <c r="N1225" s="980"/>
      <c r="O1225" s="980"/>
      <c r="P1225" s="981"/>
      <c r="Q1225" s="1449"/>
      <c r="R1225" s="980"/>
      <c r="S1225" s="980"/>
      <c r="T1225" s="980"/>
      <c r="U1225" s="980"/>
      <c r="V1225" s="980"/>
      <c r="W1225" s="980"/>
      <c r="X1225" s="981"/>
    </row>
    <row r="1226" spans="1:24" ht="19.5" customHeight="1" x14ac:dyDescent="0.25">
      <c r="A1226" s="1990"/>
      <c r="B1226" s="1992"/>
      <c r="C1226" s="1986"/>
      <c r="D1226" s="953" t="s">
        <v>194</v>
      </c>
      <c r="E1226" s="1307" t="s">
        <v>73</v>
      </c>
      <c r="F1226" s="1307" t="s">
        <v>2100</v>
      </c>
      <c r="G1226" s="1307" t="s">
        <v>1754</v>
      </c>
      <c r="H1226" s="980"/>
      <c r="I1226" s="980"/>
      <c r="J1226" s="980">
        <v>206262</v>
      </c>
      <c r="K1226" s="980"/>
      <c r="L1226" s="980"/>
      <c r="M1226" s="980"/>
      <c r="N1226" s="980"/>
      <c r="O1226" s="980"/>
      <c r="P1226" s="981"/>
      <c r="Q1226" s="1449"/>
      <c r="R1226" s="980"/>
      <c r="S1226" s="980"/>
      <c r="T1226" s="980"/>
      <c r="U1226" s="980"/>
      <c r="V1226" s="980"/>
      <c r="W1226" s="980"/>
      <c r="X1226" s="981"/>
    </row>
    <row r="1227" spans="1:24" ht="18.75" customHeight="1" x14ac:dyDescent="0.25">
      <c r="A1227" s="1989" t="s">
        <v>3302</v>
      </c>
      <c r="B1227" s="1991" t="s">
        <v>316</v>
      </c>
      <c r="C1227" s="1985" t="s">
        <v>3516</v>
      </c>
      <c r="D1227" s="953" t="s">
        <v>201</v>
      </c>
      <c r="E1227" s="1307" t="s">
        <v>73</v>
      </c>
      <c r="F1227" s="1307" t="s">
        <v>1785</v>
      </c>
      <c r="G1227" s="1307" t="s">
        <v>1752</v>
      </c>
      <c r="H1227" s="980"/>
      <c r="I1227" s="980"/>
      <c r="J1227" s="980"/>
      <c r="K1227" s="980"/>
      <c r="L1227" s="980">
        <v>-100000</v>
      </c>
      <c r="M1227" s="980"/>
      <c r="N1227" s="980"/>
      <c r="O1227" s="980"/>
      <c r="P1227" s="981"/>
      <c r="Q1227" s="1449"/>
      <c r="R1227" s="980"/>
      <c r="S1227" s="980"/>
      <c r="T1227" s="980"/>
      <c r="U1227" s="980"/>
      <c r="V1227" s="980"/>
      <c r="W1227" s="980"/>
      <c r="X1227" s="981"/>
    </row>
    <row r="1228" spans="1:24" ht="18.75" customHeight="1" x14ac:dyDescent="0.25">
      <c r="A1228" s="1990"/>
      <c r="B1228" s="1992"/>
      <c r="C1228" s="1986"/>
      <c r="D1228" s="953" t="s">
        <v>198</v>
      </c>
      <c r="E1228" s="1307" t="s">
        <v>620</v>
      </c>
      <c r="F1228" s="1307" t="s">
        <v>1830</v>
      </c>
      <c r="G1228" s="1307" t="s">
        <v>1754</v>
      </c>
      <c r="H1228" s="980"/>
      <c r="I1228" s="980"/>
      <c r="J1228" s="980"/>
      <c r="K1228" s="980"/>
      <c r="L1228" s="980">
        <v>100000</v>
      </c>
      <c r="M1228" s="980"/>
      <c r="N1228" s="980"/>
      <c r="O1228" s="980"/>
      <c r="P1228" s="981"/>
      <c r="Q1228" s="1449"/>
      <c r="R1228" s="980"/>
      <c r="S1228" s="980"/>
      <c r="T1228" s="980"/>
      <c r="U1228" s="980"/>
      <c r="V1228" s="980"/>
      <c r="W1228" s="980"/>
      <c r="X1228" s="981"/>
    </row>
    <row r="1229" spans="1:24" ht="18.75" customHeight="1" x14ac:dyDescent="0.25">
      <c r="A1229" s="1989" t="s">
        <v>3305</v>
      </c>
      <c r="B1229" s="1991" t="s">
        <v>317</v>
      </c>
      <c r="C1229" s="1985" t="s">
        <v>3518</v>
      </c>
      <c r="D1229" s="953" t="s">
        <v>194</v>
      </c>
      <c r="E1229" s="1307" t="s">
        <v>129</v>
      </c>
      <c r="F1229" s="1307" t="s">
        <v>128</v>
      </c>
      <c r="G1229" s="1307" t="s">
        <v>1752</v>
      </c>
      <c r="H1229" s="980"/>
      <c r="I1229" s="980"/>
      <c r="J1229" s="980"/>
      <c r="K1229" s="980"/>
      <c r="L1229" s="980"/>
      <c r="M1229" s="980"/>
      <c r="N1229" s="980">
        <f>-51181102-13818898</f>
        <v>-65000000</v>
      </c>
      <c r="O1229" s="980"/>
      <c r="P1229" s="981"/>
      <c r="Q1229" s="1449"/>
      <c r="R1229" s="980"/>
      <c r="S1229" s="980"/>
      <c r="T1229" s="980">
        <f>-51181102-13818898</f>
        <v>-65000000</v>
      </c>
      <c r="U1229" s="980"/>
      <c r="V1229" s="980"/>
      <c r="W1229" s="980"/>
      <c r="X1229" s="981"/>
    </row>
    <row r="1230" spans="1:24" ht="18.75" customHeight="1" x14ac:dyDescent="0.25">
      <c r="A1230" s="1990"/>
      <c r="B1230" s="1992"/>
      <c r="C1230" s="1986"/>
      <c r="D1230" s="953" t="s">
        <v>200</v>
      </c>
      <c r="E1230" s="1307" t="s">
        <v>563</v>
      </c>
      <c r="F1230" s="1307" t="s">
        <v>777</v>
      </c>
      <c r="G1230" s="1307" t="s">
        <v>1752</v>
      </c>
      <c r="H1230" s="980"/>
      <c r="I1230" s="980"/>
      <c r="J1230" s="980"/>
      <c r="K1230" s="980"/>
      <c r="L1230" s="980"/>
      <c r="M1230" s="980"/>
      <c r="N1230" s="980">
        <f>-51181102-13818898</f>
        <v>-65000000</v>
      </c>
      <c r="O1230" s="980"/>
      <c r="P1230" s="981"/>
      <c r="Q1230" s="1449"/>
      <c r="R1230" s="980"/>
      <c r="S1230" s="980"/>
      <c r="T1230" s="980">
        <f>-51181102-13818898</f>
        <v>-65000000</v>
      </c>
      <c r="U1230" s="980"/>
      <c r="V1230" s="980"/>
      <c r="W1230" s="980"/>
      <c r="X1230" s="981"/>
    </row>
    <row r="1231" spans="1:24" ht="24" customHeight="1" x14ac:dyDescent="0.25">
      <c r="A1231" s="1989" t="s">
        <v>3308</v>
      </c>
      <c r="B1231" s="1991" t="s">
        <v>762</v>
      </c>
      <c r="C1231" s="1985" t="s">
        <v>3519</v>
      </c>
      <c r="D1231" s="953" t="s">
        <v>194</v>
      </c>
      <c r="E1231" s="1307" t="s">
        <v>557</v>
      </c>
      <c r="F1231" s="1307" t="s">
        <v>460</v>
      </c>
      <c r="G1231" s="1307" t="s">
        <v>1752</v>
      </c>
      <c r="H1231" s="980"/>
      <c r="I1231" s="980"/>
      <c r="J1231" s="980">
        <v>-2993</v>
      </c>
      <c r="K1231" s="980"/>
      <c r="L1231" s="980"/>
      <c r="M1231" s="980"/>
      <c r="N1231" s="980"/>
      <c r="O1231" s="980"/>
      <c r="P1231" s="981"/>
      <c r="Q1231" s="1449"/>
      <c r="R1231" s="980"/>
      <c r="S1231" s="980"/>
      <c r="T1231" s="980">
        <f>-1962-1031</f>
        <v>-2993</v>
      </c>
      <c r="U1231" s="980"/>
      <c r="V1231" s="980"/>
      <c r="W1231" s="980"/>
      <c r="X1231" s="981"/>
    </row>
    <row r="1232" spans="1:24" ht="24" customHeight="1" x14ac:dyDescent="0.25">
      <c r="A1232" s="1990"/>
      <c r="B1232" s="1992"/>
      <c r="C1232" s="1986"/>
      <c r="D1232" s="953" t="s">
        <v>194</v>
      </c>
      <c r="E1232" s="1307" t="s">
        <v>557</v>
      </c>
      <c r="F1232" s="1307" t="s">
        <v>462</v>
      </c>
      <c r="G1232" s="1307" t="s">
        <v>1752</v>
      </c>
      <c r="H1232" s="980"/>
      <c r="I1232" s="980"/>
      <c r="J1232" s="980">
        <f>-1112527-4666648-1155387</f>
        <v>-6934562</v>
      </c>
      <c r="K1232" s="980"/>
      <c r="L1232" s="980"/>
      <c r="M1232" s="980"/>
      <c r="N1232" s="980"/>
      <c r="O1232" s="980"/>
      <c r="P1232" s="981"/>
      <c r="Q1232" s="1449"/>
      <c r="R1232" s="980"/>
      <c r="S1232" s="980"/>
      <c r="T1232" s="980">
        <f>-1112527-4666648-1155387</f>
        <v>-6934562</v>
      </c>
      <c r="U1232" s="980"/>
      <c r="V1232" s="980"/>
      <c r="W1232" s="980"/>
      <c r="X1232" s="981"/>
    </row>
    <row r="1233" spans="1:24" ht="24.75" customHeight="1" x14ac:dyDescent="0.25">
      <c r="A1233" s="1481" t="s">
        <v>3309</v>
      </c>
      <c r="B1233" s="1483" t="s">
        <v>763</v>
      </c>
      <c r="C1233" s="1477" t="s">
        <v>3520</v>
      </c>
      <c r="D1233" s="953" t="s">
        <v>194</v>
      </c>
      <c r="E1233" s="1307" t="s">
        <v>609</v>
      </c>
      <c r="F1233" s="1307" t="s">
        <v>455</v>
      </c>
      <c r="G1233" s="1307" t="s">
        <v>1752</v>
      </c>
      <c r="H1233" s="980"/>
      <c r="I1233" s="980"/>
      <c r="J1233" s="980">
        <v>-5100</v>
      </c>
      <c r="K1233" s="980"/>
      <c r="L1233" s="980"/>
      <c r="M1233" s="980"/>
      <c r="N1233" s="980"/>
      <c r="O1233" s="980"/>
      <c r="P1233" s="981"/>
      <c r="Q1233" s="1449"/>
      <c r="R1233" s="980"/>
      <c r="S1233" s="980"/>
      <c r="T1233" s="980">
        <v>-5100</v>
      </c>
      <c r="U1233" s="980"/>
      <c r="V1233" s="980"/>
      <c r="W1233" s="980"/>
      <c r="X1233" s="981"/>
    </row>
    <row r="1234" spans="1:24" ht="18.75" customHeight="1" x14ac:dyDescent="0.25">
      <c r="A1234" s="1989" t="s">
        <v>3313</v>
      </c>
      <c r="B1234" s="1991" t="s">
        <v>155</v>
      </c>
      <c r="C1234" s="1985" t="s">
        <v>3521</v>
      </c>
      <c r="D1234" s="953" t="s">
        <v>194</v>
      </c>
      <c r="E1234" s="1307" t="s">
        <v>130</v>
      </c>
      <c r="F1234" s="1307" t="s">
        <v>152</v>
      </c>
      <c r="G1234" s="1307" t="s">
        <v>1752</v>
      </c>
      <c r="H1234" s="980"/>
      <c r="I1234" s="980"/>
      <c r="J1234" s="980"/>
      <c r="K1234" s="980"/>
      <c r="L1234" s="980"/>
      <c r="M1234" s="980"/>
      <c r="N1234" s="980"/>
      <c r="O1234" s="980"/>
      <c r="P1234" s="981"/>
      <c r="Q1234" s="1449"/>
      <c r="R1234" s="980"/>
      <c r="S1234" s="980"/>
      <c r="T1234" s="980">
        <f>-1742671-1994250</f>
        <v>-3736921</v>
      </c>
      <c r="U1234" s="980"/>
      <c r="V1234" s="980"/>
      <c r="W1234" s="980"/>
      <c r="X1234" s="981"/>
    </row>
    <row r="1235" spans="1:24" ht="18.75" customHeight="1" x14ac:dyDescent="0.25">
      <c r="A1235" s="1995"/>
      <c r="B1235" s="1994"/>
      <c r="C1235" s="1993"/>
      <c r="D1235" s="953" t="s">
        <v>194</v>
      </c>
      <c r="E1235" s="1307" t="s">
        <v>1762</v>
      </c>
      <c r="F1235" s="1307" t="s">
        <v>1761</v>
      </c>
      <c r="G1235" s="1307" t="s">
        <v>1752</v>
      </c>
      <c r="H1235" s="980"/>
      <c r="I1235" s="980"/>
      <c r="J1235" s="980"/>
      <c r="K1235" s="980"/>
      <c r="L1235" s="980"/>
      <c r="M1235" s="980"/>
      <c r="N1235" s="980"/>
      <c r="O1235" s="980"/>
      <c r="P1235" s="981"/>
      <c r="Q1235" s="1449"/>
      <c r="R1235" s="980"/>
      <c r="S1235" s="980">
        <v>-23638367</v>
      </c>
      <c r="T1235" s="980"/>
      <c r="U1235" s="980"/>
      <c r="V1235" s="980"/>
      <c r="W1235" s="980"/>
      <c r="X1235" s="981"/>
    </row>
    <row r="1236" spans="1:24" ht="18.75" customHeight="1" x14ac:dyDescent="0.25">
      <c r="A1236" s="1990"/>
      <c r="B1236" s="1992"/>
      <c r="C1236" s="1986"/>
      <c r="D1236" s="953" t="s">
        <v>201</v>
      </c>
      <c r="E1236" s="1307" t="s">
        <v>73</v>
      </c>
      <c r="F1236" s="1307" t="s">
        <v>1785</v>
      </c>
      <c r="G1236" s="1307" t="s">
        <v>1752</v>
      </c>
      <c r="H1236" s="980"/>
      <c r="I1236" s="980"/>
      <c r="J1236" s="980"/>
      <c r="K1236" s="980"/>
      <c r="L1236" s="980">
        <v>-27375288</v>
      </c>
      <c r="M1236" s="980"/>
      <c r="N1236" s="980"/>
      <c r="O1236" s="980"/>
      <c r="P1236" s="981"/>
      <c r="Q1236" s="1449"/>
      <c r="R1236" s="980"/>
      <c r="S1236" s="980"/>
      <c r="T1236" s="980"/>
      <c r="U1236" s="980"/>
      <c r="V1236" s="980"/>
      <c r="W1236" s="980"/>
      <c r="X1236" s="981"/>
    </row>
    <row r="1237" spans="1:24" ht="23.25" customHeight="1" x14ac:dyDescent="0.25">
      <c r="A1237" s="1989" t="s">
        <v>3316</v>
      </c>
      <c r="B1237" s="1991" t="s">
        <v>318</v>
      </c>
      <c r="C1237" s="1985" t="s">
        <v>3522</v>
      </c>
      <c r="D1237" s="953" t="s">
        <v>194</v>
      </c>
      <c r="E1237" s="1307" t="s">
        <v>641</v>
      </c>
      <c r="F1237" s="1307" t="s">
        <v>66</v>
      </c>
      <c r="G1237" s="1307" t="s">
        <v>1752</v>
      </c>
      <c r="H1237" s="980"/>
      <c r="I1237" s="980"/>
      <c r="J1237" s="980"/>
      <c r="K1237" s="980"/>
      <c r="L1237" s="980"/>
      <c r="M1237" s="980"/>
      <c r="N1237" s="980"/>
      <c r="O1237" s="980"/>
      <c r="P1237" s="981"/>
      <c r="Q1237" s="1449"/>
      <c r="R1237" s="980"/>
      <c r="S1237" s="980"/>
      <c r="T1237" s="980"/>
      <c r="U1237" s="980">
        <v>-30522522</v>
      </c>
      <c r="V1237" s="980"/>
      <c r="W1237" s="980"/>
      <c r="X1237" s="981"/>
    </row>
    <row r="1238" spans="1:24" ht="23.25" customHeight="1" x14ac:dyDescent="0.25">
      <c r="A1238" s="1990"/>
      <c r="B1238" s="1992"/>
      <c r="C1238" s="1986"/>
      <c r="D1238" s="953" t="s">
        <v>201</v>
      </c>
      <c r="E1238" s="1307" t="s">
        <v>73</v>
      </c>
      <c r="F1238" s="1307" t="s">
        <v>1785</v>
      </c>
      <c r="G1238" s="1307" t="s">
        <v>1752</v>
      </c>
      <c r="H1238" s="980"/>
      <c r="I1238" s="980"/>
      <c r="J1238" s="980"/>
      <c r="K1238" s="980"/>
      <c r="L1238" s="980">
        <v>-30522522</v>
      </c>
      <c r="M1238" s="980"/>
      <c r="N1238" s="980"/>
      <c r="O1238" s="980"/>
      <c r="P1238" s="981"/>
      <c r="Q1238" s="1449"/>
      <c r="R1238" s="980"/>
      <c r="S1238" s="980"/>
      <c r="T1238" s="980"/>
      <c r="U1238" s="980"/>
      <c r="V1238" s="980"/>
      <c r="W1238" s="980"/>
      <c r="X1238" s="981"/>
    </row>
    <row r="1239" spans="1:24" ht="21.75" customHeight="1" x14ac:dyDescent="0.25">
      <c r="A1239" s="1989" t="s">
        <v>3318</v>
      </c>
      <c r="B1239" s="1987" t="s">
        <v>3523</v>
      </c>
      <c r="C1239" s="1985" t="s">
        <v>3524</v>
      </c>
      <c r="D1239" s="953" t="s">
        <v>194</v>
      </c>
      <c r="E1239" s="1307" t="s">
        <v>130</v>
      </c>
      <c r="F1239" s="1307" t="s">
        <v>2098</v>
      </c>
      <c r="G1239" s="1307" t="s">
        <v>1752</v>
      </c>
      <c r="H1239" s="980"/>
      <c r="I1239" s="980"/>
      <c r="J1239" s="980"/>
      <c r="K1239" s="980"/>
      <c r="L1239" s="980"/>
      <c r="M1239" s="980"/>
      <c r="N1239" s="980"/>
      <c r="O1239" s="980"/>
      <c r="P1239" s="981"/>
      <c r="Q1239" s="1449"/>
      <c r="R1239" s="980"/>
      <c r="S1239" s="980"/>
      <c r="T1239" s="980">
        <v>-280506</v>
      </c>
      <c r="U1239" s="980"/>
      <c r="V1239" s="980"/>
      <c r="W1239" s="980"/>
      <c r="X1239" s="981"/>
    </row>
    <row r="1240" spans="1:24" ht="21.75" customHeight="1" x14ac:dyDescent="0.25">
      <c r="A1240" s="1990"/>
      <c r="B1240" s="1988"/>
      <c r="C1240" s="1986"/>
      <c r="D1240" s="953" t="s">
        <v>201</v>
      </c>
      <c r="E1240" s="1307" t="s">
        <v>73</v>
      </c>
      <c r="F1240" s="1307" t="s">
        <v>1785</v>
      </c>
      <c r="G1240" s="1307" t="s">
        <v>1752</v>
      </c>
      <c r="H1240" s="980"/>
      <c r="I1240" s="980"/>
      <c r="J1240" s="980"/>
      <c r="K1240" s="980"/>
      <c r="L1240" s="980">
        <v>-280506</v>
      </c>
      <c r="M1240" s="980"/>
      <c r="N1240" s="980"/>
      <c r="O1240" s="980"/>
      <c r="P1240" s="981"/>
      <c r="Q1240" s="1449"/>
      <c r="R1240" s="980"/>
      <c r="S1240" s="980"/>
      <c r="T1240" s="980"/>
      <c r="U1240" s="980"/>
      <c r="V1240" s="980"/>
      <c r="W1240" s="980"/>
      <c r="X1240" s="981"/>
    </row>
    <row r="1241" spans="1:24" ht="33" customHeight="1" x14ac:dyDescent="0.25">
      <c r="A1241" s="1481" t="s">
        <v>3320</v>
      </c>
      <c r="B1241" s="1479" t="s">
        <v>319</v>
      </c>
      <c r="C1241" s="1477" t="s">
        <v>3528</v>
      </c>
      <c r="D1241" s="953" t="s">
        <v>194</v>
      </c>
      <c r="E1241" s="1307" t="s">
        <v>73</v>
      </c>
      <c r="F1241" s="1307" t="s">
        <v>553</v>
      </c>
      <c r="G1241" s="1307" t="s">
        <v>1766</v>
      </c>
      <c r="H1241" s="980">
        <f>-287489+287489</f>
        <v>0</v>
      </c>
      <c r="I1241" s="980"/>
      <c r="J1241" s="980"/>
      <c r="K1241" s="980"/>
      <c r="L1241" s="980"/>
      <c r="M1241" s="980"/>
      <c r="N1241" s="980"/>
      <c r="O1241" s="980"/>
      <c r="P1241" s="981"/>
      <c r="Q1241" s="1449"/>
      <c r="R1241" s="980"/>
      <c r="S1241" s="980"/>
      <c r="T1241" s="980"/>
      <c r="U1241" s="980"/>
      <c r="V1241" s="980"/>
      <c r="W1241" s="980"/>
      <c r="X1241" s="981"/>
    </row>
    <row r="1242" spans="1:24" ht="33" customHeight="1" x14ac:dyDescent="0.25">
      <c r="A1242" s="1481" t="s">
        <v>3322</v>
      </c>
      <c r="B1242" s="1479" t="s">
        <v>320</v>
      </c>
      <c r="C1242" s="1477" t="s">
        <v>3531</v>
      </c>
      <c r="D1242" s="953" t="s">
        <v>199</v>
      </c>
      <c r="E1242" s="1307" t="s">
        <v>844</v>
      </c>
      <c r="F1242" s="1307" t="s">
        <v>3014</v>
      </c>
      <c r="G1242" s="1307" t="s">
        <v>1766</v>
      </c>
      <c r="H1242" s="980"/>
      <c r="I1242" s="980"/>
      <c r="J1242" s="980"/>
      <c r="K1242" s="980"/>
      <c r="L1242" s="980"/>
      <c r="M1242" s="980">
        <f>-1586000+1586000</f>
        <v>0</v>
      </c>
      <c r="N1242" s="980"/>
      <c r="O1242" s="980"/>
      <c r="P1242" s="981"/>
      <c r="Q1242" s="1449"/>
      <c r="R1242" s="980"/>
      <c r="S1242" s="980"/>
      <c r="T1242" s="980"/>
      <c r="U1242" s="980"/>
      <c r="V1242" s="980"/>
      <c r="W1242" s="980"/>
      <c r="X1242" s="981"/>
    </row>
    <row r="1243" spans="1:24" ht="20.25" customHeight="1" x14ac:dyDescent="0.25">
      <c r="A1243" s="1989" t="s">
        <v>3324</v>
      </c>
      <c r="B1243" s="1987" t="s">
        <v>321</v>
      </c>
      <c r="C1243" s="1985" t="s">
        <v>3532</v>
      </c>
      <c r="D1243" s="953" t="s">
        <v>204</v>
      </c>
      <c r="E1243" s="1307" t="s">
        <v>1753</v>
      </c>
      <c r="F1243" s="1307" t="s">
        <v>1784</v>
      </c>
      <c r="G1243" s="1307" t="s">
        <v>1754</v>
      </c>
      <c r="H1243" s="980"/>
      <c r="I1243" s="980"/>
      <c r="J1243" s="980"/>
      <c r="K1243" s="980"/>
      <c r="L1243" s="980"/>
      <c r="M1243" s="980"/>
      <c r="N1243" s="980"/>
      <c r="O1243" s="980"/>
      <c r="P1243" s="981"/>
      <c r="Q1243" s="1449">
        <v>804000</v>
      </c>
      <c r="R1243" s="980"/>
      <c r="S1243" s="980"/>
      <c r="T1243" s="980"/>
      <c r="U1243" s="980"/>
      <c r="V1243" s="980"/>
      <c r="W1243" s="980"/>
      <c r="X1243" s="981"/>
    </row>
    <row r="1244" spans="1:24" ht="20.25" customHeight="1" x14ac:dyDescent="0.25">
      <c r="A1244" s="1990"/>
      <c r="B1244" s="1988"/>
      <c r="C1244" s="1986"/>
      <c r="D1244" s="953" t="s">
        <v>201</v>
      </c>
      <c r="E1244" s="1307" t="s">
        <v>73</v>
      </c>
      <c r="F1244" s="1307" t="s">
        <v>1785</v>
      </c>
      <c r="G1244" s="1307" t="s">
        <v>1754</v>
      </c>
      <c r="H1244" s="980"/>
      <c r="I1244" s="980"/>
      <c r="J1244" s="980"/>
      <c r="K1244" s="980"/>
      <c r="L1244" s="980">
        <v>804000</v>
      </c>
      <c r="M1244" s="980"/>
      <c r="N1244" s="980"/>
      <c r="O1244" s="980"/>
      <c r="P1244" s="981"/>
      <c r="Q1244" s="1449"/>
      <c r="R1244" s="980"/>
      <c r="S1244" s="980"/>
      <c r="T1244" s="980"/>
      <c r="U1244" s="980"/>
      <c r="V1244" s="980"/>
      <c r="W1244" s="980"/>
      <c r="X1244" s="981"/>
    </row>
    <row r="1245" spans="1:24" ht="20.25" customHeight="1" x14ac:dyDescent="0.25">
      <c r="A1245" s="1989" t="s">
        <v>3326</v>
      </c>
      <c r="B1245" s="1987" t="s">
        <v>322</v>
      </c>
      <c r="C1245" s="1985" t="s">
        <v>3533</v>
      </c>
      <c r="D1245" s="953" t="s">
        <v>194</v>
      </c>
      <c r="E1245" s="1307" t="s">
        <v>130</v>
      </c>
      <c r="F1245" s="1307" t="s">
        <v>153</v>
      </c>
      <c r="G1245" s="1307" t="s">
        <v>1754</v>
      </c>
      <c r="H1245" s="980"/>
      <c r="I1245" s="980"/>
      <c r="J1245" s="980"/>
      <c r="K1245" s="980"/>
      <c r="L1245" s="980"/>
      <c r="M1245" s="980"/>
      <c r="N1245" s="980"/>
      <c r="O1245" s="980"/>
      <c r="P1245" s="981"/>
      <c r="Q1245" s="1449"/>
      <c r="R1245" s="980"/>
      <c r="S1245" s="980"/>
      <c r="T1245" s="980">
        <v>9090</v>
      </c>
      <c r="U1245" s="980"/>
      <c r="V1245" s="980"/>
      <c r="W1245" s="980"/>
      <c r="X1245" s="981"/>
    </row>
    <row r="1246" spans="1:24" ht="20.25" customHeight="1" x14ac:dyDescent="0.25">
      <c r="A1246" s="1990"/>
      <c r="B1246" s="1988"/>
      <c r="C1246" s="1986"/>
      <c r="D1246" s="953" t="s">
        <v>201</v>
      </c>
      <c r="E1246" s="1307" t="s">
        <v>73</v>
      </c>
      <c r="F1246" s="1307" t="s">
        <v>1785</v>
      </c>
      <c r="G1246" s="1307" t="s">
        <v>1754</v>
      </c>
      <c r="H1246" s="980"/>
      <c r="I1246" s="980"/>
      <c r="J1246" s="980"/>
      <c r="K1246" s="980"/>
      <c r="L1246" s="980">
        <v>9090</v>
      </c>
      <c r="M1246" s="980"/>
      <c r="N1246" s="980"/>
      <c r="O1246" s="980"/>
      <c r="P1246" s="981"/>
      <c r="Q1246" s="1449"/>
      <c r="R1246" s="980"/>
      <c r="S1246" s="980"/>
      <c r="T1246" s="980"/>
      <c r="U1246" s="980"/>
      <c r="V1246" s="980"/>
      <c r="W1246" s="980"/>
      <c r="X1246" s="981"/>
    </row>
    <row r="1247" spans="1:24" ht="24.75" customHeight="1" x14ac:dyDescent="0.25">
      <c r="A1247" s="1989" t="s">
        <v>3328</v>
      </c>
      <c r="B1247" s="1987" t="s">
        <v>323</v>
      </c>
      <c r="C1247" s="1985" t="s">
        <v>3541</v>
      </c>
      <c r="D1247" s="953" t="s">
        <v>197</v>
      </c>
      <c r="E1247" s="1307" t="s">
        <v>1974</v>
      </c>
      <c r="F1247" s="1307" t="s">
        <v>3331</v>
      </c>
      <c r="G1247" s="1307" t="s">
        <v>1752</v>
      </c>
      <c r="H1247" s="980"/>
      <c r="I1247" s="980"/>
      <c r="J1247" s="980"/>
      <c r="K1247" s="980"/>
      <c r="L1247" s="980"/>
      <c r="M1247" s="980"/>
      <c r="N1247" s="980"/>
      <c r="O1247" s="980">
        <v>-12006</v>
      </c>
      <c r="P1247" s="981"/>
      <c r="Q1247" s="1449"/>
      <c r="R1247" s="980"/>
      <c r="S1247" s="980"/>
      <c r="T1247" s="980"/>
      <c r="U1247" s="980"/>
      <c r="V1247" s="980"/>
      <c r="W1247" s="980"/>
      <c r="X1247" s="981"/>
    </row>
    <row r="1248" spans="1:24" ht="24.75" customHeight="1" x14ac:dyDescent="0.25">
      <c r="A1248" s="1990"/>
      <c r="B1248" s="1988"/>
      <c r="C1248" s="1986"/>
      <c r="D1248" s="953" t="s">
        <v>198</v>
      </c>
      <c r="E1248" s="1307" t="s">
        <v>1974</v>
      </c>
      <c r="F1248" s="1307" t="s">
        <v>3331</v>
      </c>
      <c r="G1248" s="1307" t="s">
        <v>1754</v>
      </c>
      <c r="H1248" s="980"/>
      <c r="I1248" s="980"/>
      <c r="J1248" s="980"/>
      <c r="K1248" s="980"/>
      <c r="L1248" s="980">
        <v>12006</v>
      </c>
      <c r="M1248" s="980"/>
      <c r="N1248" s="980"/>
      <c r="O1248" s="980"/>
      <c r="P1248" s="981"/>
      <c r="Q1248" s="1449"/>
      <c r="R1248" s="980"/>
      <c r="S1248" s="980"/>
      <c r="T1248" s="980"/>
      <c r="U1248" s="980"/>
      <c r="V1248" s="980"/>
      <c r="W1248" s="980"/>
      <c r="X1248" s="981"/>
    </row>
    <row r="1249" spans="1:24" ht="26.25" customHeight="1" x14ac:dyDescent="0.25">
      <c r="A1249" s="1989" t="s">
        <v>3329</v>
      </c>
      <c r="B1249" s="1991" t="s">
        <v>324</v>
      </c>
      <c r="C1249" s="1985" t="s">
        <v>3542</v>
      </c>
      <c r="D1249" s="953" t="s">
        <v>199</v>
      </c>
      <c r="E1249" s="1307" t="s">
        <v>129</v>
      </c>
      <c r="F1249" s="1307" t="s">
        <v>151</v>
      </c>
      <c r="G1249" s="1307" t="s">
        <v>1752</v>
      </c>
      <c r="H1249" s="980"/>
      <c r="I1249" s="980"/>
      <c r="J1249" s="980"/>
      <c r="K1249" s="980"/>
      <c r="L1249" s="980"/>
      <c r="M1249" s="980">
        <v>-23622047</v>
      </c>
      <c r="N1249" s="980"/>
      <c r="O1249" s="980"/>
      <c r="P1249" s="981"/>
      <c r="Q1249" s="1449"/>
      <c r="R1249" s="980"/>
      <c r="S1249" s="980"/>
      <c r="T1249" s="980"/>
      <c r="U1249" s="980"/>
      <c r="V1249" s="980"/>
      <c r="W1249" s="980"/>
      <c r="X1249" s="981"/>
    </row>
    <row r="1250" spans="1:24" ht="26.25" customHeight="1" x14ac:dyDescent="0.25">
      <c r="A1250" s="1990"/>
      <c r="B1250" s="1992"/>
      <c r="C1250" s="1986"/>
      <c r="D1250" s="953" t="s">
        <v>199</v>
      </c>
      <c r="E1250" s="1307" t="s">
        <v>129</v>
      </c>
      <c r="F1250" s="1307" t="s">
        <v>128</v>
      </c>
      <c r="G1250" s="1307" t="s">
        <v>1754</v>
      </c>
      <c r="H1250" s="980"/>
      <c r="I1250" s="980"/>
      <c r="J1250" s="980"/>
      <c r="K1250" s="980"/>
      <c r="L1250" s="980"/>
      <c r="M1250" s="980">
        <v>23622047</v>
      </c>
      <c r="N1250" s="980"/>
      <c r="O1250" s="980"/>
      <c r="P1250" s="981"/>
      <c r="Q1250" s="1449"/>
      <c r="R1250" s="980"/>
      <c r="S1250" s="980"/>
      <c r="T1250" s="980"/>
      <c r="U1250" s="980"/>
      <c r="V1250" s="980"/>
      <c r="W1250" s="980"/>
      <c r="X1250" s="981"/>
    </row>
    <row r="1251" spans="1:24" x14ac:dyDescent="0.25">
      <c r="A1251" s="1488"/>
      <c r="B1251" s="1486"/>
      <c r="C1251" s="1259"/>
      <c r="D1251" s="953"/>
      <c r="E1251" s="1307"/>
      <c r="F1251" s="1307"/>
      <c r="G1251" s="1307"/>
      <c r="H1251" s="980"/>
      <c r="I1251" s="980"/>
      <c r="J1251" s="980"/>
      <c r="K1251" s="980"/>
      <c r="L1251" s="980"/>
      <c r="M1251" s="980"/>
      <c r="N1251" s="980"/>
      <c r="O1251" s="980"/>
      <c r="P1251" s="981"/>
      <c r="Q1251" s="1449"/>
      <c r="R1251" s="980"/>
      <c r="S1251" s="980"/>
      <c r="T1251" s="980"/>
      <c r="U1251" s="980"/>
      <c r="V1251" s="980"/>
      <c r="W1251" s="980"/>
      <c r="X1251" s="981"/>
    </row>
    <row r="1252" spans="1:24" ht="18.75" x14ac:dyDescent="0.3">
      <c r="A1252" s="2002" t="s">
        <v>1663</v>
      </c>
      <c r="B1252" s="2003"/>
      <c r="C1252" s="2004"/>
      <c r="D1252" s="956"/>
      <c r="E1252" s="956"/>
      <c r="F1252" s="956"/>
      <c r="G1252" s="956"/>
      <c r="H1252" s="1595">
        <f t="shared" ref="H1252:X1252" si="3">SUM(H845:H1251)+H827</f>
        <v>49913431</v>
      </c>
      <c r="I1252" s="1595">
        <f t="shared" si="3"/>
        <v>6172372</v>
      </c>
      <c r="J1252" s="1595">
        <f t="shared" si="3"/>
        <v>548958856</v>
      </c>
      <c r="K1252" s="1595">
        <f t="shared" si="3"/>
        <v>3819430</v>
      </c>
      <c r="L1252" s="1595">
        <f t="shared" si="3"/>
        <v>1028120392</v>
      </c>
      <c r="M1252" s="1595">
        <f t="shared" si="3"/>
        <v>190197377</v>
      </c>
      <c r="N1252" s="1595">
        <f t="shared" si="3"/>
        <v>-52478809</v>
      </c>
      <c r="O1252" s="1595">
        <f t="shared" si="3"/>
        <v>4951261</v>
      </c>
      <c r="P1252" s="1596">
        <f t="shared" si="3"/>
        <v>504024765</v>
      </c>
      <c r="Q1252" s="1597">
        <f t="shared" si="3"/>
        <v>819653219</v>
      </c>
      <c r="R1252" s="1595">
        <f t="shared" si="3"/>
        <v>54255209</v>
      </c>
      <c r="S1252" s="1595">
        <f t="shared" si="3"/>
        <v>850035322</v>
      </c>
      <c r="T1252" s="1595">
        <f t="shared" si="3"/>
        <v>59594744</v>
      </c>
      <c r="U1252" s="1595">
        <f t="shared" si="3"/>
        <v>21784594</v>
      </c>
      <c r="V1252" s="1595">
        <f t="shared" si="3"/>
        <v>0</v>
      </c>
      <c r="W1252" s="1595">
        <f t="shared" si="3"/>
        <v>990750</v>
      </c>
      <c r="X1252" s="1596">
        <f t="shared" si="3"/>
        <v>477365237</v>
      </c>
    </row>
    <row r="1253" spans="1:24" ht="18" customHeight="1" x14ac:dyDescent="0.25">
      <c r="H1253" s="959">
        <f>'1.b sz. Önkormányzat 2022.'!CG8-'1.b sz. Önkormányzat 2022.'!CF8</f>
        <v>49913431</v>
      </c>
      <c r="I1253" s="959">
        <f>'1.b sz. Önkormányzat 2022.'!CG9-'1.b sz. Önkormányzat 2022.'!CF9</f>
        <v>6172372</v>
      </c>
      <c r="J1253" s="959">
        <f>'1.b sz. Önkormányzat 2022.'!CG10-'1.b sz. Önkormányzat 2022.'!CF10</f>
        <v>548958856</v>
      </c>
      <c r="K1253" s="959">
        <f>'1.b sz. Önkormányzat 2022.'!CG11-'1.b sz. Önkormányzat 2022.'!CF11</f>
        <v>3819430</v>
      </c>
      <c r="L1253" s="959">
        <f>'1.b sz. Önkormányzat 2022.'!CG12-'1.b sz. Önkormányzat 2022.'!CF12</f>
        <v>1028120392</v>
      </c>
      <c r="M1253" s="959">
        <f>'1.b sz. Önkormányzat 2022.'!CG16-'1.b sz. Önkormányzat 2022.'!CF16</f>
        <v>190197377</v>
      </c>
      <c r="N1253" s="959">
        <f>'1.b sz. Önkormányzat 2022.'!CG17-'1.b sz. Önkormányzat 2022.'!CF17</f>
        <v>-52478809</v>
      </c>
      <c r="O1253" s="959">
        <f>'1.b sz. Önkormányzat 2022.'!CG18-'1.b sz. Önkormányzat 2022.'!CF18</f>
        <v>4951261</v>
      </c>
      <c r="P1253" s="959">
        <f>'1.b sz. Önkormányzat 2022.'!CG21-'1.b sz. Önkormányzat 2022.'!CF21</f>
        <v>504024765</v>
      </c>
      <c r="Q1253" s="959">
        <f>'1.b sz. Önkormányzat 2022.'!CG30-'1.b sz. Önkormányzat 2022.'!CF30</f>
        <v>819653219</v>
      </c>
      <c r="R1253" s="959">
        <f>'1.b sz. Önkormányzat 2022.'!CG31-'1.b sz. Önkormányzat 2022.'!CF31</f>
        <v>54255209</v>
      </c>
      <c r="S1253" s="959">
        <f>'1.b sz. Önkormányzat 2022.'!CG32-'1.b sz. Önkormányzat 2022.'!CF32</f>
        <v>850035322</v>
      </c>
      <c r="T1253" s="959">
        <f>'1.b sz. Önkormányzat 2022.'!CG33-'1.b sz. Önkormányzat 2022.'!CF33</f>
        <v>59594744</v>
      </c>
      <c r="U1253" s="959">
        <f>'1.b sz. Önkormányzat 2022.'!CG34-'1.b sz. Önkormányzat 2022.'!CF34</f>
        <v>21784594</v>
      </c>
      <c r="V1253" s="959">
        <f>'1.b sz. Önkormányzat 2022.'!CG35-'1.b sz. Önkormányzat 2022.'!CF35</f>
        <v>0</v>
      </c>
      <c r="W1253" s="959">
        <f>'1.b sz. Önkormányzat 2022.'!CG36-'1.b sz. Önkormányzat 2022.'!CF36</f>
        <v>990750</v>
      </c>
      <c r="X1253" s="959">
        <f>'1.b sz. Önkormányzat 2022.'!CG38-'1.b sz. Önkormányzat 2022.'!CF38</f>
        <v>477365237</v>
      </c>
    </row>
    <row r="1254" spans="1:24" ht="20.25" customHeight="1" x14ac:dyDescent="0.25">
      <c r="H1254" s="959">
        <f t="shared" ref="H1254:X1254" si="4">+H1253-H1252</f>
        <v>0</v>
      </c>
      <c r="I1254" s="959">
        <f t="shared" si="4"/>
        <v>0</v>
      </c>
      <c r="J1254" s="959">
        <f t="shared" si="4"/>
        <v>0</v>
      </c>
      <c r="K1254" s="959">
        <f t="shared" si="4"/>
        <v>0</v>
      </c>
      <c r="L1254" s="959">
        <f t="shared" si="4"/>
        <v>0</v>
      </c>
      <c r="M1254" s="959">
        <f t="shared" si="4"/>
        <v>0</v>
      </c>
      <c r="N1254" s="959">
        <f t="shared" si="4"/>
        <v>0</v>
      </c>
      <c r="O1254" s="959">
        <f t="shared" si="4"/>
        <v>0</v>
      </c>
      <c r="P1254" s="959">
        <f t="shared" si="4"/>
        <v>0</v>
      </c>
      <c r="Q1254" s="959">
        <f t="shared" si="4"/>
        <v>0</v>
      </c>
      <c r="R1254" s="959">
        <f t="shared" si="4"/>
        <v>0</v>
      </c>
      <c r="S1254" s="959">
        <f t="shared" si="4"/>
        <v>0</v>
      </c>
      <c r="T1254" s="959">
        <f t="shared" si="4"/>
        <v>0</v>
      </c>
      <c r="U1254" s="959">
        <f t="shared" si="4"/>
        <v>0</v>
      </c>
      <c r="V1254" s="959">
        <f t="shared" si="4"/>
        <v>0</v>
      </c>
      <c r="W1254" s="959">
        <f t="shared" si="4"/>
        <v>0</v>
      </c>
      <c r="X1254" s="959">
        <f t="shared" si="4"/>
        <v>0</v>
      </c>
    </row>
    <row r="1255" spans="1:24" x14ac:dyDescent="0.25">
      <c r="Q1255" s="937"/>
    </row>
    <row r="1256" spans="1:24" x14ac:dyDescent="0.25">
      <c r="Q1256" s="937"/>
    </row>
    <row r="1257" spans="1:24" ht="21" customHeight="1" x14ac:dyDescent="0.25">
      <c r="I1257" s="2001" t="s">
        <v>1664</v>
      </c>
      <c r="J1257" s="2001"/>
      <c r="K1257" s="2001"/>
      <c r="L1257" s="2001">
        <v>10339703921</v>
      </c>
      <c r="M1257" s="2001"/>
      <c r="N1257" s="966"/>
      <c r="O1257" s="966"/>
      <c r="P1257" s="966"/>
      <c r="Q1257" s="966"/>
      <c r="R1257" s="2001" t="s">
        <v>1665</v>
      </c>
      <c r="S1257" s="2001"/>
      <c r="T1257" s="2001"/>
      <c r="U1257" s="2001">
        <v>10339703921</v>
      </c>
      <c r="V1257" s="2001"/>
    </row>
    <row r="1258" spans="1:24" ht="20.25" customHeight="1" x14ac:dyDescent="0.25">
      <c r="I1258" s="2001" t="s">
        <v>1666</v>
      </c>
      <c r="J1258" s="2001"/>
      <c r="K1258" s="2001"/>
      <c r="L1258" s="2001">
        <f>SUM(H1252:P1252)</f>
        <v>2283679075</v>
      </c>
      <c r="M1258" s="2001"/>
      <c r="N1258" s="966"/>
      <c r="O1258" s="966"/>
      <c r="P1258" s="966"/>
      <c r="Q1258" s="966"/>
      <c r="R1258" s="2001" t="s">
        <v>1666</v>
      </c>
      <c r="S1258" s="2001"/>
      <c r="T1258" s="2001"/>
      <c r="U1258" s="2001">
        <f>SUM(Q1252:X1252)</f>
        <v>2283679075</v>
      </c>
      <c r="V1258" s="2001"/>
    </row>
    <row r="1259" spans="1:24" ht="18.75" customHeight="1" x14ac:dyDescent="0.25">
      <c r="I1259" s="2001" t="s">
        <v>1512</v>
      </c>
      <c r="J1259" s="2001"/>
      <c r="K1259" s="2001"/>
      <c r="L1259" s="2001">
        <f>+L1257+L1258</f>
        <v>12623382996</v>
      </c>
      <c r="M1259" s="2001"/>
      <c r="N1259" s="966"/>
      <c r="O1259" s="966"/>
      <c r="P1259" s="966"/>
      <c r="Q1259" s="966"/>
      <c r="R1259" s="2001" t="s">
        <v>1512</v>
      </c>
      <c r="S1259" s="2001"/>
      <c r="T1259" s="2001"/>
      <c r="U1259" s="2001">
        <f>+U1257+U1258</f>
        <v>12623382996</v>
      </c>
      <c r="V1259" s="2001"/>
    </row>
    <row r="1260" spans="1:24" x14ac:dyDescent="0.25">
      <c r="Q1260" s="937"/>
    </row>
    <row r="1261" spans="1:24" x14ac:dyDescent="0.25">
      <c r="Q1261" s="937"/>
    </row>
    <row r="1262" spans="1:24" x14ac:dyDescent="0.25">
      <c r="Q1262" s="937"/>
    </row>
    <row r="1263" spans="1:24" x14ac:dyDescent="0.25">
      <c r="Q1263" s="937"/>
    </row>
    <row r="1264" spans="1:24" x14ac:dyDescent="0.25">
      <c r="Q1264" s="937"/>
    </row>
    <row r="1265" spans="17:17" x14ac:dyDescent="0.25">
      <c r="Q1265" s="937"/>
    </row>
    <row r="1266" spans="17:17" x14ac:dyDescent="0.25">
      <c r="Q1266" s="937"/>
    </row>
    <row r="1267" spans="17:17" x14ac:dyDescent="0.25">
      <c r="Q1267" s="937"/>
    </row>
    <row r="1268" spans="17:17" x14ac:dyDescent="0.25">
      <c r="Q1268" s="937"/>
    </row>
    <row r="1269" spans="17:17" x14ac:dyDescent="0.25">
      <c r="Q1269" s="937"/>
    </row>
    <row r="1270" spans="17:17" x14ac:dyDescent="0.25">
      <c r="Q1270" s="937"/>
    </row>
    <row r="1271" spans="17:17" x14ac:dyDescent="0.25">
      <c r="Q1271" s="937"/>
    </row>
    <row r="1272" spans="17:17" x14ac:dyDescent="0.25">
      <c r="Q1272" s="937"/>
    </row>
    <row r="1273" spans="17:17" x14ac:dyDescent="0.25">
      <c r="Q1273" s="937"/>
    </row>
  </sheetData>
  <mergeCells count="1490">
    <mergeCell ref="C1249:C1250"/>
    <mergeCell ref="B1249:B1250"/>
    <mergeCell ref="A1249:A1250"/>
    <mergeCell ref="C1247:C1248"/>
    <mergeCell ref="B1247:B1248"/>
    <mergeCell ref="A1247:A1248"/>
    <mergeCell ref="C1245:C1246"/>
    <mergeCell ref="B1245:B1246"/>
    <mergeCell ref="A1245:A1246"/>
    <mergeCell ref="C1220:C1221"/>
    <mergeCell ref="B1220:B1221"/>
    <mergeCell ref="A1220:A1221"/>
    <mergeCell ref="C1222:C1223"/>
    <mergeCell ref="B1222:B1223"/>
    <mergeCell ref="A1222:A1223"/>
    <mergeCell ref="C1118:C1119"/>
    <mergeCell ref="B1118:B1119"/>
    <mergeCell ref="A1118:A1119"/>
    <mergeCell ref="C1120:C1124"/>
    <mergeCell ref="B1120:B1124"/>
    <mergeCell ref="A1120:A1124"/>
    <mergeCell ref="C1125:C1126"/>
    <mergeCell ref="B1125:B1126"/>
    <mergeCell ref="A1125:A1126"/>
    <mergeCell ref="C1127:C1131"/>
    <mergeCell ref="B1127:B1131"/>
    <mergeCell ref="A1127:A1131"/>
    <mergeCell ref="C1132:C1133"/>
    <mergeCell ref="B1132:B1133"/>
    <mergeCell ref="A1132:A1133"/>
    <mergeCell ref="C1134:C1137"/>
    <mergeCell ref="B1134:B1137"/>
    <mergeCell ref="C1150:C1151"/>
    <mergeCell ref="B1150:B1151"/>
    <mergeCell ref="C1174:C1175"/>
    <mergeCell ref="B1174:B1175"/>
    <mergeCell ref="A1174:A1175"/>
    <mergeCell ref="C1163:C1164"/>
    <mergeCell ref="B1163:B1164"/>
    <mergeCell ref="A1163:A1164"/>
    <mergeCell ref="C1165:C1166"/>
    <mergeCell ref="B1165:B1166"/>
    <mergeCell ref="A1165:A1166"/>
    <mergeCell ref="C1167:C1168"/>
    <mergeCell ref="B1167:B1168"/>
    <mergeCell ref="A1167:A1168"/>
    <mergeCell ref="C1138:C1139"/>
    <mergeCell ref="B1138:B1139"/>
    <mergeCell ref="A1138:A1139"/>
    <mergeCell ref="B1145:B1146"/>
    <mergeCell ref="B1077:B1078"/>
    <mergeCell ref="A1134:A1137"/>
    <mergeCell ref="C1104:C1105"/>
    <mergeCell ref="B1104:B1105"/>
    <mergeCell ref="A1104:A1105"/>
    <mergeCell ref="A1077:A1078"/>
    <mergeCell ref="C1079:C1082"/>
    <mergeCell ref="B1079:B1082"/>
    <mergeCell ref="A1079:A1082"/>
    <mergeCell ref="A1152:A1154"/>
    <mergeCell ref="C1106:C1107"/>
    <mergeCell ref="B1106:B1107"/>
    <mergeCell ref="A1106:A1107"/>
    <mergeCell ref="C1108:C1109"/>
    <mergeCell ref="B1108:B1109"/>
    <mergeCell ref="A1108:A1109"/>
    <mergeCell ref="C1110:C1111"/>
    <mergeCell ref="B1110:B1111"/>
    <mergeCell ref="A1110:A1111"/>
    <mergeCell ref="C1112:C1113"/>
    <mergeCell ref="B1112:B1113"/>
    <mergeCell ref="A1112:A1113"/>
    <mergeCell ref="C1114:C1115"/>
    <mergeCell ref="B1114:B1115"/>
    <mergeCell ref="A1114:A1115"/>
    <mergeCell ref="C1116:C1117"/>
    <mergeCell ref="B1116:B1117"/>
    <mergeCell ref="A1116:A1117"/>
    <mergeCell ref="A1145:A1146"/>
    <mergeCell ref="C1147:C1148"/>
    <mergeCell ref="B1147:B1148"/>
    <mergeCell ref="A1147:A1148"/>
    <mergeCell ref="B1036:B1037"/>
    <mergeCell ref="B1061:B1063"/>
    <mergeCell ref="A1061:A1063"/>
    <mergeCell ref="C1039:C1040"/>
    <mergeCell ref="B1039:B1040"/>
    <mergeCell ref="A1039:A1040"/>
    <mergeCell ref="C1041:C1042"/>
    <mergeCell ref="B1041:B1042"/>
    <mergeCell ref="A1041:A1042"/>
    <mergeCell ref="C1043:C1044"/>
    <mergeCell ref="B1043:B1044"/>
    <mergeCell ref="A1043:A1044"/>
    <mergeCell ref="C1045:C1046"/>
    <mergeCell ref="B1045:B1046"/>
    <mergeCell ref="A1045:A1046"/>
    <mergeCell ref="C1047:C1048"/>
    <mergeCell ref="B1047:B1048"/>
    <mergeCell ref="A1047:A1048"/>
    <mergeCell ref="C1049:C1050"/>
    <mergeCell ref="B1049:B1050"/>
    <mergeCell ref="C1059:C1060"/>
    <mergeCell ref="B1059:B1060"/>
    <mergeCell ref="A1049:A1050"/>
    <mergeCell ref="A879:A880"/>
    <mergeCell ref="B881:B884"/>
    <mergeCell ref="A881:A884"/>
    <mergeCell ref="B908:B909"/>
    <mergeCell ref="A908:A909"/>
    <mergeCell ref="C906:C907"/>
    <mergeCell ref="B906:B907"/>
    <mergeCell ref="C879:C880"/>
    <mergeCell ref="B879:B880"/>
    <mergeCell ref="C890:C891"/>
    <mergeCell ref="C1018:C1019"/>
    <mergeCell ref="B1018:B1019"/>
    <mergeCell ref="A1018:A1019"/>
    <mergeCell ref="C1021:C1022"/>
    <mergeCell ref="B1021:B1022"/>
    <mergeCell ref="A1021:A1022"/>
    <mergeCell ref="C1023:C1024"/>
    <mergeCell ref="B1023:B1024"/>
    <mergeCell ref="A1023:A1024"/>
    <mergeCell ref="C1008:C1009"/>
    <mergeCell ref="B1008:B1009"/>
    <mergeCell ref="A1008:A1009"/>
    <mergeCell ref="B1002:B1003"/>
    <mergeCell ref="A1002:A1003"/>
    <mergeCell ref="C1004:C1005"/>
    <mergeCell ref="B1004:B1005"/>
    <mergeCell ref="B973:B974"/>
    <mergeCell ref="A973:A974"/>
    <mergeCell ref="C975:C976"/>
    <mergeCell ref="C998:C999"/>
    <mergeCell ref="B998:B999"/>
    <mergeCell ref="A998:A999"/>
    <mergeCell ref="C762:C763"/>
    <mergeCell ref="B762:B763"/>
    <mergeCell ref="A762:A763"/>
    <mergeCell ref="C764:C765"/>
    <mergeCell ref="C800:C801"/>
    <mergeCell ref="C774:C775"/>
    <mergeCell ref="B774:B775"/>
    <mergeCell ref="A774:A775"/>
    <mergeCell ref="A796:A797"/>
    <mergeCell ref="C815:C816"/>
    <mergeCell ref="B815:B816"/>
    <mergeCell ref="A815:A816"/>
    <mergeCell ref="C818:C819"/>
    <mergeCell ref="B818:B819"/>
    <mergeCell ref="A818:A819"/>
    <mergeCell ref="C820:C821"/>
    <mergeCell ref="B820:B821"/>
    <mergeCell ref="B800:B801"/>
    <mergeCell ref="A800:A801"/>
    <mergeCell ref="C786:C787"/>
    <mergeCell ref="B796:B797"/>
    <mergeCell ref="C782:C783"/>
    <mergeCell ref="B782:B783"/>
    <mergeCell ref="A782:A783"/>
    <mergeCell ref="C784:C785"/>
    <mergeCell ref="B784:B785"/>
    <mergeCell ref="A784:A785"/>
    <mergeCell ref="C779:C780"/>
    <mergeCell ref="B779:B780"/>
    <mergeCell ref="C751:C752"/>
    <mergeCell ref="B751:B752"/>
    <mergeCell ref="A751:A752"/>
    <mergeCell ref="C755:C756"/>
    <mergeCell ref="B755:B756"/>
    <mergeCell ref="A755:A756"/>
    <mergeCell ref="A753:A754"/>
    <mergeCell ref="B729:B730"/>
    <mergeCell ref="A729:A730"/>
    <mergeCell ref="C731:C732"/>
    <mergeCell ref="B731:B732"/>
    <mergeCell ref="C721:C722"/>
    <mergeCell ref="B721:B722"/>
    <mergeCell ref="A721:A722"/>
    <mergeCell ref="C768:C769"/>
    <mergeCell ref="B768:B769"/>
    <mergeCell ref="A779:A780"/>
    <mergeCell ref="B764:B765"/>
    <mergeCell ref="A764:A765"/>
    <mergeCell ref="C776:C777"/>
    <mergeCell ref="B776:B777"/>
    <mergeCell ref="A776:A777"/>
    <mergeCell ref="A768:A769"/>
    <mergeCell ref="C770:C771"/>
    <mergeCell ref="B770:B771"/>
    <mergeCell ref="A770:A771"/>
    <mergeCell ref="C766:C767"/>
    <mergeCell ref="B766:B767"/>
    <mergeCell ref="A766:A767"/>
    <mergeCell ref="C760:C761"/>
    <mergeCell ref="B760:B761"/>
    <mergeCell ref="A760:A761"/>
    <mergeCell ref="L834:M834"/>
    <mergeCell ref="R834:T834"/>
    <mergeCell ref="U834:V834"/>
    <mergeCell ref="C665:C666"/>
    <mergeCell ref="A827:C827"/>
    <mergeCell ref="I832:K832"/>
    <mergeCell ref="L832:M832"/>
    <mergeCell ref="C668:C669"/>
    <mergeCell ref="B668:B669"/>
    <mergeCell ref="A668:A669"/>
    <mergeCell ref="C673:C677"/>
    <mergeCell ref="B673:B677"/>
    <mergeCell ref="A673:A677"/>
    <mergeCell ref="C678:C679"/>
    <mergeCell ref="B678:B679"/>
    <mergeCell ref="A678:A679"/>
    <mergeCell ref="C682:C683"/>
    <mergeCell ref="C698:C699"/>
    <mergeCell ref="A731:A732"/>
    <mergeCell ref="C741:C742"/>
    <mergeCell ref="B741:B742"/>
    <mergeCell ref="A741:A742"/>
    <mergeCell ref="C743:C744"/>
    <mergeCell ref="B743:B744"/>
    <mergeCell ref="A743:A744"/>
    <mergeCell ref="C745:C746"/>
    <mergeCell ref="B745:B746"/>
    <mergeCell ref="A745:A746"/>
    <mergeCell ref="B758:B759"/>
    <mergeCell ref="A758:A759"/>
    <mergeCell ref="C747:C748"/>
    <mergeCell ref="C723:C724"/>
    <mergeCell ref="F638:F639"/>
    <mergeCell ref="G638:G639"/>
    <mergeCell ref="H638:O638"/>
    <mergeCell ref="Q638:X638"/>
    <mergeCell ref="I833:K833"/>
    <mergeCell ref="L833:M833"/>
    <mergeCell ref="R833:T833"/>
    <mergeCell ref="U833:V833"/>
    <mergeCell ref="B747:B748"/>
    <mergeCell ref="A747:A748"/>
    <mergeCell ref="C749:C750"/>
    <mergeCell ref="B749:B750"/>
    <mergeCell ref="C709:C710"/>
    <mergeCell ref="B709:B710"/>
    <mergeCell ref="A709:A710"/>
    <mergeCell ref="C725:C726"/>
    <mergeCell ref="B725:B726"/>
    <mergeCell ref="A725:A726"/>
    <mergeCell ref="C733:C740"/>
    <mergeCell ref="B733:B740"/>
    <mergeCell ref="B723:B724"/>
    <mergeCell ref="A723:A724"/>
    <mergeCell ref="C714:C715"/>
    <mergeCell ref="B714:B715"/>
    <mergeCell ref="A714:A715"/>
    <mergeCell ref="C716:C717"/>
    <mergeCell ref="B716:B717"/>
    <mergeCell ref="A716:A717"/>
    <mergeCell ref="C718:C719"/>
    <mergeCell ref="B718:B719"/>
    <mergeCell ref="A718:A719"/>
    <mergeCell ref="A749:A750"/>
    <mergeCell ref="C700:C701"/>
    <mergeCell ref="B700:B701"/>
    <mergeCell ref="A700:A701"/>
    <mergeCell ref="C702:C703"/>
    <mergeCell ref="B702:B703"/>
    <mergeCell ref="A638:A639"/>
    <mergeCell ref="B638:B639"/>
    <mergeCell ref="C638:C639"/>
    <mergeCell ref="D638:D639"/>
    <mergeCell ref="E638:E639"/>
    <mergeCell ref="B682:B683"/>
    <mergeCell ref="C696:C697"/>
    <mergeCell ref="B696:B697"/>
    <mergeCell ref="A696:A697"/>
    <mergeCell ref="C690:C691"/>
    <mergeCell ref="B690:B691"/>
    <mergeCell ref="A690:A691"/>
    <mergeCell ref="C692:C693"/>
    <mergeCell ref="B688:B689"/>
    <mergeCell ref="A688:A689"/>
    <mergeCell ref="C640:C642"/>
    <mergeCell ref="B640:B642"/>
    <mergeCell ref="A640:A642"/>
    <mergeCell ref="C644:C645"/>
    <mergeCell ref="B644:B645"/>
    <mergeCell ref="A644:A645"/>
    <mergeCell ref="C647:C648"/>
    <mergeCell ref="A500:A501"/>
    <mergeCell ref="C591:C592"/>
    <mergeCell ref="B591:B592"/>
    <mergeCell ref="A591:A592"/>
    <mergeCell ref="C593:C594"/>
    <mergeCell ref="B593:B594"/>
    <mergeCell ref="A593:A594"/>
    <mergeCell ref="C595:C596"/>
    <mergeCell ref="B595:B596"/>
    <mergeCell ref="A595:A596"/>
    <mergeCell ref="C597:C598"/>
    <mergeCell ref="B597:B598"/>
    <mergeCell ref="A597:A598"/>
    <mergeCell ref="C601:C602"/>
    <mergeCell ref="B601:B602"/>
    <mergeCell ref="A601:A602"/>
    <mergeCell ref="C603:C605"/>
    <mergeCell ref="B603:B605"/>
    <mergeCell ref="A603:A605"/>
    <mergeCell ref="C531:C532"/>
    <mergeCell ref="B531:B532"/>
    <mergeCell ref="A531:A532"/>
    <mergeCell ref="C533:C534"/>
    <mergeCell ref="B533:B534"/>
    <mergeCell ref="A533:A534"/>
    <mergeCell ref="C535:C536"/>
    <mergeCell ref="B535:B536"/>
    <mergeCell ref="A535:A536"/>
    <mergeCell ref="C524:C525"/>
    <mergeCell ref="B524:B525"/>
    <mergeCell ref="A524:A525"/>
    <mergeCell ref="C526:C527"/>
    <mergeCell ref="C481:C482"/>
    <mergeCell ref="B481:B482"/>
    <mergeCell ref="A481:A482"/>
    <mergeCell ref="C483:C484"/>
    <mergeCell ref="B483:B484"/>
    <mergeCell ref="A483:A484"/>
    <mergeCell ref="C485:C486"/>
    <mergeCell ref="B485:B486"/>
    <mergeCell ref="A485:A486"/>
    <mergeCell ref="C516:C517"/>
    <mergeCell ref="B516:B517"/>
    <mergeCell ref="A516:A517"/>
    <mergeCell ref="C496:C497"/>
    <mergeCell ref="B496:B497"/>
    <mergeCell ref="A496:A497"/>
    <mergeCell ref="C489:C490"/>
    <mergeCell ref="B489:B490"/>
    <mergeCell ref="A489:A490"/>
    <mergeCell ref="C491:C493"/>
    <mergeCell ref="B491:B493"/>
    <mergeCell ref="A491:A493"/>
    <mergeCell ref="B494:B495"/>
    <mergeCell ref="A494:A495"/>
    <mergeCell ref="C494:C495"/>
    <mergeCell ref="C504:C505"/>
    <mergeCell ref="B504:B505"/>
    <mergeCell ref="A504:A505"/>
    <mergeCell ref="C498:C499"/>
    <mergeCell ref="B498:B499"/>
    <mergeCell ref="A498:A499"/>
    <mergeCell ref="C500:C501"/>
    <mergeCell ref="B500:B501"/>
    <mergeCell ref="B467:B468"/>
    <mergeCell ref="A467:A468"/>
    <mergeCell ref="C469:C470"/>
    <mergeCell ref="B469:B470"/>
    <mergeCell ref="A469:A470"/>
    <mergeCell ref="C471:C472"/>
    <mergeCell ref="B471:B472"/>
    <mergeCell ref="A471:A472"/>
    <mergeCell ref="C474:C476"/>
    <mergeCell ref="B474:B476"/>
    <mergeCell ref="A474:A476"/>
    <mergeCell ref="C477:C478"/>
    <mergeCell ref="B477:B478"/>
    <mergeCell ref="A477:A478"/>
    <mergeCell ref="C479:C480"/>
    <mergeCell ref="B479:B480"/>
    <mergeCell ref="A479:A480"/>
    <mergeCell ref="C429:C430"/>
    <mergeCell ref="B429:B430"/>
    <mergeCell ref="A429:A430"/>
    <mergeCell ref="C462:C463"/>
    <mergeCell ref="B462:B463"/>
    <mergeCell ref="A462:A463"/>
    <mergeCell ref="C454:C455"/>
    <mergeCell ref="B454:B455"/>
    <mergeCell ref="A454:A455"/>
    <mergeCell ref="C456:C457"/>
    <mergeCell ref="B456:B457"/>
    <mergeCell ref="A456:A457"/>
    <mergeCell ref="C458:C459"/>
    <mergeCell ref="B458:B459"/>
    <mergeCell ref="A458:A459"/>
    <mergeCell ref="C460:C461"/>
    <mergeCell ref="B460:B461"/>
    <mergeCell ref="A460:A461"/>
    <mergeCell ref="C450:C451"/>
    <mergeCell ref="B450:B451"/>
    <mergeCell ref="A450:A451"/>
    <mergeCell ref="C431:C432"/>
    <mergeCell ref="B431:B432"/>
    <mergeCell ref="A431:A432"/>
    <mergeCell ref="C433:C434"/>
    <mergeCell ref="B433:B434"/>
    <mergeCell ref="A433:A434"/>
    <mergeCell ref="C448:C449"/>
    <mergeCell ref="B448:B449"/>
    <mergeCell ref="A448:A449"/>
    <mergeCell ref="C437:C443"/>
    <mergeCell ref="B437:B443"/>
    <mergeCell ref="C416:C417"/>
    <mergeCell ref="B416:B417"/>
    <mergeCell ref="A416:A417"/>
    <mergeCell ref="C418:C419"/>
    <mergeCell ref="A418:A419"/>
    <mergeCell ref="B418:B419"/>
    <mergeCell ref="C420:C421"/>
    <mergeCell ref="B420:B421"/>
    <mergeCell ref="A420:A421"/>
    <mergeCell ref="C423:C424"/>
    <mergeCell ref="B423:B424"/>
    <mergeCell ref="A423:A424"/>
    <mergeCell ref="C425:C426"/>
    <mergeCell ref="B425:B426"/>
    <mergeCell ref="A425:A426"/>
    <mergeCell ref="C427:C428"/>
    <mergeCell ref="B427:B428"/>
    <mergeCell ref="A427:A428"/>
    <mergeCell ref="C404:C405"/>
    <mergeCell ref="B404:B405"/>
    <mergeCell ref="A404:A405"/>
    <mergeCell ref="C406:C407"/>
    <mergeCell ref="B406:B407"/>
    <mergeCell ref="A406:A407"/>
    <mergeCell ref="C408:C409"/>
    <mergeCell ref="B408:B409"/>
    <mergeCell ref="A408:A409"/>
    <mergeCell ref="C412:C413"/>
    <mergeCell ref="B412:B413"/>
    <mergeCell ref="A412:A413"/>
    <mergeCell ref="A378:A379"/>
    <mergeCell ref="C380:C381"/>
    <mergeCell ref="B380:B381"/>
    <mergeCell ref="A380:A381"/>
    <mergeCell ref="B371:B372"/>
    <mergeCell ref="A371:A372"/>
    <mergeCell ref="C382:C383"/>
    <mergeCell ref="B382:B383"/>
    <mergeCell ref="A382:A383"/>
    <mergeCell ref="C376:C377"/>
    <mergeCell ref="B376:B377"/>
    <mergeCell ref="A376:A377"/>
    <mergeCell ref="C378:C379"/>
    <mergeCell ref="B378:B379"/>
    <mergeCell ref="B387:B388"/>
    <mergeCell ref="A387:A388"/>
    <mergeCell ref="C305:C306"/>
    <mergeCell ref="B305:B306"/>
    <mergeCell ref="A305:A306"/>
    <mergeCell ref="C299:C300"/>
    <mergeCell ref="B299:B300"/>
    <mergeCell ref="A299:A300"/>
    <mergeCell ref="C301:C302"/>
    <mergeCell ref="B301:B302"/>
    <mergeCell ref="A301:A302"/>
    <mergeCell ref="C303:C304"/>
    <mergeCell ref="B303:B304"/>
    <mergeCell ref="A303:A304"/>
    <mergeCell ref="C355:C356"/>
    <mergeCell ref="B355:B356"/>
    <mergeCell ref="A355:A356"/>
    <mergeCell ref="C357:C358"/>
    <mergeCell ref="B357:B358"/>
    <mergeCell ref="A357:A358"/>
    <mergeCell ref="C313:C314"/>
    <mergeCell ref="B313:B314"/>
    <mergeCell ref="A313:A314"/>
    <mergeCell ref="C315:C316"/>
    <mergeCell ref="B315:B316"/>
    <mergeCell ref="A315:A316"/>
    <mergeCell ref="C317:C318"/>
    <mergeCell ref="B317:B318"/>
    <mergeCell ref="A317:A318"/>
    <mergeCell ref="C307:C308"/>
    <mergeCell ref="B307:B308"/>
    <mergeCell ref="A307:A308"/>
    <mergeCell ref="C309:C310"/>
    <mergeCell ref="B309:B310"/>
    <mergeCell ref="C276:C277"/>
    <mergeCell ref="B276:B277"/>
    <mergeCell ref="A276:A277"/>
    <mergeCell ref="C278:C279"/>
    <mergeCell ref="B278:B279"/>
    <mergeCell ref="A278:A279"/>
    <mergeCell ref="C280:C286"/>
    <mergeCell ref="B280:B286"/>
    <mergeCell ref="A280:A286"/>
    <mergeCell ref="C297:C298"/>
    <mergeCell ref="B297:B298"/>
    <mergeCell ref="A297:A298"/>
    <mergeCell ref="C287:C292"/>
    <mergeCell ref="B287:B292"/>
    <mergeCell ref="A287:A292"/>
    <mergeCell ref="C293:C294"/>
    <mergeCell ref="B293:B294"/>
    <mergeCell ref="A293:A294"/>
    <mergeCell ref="C295:C296"/>
    <mergeCell ref="B295:B296"/>
    <mergeCell ref="A295:A296"/>
    <mergeCell ref="A178:A184"/>
    <mergeCell ref="C236:C237"/>
    <mergeCell ref="B236:B237"/>
    <mergeCell ref="A236:A237"/>
    <mergeCell ref="C238:C239"/>
    <mergeCell ref="B238:B239"/>
    <mergeCell ref="A238:A239"/>
    <mergeCell ref="C240:C241"/>
    <mergeCell ref="B240:B241"/>
    <mergeCell ref="A240:A241"/>
    <mergeCell ref="C250:C251"/>
    <mergeCell ref="B250:B251"/>
    <mergeCell ref="A250:A251"/>
    <mergeCell ref="C242:C243"/>
    <mergeCell ref="B242:B243"/>
    <mergeCell ref="A242:A243"/>
    <mergeCell ref="C244:C245"/>
    <mergeCell ref="B244:B245"/>
    <mergeCell ref="A244:A245"/>
    <mergeCell ref="C246:C249"/>
    <mergeCell ref="B246:B249"/>
    <mergeCell ref="A246:A249"/>
    <mergeCell ref="C185:C186"/>
    <mergeCell ref="B185:B186"/>
    <mergeCell ref="A185:A186"/>
    <mergeCell ref="C191:C192"/>
    <mergeCell ref="B191:B192"/>
    <mergeCell ref="A191:A192"/>
    <mergeCell ref="C193:C194"/>
    <mergeCell ref="B193:B194"/>
    <mergeCell ref="A193:A194"/>
    <mergeCell ref="C201:C202"/>
    <mergeCell ref="C166:C167"/>
    <mergeCell ref="B166:B167"/>
    <mergeCell ref="A166:A167"/>
    <mergeCell ref="C168:C169"/>
    <mergeCell ref="B168:B169"/>
    <mergeCell ref="A168:A169"/>
    <mergeCell ref="C170:C171"/>
    <mergeCell ref="B170:B171"/>
    <mergeCell ref="A170:A171"/>
    <mergeCell ref="C172:C173"/>
    <mergeCell ref="B172:B173"/>
    <mergeCell ref="A172:A173"/>
    <mergeCell ref="C218:C219"/>
    <mergeCell ref="B218:B219"/>
    <mergeCell ref="A218:A219"/>
    <mergeCell ref="C220:C221"/>
    <mergeCell ref="B220:B221"/>
    <mergeCell ref="A220:A221"/>
    <mergeCell ref="C174:C175"/>
    <mergeCell ref="B174:B175"/>
    <mergeCell ref="A174:A175"/>
    <mergeCell ref="C176:C177"/>
    <mergeCell ref="B176:B177"/>
    <mergeCell ref="A176:A177"/>
    <mergeCell ref="C187:C188"/>
    <mergeCell ref="B187:B188"/>
    <mergeCell ref="A187:A188"/>
    <mergeCell ref="C189:C190"/>
    <mergeCell ref="B189:B190"/>
    <mergeCell ref="A189:A190"/>
    <mergeCell ref="C178:C184"/>
    <mergeCell ref="B178:B184"/>
    <mergeCell ref="C153:C154"/>
    <mergeCell ref="B153:B154"/>
    <mergeCell ref="A153:A154"/>
    <mergeCell ref="C155:C156"/>
    <mergeCell ref="B155:B156"/>
    <mergeCell ref="A155:A156"/>
    <mergeCell ref="C157:C158"/>
    <mergeCell ref="B157:B158"/>
    <mergeCell ref="A157:A158"/>
    <mergeCell ref="C159:C160"/>
    <mergeCell ref="B159:B160"/>
    <mergeCell ref="A159:A160"/>
    <mergeCell ref="C161:C162"/>
    <mergeCell ref="B161:B162"/>
    <mergeCell ref="A161:A162"/>
    <mergeCell ref="C163:C164"/>
    <mergeCell ref="B163:B164"/>
    <mergeCell ref="A163:A164"/>
    <mergeCell ref="C138:C142"/>
    <mergeCell ref="B138:B142"/>
    <mergeCell ref="A138:A142"/>
    <mergeCell ref="C143:C144"/>
    <mergeCell ref="B143:B144"/>
    <mergeCell ref="A143:A144"/>
    <mergeCell ref="C145:C146"/>
    <mergeCell ref="B145:B146"/>
    <mergeCell ref="A145:A146"/>
    <mergeCell ref="C147:C148"/>
    <mergeCell ref="B147:B148"/>
    <mergeCell ref="A147:A148"/>
    <mergeCell ref="C149:C150"/>
    <mergeCell ref="B149:B150"/>
    <mergeCell ref="A149:A150"/>
    <mergeCell ref="C151:C152"/>
    <mergeCell ref="B151:B152"/>
    <mergeCell ref="A151:A152"/>
    <mergeCell ref="C131:C132"/>
    <mergeCell ref="B131:B132"/>
    <mergeCell ref="A131:A132"/>
    <mergeCell ref="C133:C134"/>
    <mergeCell ref="B133:B134"/>
    <mergeCell ref="A133:A134"/>
    <mergeCell ref="C95:C96"/>
    <mergeCell ref="B95:B96"/>
    <mergeCell ref="A95:A96"/>
    <mergeCell ref="C120:C121"/>
    <mergeCell ref="B120:B121"/>
    <mergeCell ref="A120:A121"/>
    <mergeCell ref="C118:C119"/>
    <mergeCell ref="B118:B119"/>
    <mergeCell ref="A118:A119"/>
    <mergeCell ref="C129:C130"/>
    <mergeCell ref="B129:B130"/>
    <mergeCell ref="A129:A130"/>
    <mergeCell ref="C122:C123"/>
    <mergeCell ref="B122:B123"/>
    <mergeCell ref="A122:A123"/>
    <mergeCell ref="C125:C126"/>
    <mergeCell ref="B125:B126"/>
    <mergeCell ref="A125:A126"/>
    <mergeCell ref="C116:C117"/>
    <mergeCell ref="B116:B117"/>
    <mergeCell ref="A116:A117"/>
    <mergeCell ref="C98:C99"/>
    <mergeCell ref="B98:B99"/>
    <mergeCell ref="A98:A99"/>
    <mergeCell ref="C101:C102"/>
    <mergeCell ref="B101:B102"/>
    <mergeCell ref="A101:A102"/>
    <mergeCell ref="C113:C114"/>
    <mergeCell ref="B113:B114"/>
    <mergeCell ref="A113:A114"/>
    <mergeCell ref="C105:C106"/>
    <mergeCell ref="B105:B106"/>
    <mergeCell ref="A105:A106"/>
    <mergeCell ref="C107:C108"/>
    <mergeCell ref="B107:B108"/>
    <mergeCell ref="A107:A108"/>
    <mergeCell ref="C110:C111"/>
    <mergeCell ref="B110:B111"/>
    <mergeCell ref="A110:A111"/>
    <mergeCell ref="C78:C79"/>
    <mergeCell ref="B78:B79"/>
    <mergeCell ref="A78:A79"/>
    <mergeCell ref="C86:C87"/>
    <mergeCell ref="B86:B87"/>
    <mergeCell ref="A86:A87"/>
    <mergeCell ref="B75:B76"/>
    <mergeCell ref="A75:A76"/>
    <mergeCell ref="C80:C85"/>
    <mergeCell ref="B80:B85"/>
    <mergeCell ref="A80:A85"/>
    <mergeCell ref="C88:C89"/>
    <mergeCell ref="B88:B89"/>
    <mergeCell ref="A88:A89"/>
    <mergeCell ref="C53:C55"/>
    <mergeCell ref="B53:B55"/>
    <mergeCell ref="A53:A55"/>
    <mergeCell ref="C68:C69"/>
    <mergeCell ref="B68:B69"/>
    <mergeCell ref="A68:A69"/>
    <mergeCell ref="C71:C72"/>
    <mergeCell ref="B71:B72"/>
    <mergeCell ref="A71:A72"/>
    <mergeCell ref="C59:C60"/>
    <mergeCell ref="B59:B60"/>
    <mergeCell ref="A59:A60"/>
    <mergeCell ref="C66:C67"/>
    <mergeCell ref="B66:B67"/>
    <mergeCell ref="A66:A67"/>
    <mergeCell ref="C61:C62"/>
    <mergeCell ref="B61:B62"/>
    <mergeCell ref="A61:A62"/>
    <mergeCell ref="C63:C64"/>
    <mergeCell ref="B63:B64"/>
    <mergeCell ref="I259:K259"/>
    <mergeCell ref="L259:M259"/>
    <mergeCell ref="R259:T259"/>
    <mergeCell ref="U259:V259"/>
    <mergeCell ref="A253:C253"/>
    <mergeCell ref="I257:K257"/>
    <mergeCell ref="L257:M257"/>
    <mergeCell ref="R257:T257"/>
    <mergeCell ref="U257:V257"/>
    <mergeCell ref="I258:K258"/>
    <mergeCell ref="L258:M258"/>
    <mergeCell ref="R258:T258"/>
    <mergeCell ref="U258:V258"/>
    <mergeCell ref="A2:X2"/>
    <mergeCell ref="A4:A5"/>
    <mergeCell ref="B4:B5"/>
    <mergeCell ref="C4:C5"/>
    <mergeCell ref="D4:D5"/>
    <mergeCell ref="E4:E5"/>
    <mergeCell ref="F4:F5"/>
    <mergeCell ref="G4:G5"/>
    <mergeCell ref="H4:O4"/>
    <mergeCell ref="Q4:X4"/>
    <mergeCell ref="C40:C41"/>
    <mergeCell ref="B40:B41"/>
    <mergeCell ref="A40:A41"/>
    <mergeCell ref="C56:C57"/>
    <mergeCell ref="B56:B57"/>
    <mergeCell ref="A56:A57"/>
    <mergeCell ref="C50:C52"/>
    <mergeCell ref="B50:B52"/>
    <mergeCell ref="C73:C74"/>
    <mergeCell ref="C22:C27"/>
    <mergeCell ref="B22:B27"/>
    <mergeCell ref="A22:A27"/>
    <mergeCell ref="C28:C29"/>
    <mergeCell ref="B28:B29"/>
    <mergeCell ref="A28:A29"/>
    <mergeCell ref="C30:C31"/>
    <mergeCell ref="B30:B31"/>
    <mergeCell ref="A30:A31"/>
    <mergeCell ref="C6:C14"/>
    <mergeCell ref="B6:B14"/>
    <mergeCell ref="A6:A14"/>
    <mergeCell ref="C15:C16"/>
    <mergeCell ref="B15:B16"/>
    <mergeCell ref="A15:A16"/>
    <mergeCell ref="C17:C21"/>
    <mergeCell ref="B17:B21"/>
    <mergeCell ref="A17:A21"/>
    <mergeCell ref="C127:C128"/>
    <mergeCell ref="B127:B128"/>
    <mergeCell ref="A127:A128"/>
    <mergeCell ref="C34:C35"/>
    <mergeCell ref="B34:B35"/>
    <mergeCell ref="A34:A35"/>
    <mergeCell ref="C91:C92"/>
    <mergeCell ref="B91:B92"/>
    <mergeCell ref="A91:A92"/>
    <mergeCell ref="C36:C37"/>
    <mergeCell ref="B36:B37"/>
    <mergeCell ref="A36:A37"/>
    <mergeCell ref="C46:C47"/>
    <mergeCell ref="B46:B47"/>
    <mergeCell ref="A46:A47"/>
    <mergeCell ref="C48:C49"/>
    <mergeCell ref="B48:B49"/>
    <mergeCell ref="A48:A49"/>
    <mergeCell ref="C42:C43"/>
    <mergeCell ref="B42:B43"/>
    <mergeCell ref="A42:A43"/>
    <mergeCell ref="C44:C45"/>
    <mergeCell ref="B44:B45"/>
    <mergeCell ref="A50:A52"/>
    <mergeCell ref="A44:A45"/>
    <mergeCell ref="C38:C39"/>
    <mergeCell ref="B38:B39"/>
    <mergeCell ref="A38:A39"/>
    <mergeCell ref="A63:A64"/>
    <mergeCell ref="B73:B74"/>
    <mergeCell ref="A73:A74"/>
    <mergeCell ref="C75:C76"/>
    <mergeCell ref="B201:B202"/>
    <mergeCell ref="A201:A202"/>
    <mergeCell ref="C212:C213"/>
    <mergeCell ref="B212:B213"/>
    <mergeCell ref="A212:A213"/>
    <mergeCell ref="C203:C204"/>
    <mergeCell ref="B203:B204"/>
    <mergeCell ref="A203:A204"/>
    <mergeCell ref="C207:C208"/>
    <mergeCell ref="B207:B208"/>
    <mergeCell ref="A207:A208"/>
    <mergeCell ref="C210:C211"/>
    <mergeCell ref="B210:B211"/>
    <mergeCell ref="A210:A211"/>
    <mergeCell ref="C195:C196"/>
    <mergeCell ref="B195:B196"/>
    <mergeCell ref="A195:A196"/>
    <mergeCell ref="C197:C198"/>
    <mergeCell ref="B197:B198"/>
    <mergeCell ref="A197:A198"/>
    <mergeCell ref="C199:C200"/>
    <mergeCell ref="B199:B200"/>
    <mergeCell ref="A199:A200"/>
    <mergeCell ref="C232:C233"/>
    <mergeCell ref="B232:B233"/>
    <mergeCell ref="A232:A233"/>
    <mergeCell ref="C234:C235"/>
    <mergeCell ref="B234:B235"/>
    <mergeCell ref="A234:A235"/>
    <mergeCell ref="C214:C215"/>
    <mergeCell ref="B214:B215"/>
    <mergeCell ref="A214:A215"/>
    <mergeCell ref="C216:C217"/>
    <mergeCell ref="B216:B217"/>
    <mergeCell ref="A216:A217"/>
    <mergeCell ref="C222:C223"/>
    <mergeCell ref="B222:B223"/>
    <mergeCell ref="A222:A223"/>
    <mergeCell ref="C224:C226"/>
    <mergeCell ref="B224:B226"/>
    <mergeCell ref="A224:A226"/>
    <mergeCell ref="C227:C228"/>
    <mergeCell ref="B227:B228"/>
    <mergeCell ref="A227:A228"/>
    <mergeCell ref="C230:C231"/>
    <mergeCell ref="B230:B231"/>
    <mergeCell ref="A230:A231"/>
    <mergeCell ref="I630:K630"/>
    <mergeCell ref="L630:M630"/>
    <mergeCell ref="R630:T630"/>
    <mergeCell ref="U630:V630"/>
    <mergeCell ref="A623:C623"/>
    <mergeCell ref="I628:K628"/>
    <mergeCell ref="L628:M628"/>
    <mergeCell ref="R628:T628"/>
    <mergeCell ref="U628:V628"/>
    <mergeCell ref="I629:K629"/>
    <mergeCell ref="L629:M629"/>
    <mergeCell ref="R629:T629"/>
    <mergeCell ref="U629:V629"/>
    <mergeCell ref="A263:X263"/>
    <mergeCell ref="A266:A267"/>
    <mergeCell ref="B266:B267"/>
    <mergeCell ref="C266:C267"/>
    <mergeCell ref="D266:D267"/>
    <mergeCell ref="E266:E267"/>
    <mergeCell ref="F266:F267"/>
    <mergeCell ref="G266:G267"/>
    <mergeCell ref="H266:O266"/>
    <mergeCell ref="Q266:X266"/>
    <mergeCell ref="C272:C273"/>
    <mergeCell ref="C269:C271"/>
    <mergeCell ref="B269:B271"/>
    <mergeCell ref="A269:A271"/>
    <mergeCell ref="B272:B273"/>
    <mergeCell ref="A272:A273"/>
    <mergeCell ref="C274:C275"/>
    <mergeCell ref="B274:B275"/>
    <mergeCell ref="A274:A275"/>
    <mergeCell ref="A309:A310"/>
    <mergeCell ref="C311:C312"/>
    <mergeCell ref="B311:B312"/>
    <mergeCell ref="A311:A312"/>
    <mergeCell ref="C325:C326"/>
    <mergeCell ref="B325:B326"/>
    <mergeCell ref="A325:A326"/>
    <mergeCell ref="C327:C328"/>
    <mergeCell ref="B327:B328"/>
    <mergeCell ref="A327:A328"/>
    <mergeCell ref="C329:C330"/>
    <mergeCell ref="B329:B330"/>
    <mergeCell ref="A329:A330"/>
    <mergeCell ref="C319:C320"/>
    <mergeCell ref="B319:B320"/>
    <mergeCell ref="A319:A320"/>
    <mergeCell ref="C321:C322"/>
    <mergeCell ref="B321:B322"/>
    <mergeCell ref="A321:A322"/>
    <mergeCell ref="C323:C324"/>
    <mergeCell ref="B323:B324"/>
    <mergeCell ref="A323:A324"/>
    <mergeCell ref="C367:C368"/>
    <mergeCell ref="B367:B368"/>
    <mergeCell ref="A367:A368"/>
    <mergeCell ref="C369:C370"/>
    <mergeCell ref="B369:B370"/>
    <mergeCell ref="A369:A370"/>
    <mergeCell ref="C371:C372"/>
    <mergeCell ref="C343:C344"/>
    <mergeCell ref="B343:B344"/>
    <mergeCell ref="A343:A344"/>
    <mergeCell ref="C331:C332"/>
    <mergeCell ref="B331:B332"/>
    <mergeCell ref="A331:A332"/>
    <mergeCell ref="C334:C340"/>
    <mergeCell ref="B334:B340"/>
    <mergeCell ref="A334:A340"/>
    <mergeCell ref="C341:C342"/>
    <mergeCell ref="B341:B342"/>
    <mergeCell ref="A341:A342"/>
    <mergeCell ref="C346:C347"/>
    <mergeCell ref="B346:B347"/>
    <mergeCell ref="A346:A347"/>
    <mergeCell ref="C348:C349"/>
    <mergeCell ref="B348:B349"/>
    <mergeCell ref="A348:A349"/>
    <mergeCell ref="B363:B364"/>
    <mergeCell ref="A363:A364"/>
    <mergeCell ref="C365:C366"/>
    <mergeCell ref="B365:B366"/>
    <mergeCell ref="A365:A366"/>
    <mergeCell ref="B506:B507"/>
    <mergeCell ref="A506:A507"/>
    <mergeCell ref="C510:C511"/>
    <mergeCell ref="B510:B511"/>
    <mergeCell ref="A510:A511"/>
    <mergeCell ref="C512:C513"/>
    <mergeCell ref="B512:B513"/>
    <mergeCell ref="A512:A513"/>
    <mergeCell ref="C467:C468"/>
    <mergeCell ref="C351:C352"/>
    <mergeCell ref="B351:B352"/>
    <mergeCell ref="A351:A352"/>
    <mergeCell ref="C359:C360"/>
    <mergeCell ref="B359:B360"/>
    <mergeCell ref="A359:A360"/>
    <mergeCell ref="C361:C362"/>
    <mergeCell ref="B361:B362"/>
    <mergeCell ref="A361:A362"/>
    <mergeCell ref="C363:C364"/>
    <mergeCell ref="C393:C399"/>
    <mergeCell ref="B393:B399"/>
    <mergeCell ref="A393:A399"/>
    <mergeCell ref="C400:C402"/>
    <mergeCell ref="B400:B402"/>
    <mergeCell ref="A400:A402"/>
    <mergeCell ref="C391:C392"/>
    <mergeCell ref="B391:B392"/>
    <mergeCell ref="A391:A392"/>
    <mergeCell ref="C385:C386"/>
    <mergeCell ref="B385:B386"/>
    <mergeCell ref="A385:A386"/>
    <mergeCell ref="C387:C388"/>
    <mergeCell ref="C537:C538"/>
    <mergeCell ref="B537:B538"/>
    <mergeCell ref="A537:A538"/>
    <mergeCell ref="C539:C540"/>
    <mergeCell ref="B539:B540"/>
    <mergeCell ref="A539:A540"/>
    <mergeCell ref="C541:C542"/>
    <mergeCell ref="B541:B542"/>
    <mergeCell ref="A541:A542"/>
    <mergeCell ref="A437:A443"/>
    <mergeCell ref="C444:C445"/>
    <mergeCell ref="B444:B445"/>
    <mergeCell ref="A444:A445"/>
    <mergeCell ref="C435:C436"/>
    <mergeCell ref="B435:B436"/>
    <mergeCell ref="A435:A436"/>
    <mergeCell ref="C518:C519"/>
    <mergeCell ref="B518:B519"/>
    <mergeCell ref="A518:A519"/>
    <mergeCell ref="C520:C521"/>
    <mergeCell ref="B520:B521"/>
    <mergeCell ref="A520:A521"/>
    <mergeCell ref="C522:C523"/>
    <mergeCell ref="B522:B523"/>
    <mergeCell ref="A522:A523"/>
    <mergeCell ref="C502:C503"/>
    <mergeCell ref="B502:B503"/>
    <mergeCell ref="A502:A503"/>
    <mergeCell ref="C514:C515"/>
    <mergeCell ref="B514:B515"/>
    <mergeCell ref="A514:A515"/>
    <mergeCell ref="C506:C507"/>
    <mergeCell ref="C551:C552"/>
    <mergeCell ref="B551:B552"/>
    <mergeCell ref="A551:A552"/>
    <mergeCell ref="C554:C555"/>
    <mergeCell ref="B554:B555"/>
    <mergeCell ref="A554:A555"/>
    <mergeCell ref="C556:C557"/>
    <mergeCell ref="B556:B557"/>
    <mergeCell ref="A556:A557"/>
    <mergeCell ref="A606:A607"/>
    <mergeCell ref="C608:C609"/>
    <mergeCell ref="B608:B609"/>
    <mergeCell ref="A608:A609"/>
    <mergeCell ref="C610:C611"/>
    <mergeCell ref="B610:B611"/>
    <mergeCell ref="B526:B527"/>
    <mergeCell ref="A526:A527"/>
    <mergeCell ref="C528:C529"/>
    <mergeCell ref="B528:B529"/>
    <mergeCell ref="A528:A529"/>
    <mergeCell ref="C545:C546"/>
    <mergeCell ref="B545:B546"/>
    <mergeCell ref="A545:A546"/>
    <mergeCell ref="C547:C548"/>
    <mergeCell ref="B547:B548"/>
    <mergeCell ref="A547:A548"/>
    <mergeCell ref="C549:C550"/>
    <mergeCell ref="B549:B550"/>
    <mergeCell ref="A549:A550"/>
    <mergeCell ref="C543:C544"/>
    <mergeCell ref="B543:B544"/>
    <mergeCell ref="A543:A544"/>
    <mergeCell ref="C558:C559"/>
    <mergeCell ref="B558:B559"/>
    <mergeCell ref="A558:A559"/>
    <mergeCell ref="C560:C561"/>
    <mergeCell ref="A560:A561"/>
    <mergeCell ref="B560:B561"/>
    <mergeCell ref="C562:C570"/>
    <mergeCell ref="B562:B570"/>
    <mergeCell ref="A562:A570"/>
    <mergeCell ref="A610:A611"/>
    <mergeCell ref="C615:C616"/>
    <mergeCell ref="B615:B616"/>
    <mergeCell ref="A615:A616"/>
    <mergeCell ref="C617:C618"/>
    <mergeCell ref="B617:B618"/>
    <mergeCell ref="A617:A618"/>
    <mergeCell ref="C573:C576"/>
    <mergeCell ref="B573:B576"/>
    <mergeCell ref="A573:A576"/>
    <mergeCell ref="C578:C579"/>
    <mergeCell ref="B578:B579"/>
    <mergeCell ref="A578:A579"/>
    <mergeCell ref="C588:C589"/>
    <mergeCell ref="B588:B589"/>
    <mergeCell ref="C580:C581"/>
    <mergeCell ref="B580:B581"/>
    <mergeCell ref="A580:A581"/>
    <mergeCell ref="C584:C585"/>
    <mergeCell ref="B584:B585"/>
    <mergeCell ref="A584:A585"/>
    <mergeCell ref="C586:C587"/>
    <mergeCell ref="B586:B587"/>
    <mergeCell ref="A586:A587"/>
    <mergeCell ref="C758:C759"/>
    <mergeCell ref="A661:A662"/>
    <mergeCell ref="C663:C664"/>
    <mergeCell ref="B663:B664"/>
    <mergeCell ref="A663:A664"/>
    <mergeCell ref="C655:C656"/>
    <mergeCell ref="B655:B656"/>
    <mergeCell ref="A655:A656"/>
    <mergeCell ref="C657:C658"/>
    <mergeCell ref="B657:B658"/>
    <mergeCell ref="A657:A658"/>
    <mergeCell ref="C659:C660"/>
    <mergeCell ref="B659:B660"/>
    <mergeCell ref="A659:A660"/>
    <mergeCell ref="A682:A683"/>
    <mergeCell ref="C684:C685"/>
    <mergeCell ref="B684:B685"/>
    <mergeCell ref="A684:A685"/>
    <mergeCell ref="C686:C687"/>
    <mergeCell ref="B686:B687"/>
    <mergeCell ref="A686:A687"/>
    <mergeCell ref="C688:C689"/>
    <mergeCell ref="C620:C621"/>
    <mergeCell ref="A588:A589"/>
    <mergeCell ref="B620:B621"/>
    <mergeCell ref="A620:A621"/>
    <mergeCell ref="C613:C614"/>
    <mergeCell ref="B613:B614"/>
    <mergeCell ref="A613:A614"/>
    <mergeCell ref="C606:C607"/>
    <mergeCell ref="B606:B607"/>
    <mergeCell ref="B852:B853"/>
    <mergeCell ref="A852:A853"/>
    <mergeCell ref="C802:C803"/>
    <mergeCell ref="B802:B803"/>
    <mergeCell ref="A802:A803"/>
    <mergeCell ref="C804:C805"/>
    <mergeCell ref="B804:B805"/>
    <mergeCell ref="A804:A805"/>
    <mergeCell ref="B808:B809"/>
    <mergeCell ref="B813:B814"/>
    <mergeCell ref="A813:A814"/>
    <mergeCell ref="C806:C807"/>
    <mergeCell ref="B806:B807"/>
    <mergeCell ref="A806:A807"/>
    <mergeCell ref="C808:C809"/>
    <mergeCell ref="A820:A821"/>
    <mergeCell ref="C813:C814"/>
    <mergeCell ref="A808:A809"/>
    <mergeCell ref="C810:C812"/>
    <mergeCell ref="B810:B812"/>
    <mergeCell ref="A810:A812"/>
    <mergeCell ref="A849:A851"/>
    <mergeCell ref="A635:X635"/>
    <mergeCell ref="Q843:X843"/>
    <mergeCell ref="C847:C848"/>
    <mergeCell ref="B847:B848"/>
    <mergeCell ref="A847:A848"/>
    <mergeCell ref="F843:F844"/>
    <mergeCell ref="B665:B666"/>
    <mergeCell ref="A665:A666"/>
    <mergeCell ref="B647:B648"/>
    <mergeCell ref="A647:A648"/>
    <mergeCell ref="C649:C650"/>
    <mergeCell ref="B649:B650"/>
    <mergeCell ref="A649:A650"/>
    <mergeCell ref="C651:C652"/>
    <mergeCell ref="B651:B652"/>
    <mergeCell ref="A651:A652"/>
    <mergeCell ref="C653:C654"/>
    <mergeCell ref="B653:B654"/>
    <mergeCell ref="B845:B846"/>
    <mergeCell ref="A845:A846"/>
    <mergeCell ref="A840:X840"/>
    <mergeCell ref="A653:A654"/>
    <mergeCell ref="C661:C662"/>
    <mergeCell ref="B661:B662"/>
    <mergeCell ref="C845:C846"/>
    <mergeCell ref="B692:B693"/>
    <mergeCell ref="A692:A693"/>
    <mergeCell ref="C694:C695"/>
    <mergeCell ref="B694:B695"/>
    <mergeCell ref="A694:A695"/>
    <mergeCell ref="B698:B699"/>
    <mergeCell ref="A698:A699"/>
    <mergeCell ref="C860:C861"/>
    <mergeCell ref="C871:C872"/>
    <mergeCell ref="B871:B872"/>
    <mergeCell ref="B843:B844"/>
    <mergeCell ref="C705:C706"/>
    <mergeCell ref="B705:B706"/>
    <mergeCell ref="A705:A706"/>
    <mergeCell ref="C856:C857"/>
    <mergeCell ref="B856:B857"/>
    <mergeCell ref="A856:A857"/>
    <mergeCell ref="C858:C859"/>
    <mergeCell ref="B858:B859"/>
    <mergeCell ref="A858:A859"/>
    <mergeCell ref="A843:A844"/>
    <mergeCell ref="B786:B787"/>
    <mergeCell ref="A786:A787"/>
    <mergeCell ref="C789:C791"/>
    <mergeCell ref="B789:B791"/>
    <mergeCell ref="A789:A791"/>
    <mergeCell ref="C792:C794"/>
    <mergeCell ref="B792:B794"/>
    <mergeCell ref="A792:A794"/>
    <mergeCell ref="C796:C797"/>
    <mergeCell ref="C843:C844"/>
    <mergeCell ref="A733:A740"/>
    <mergeCell ref="C727:C728"/>
    <mergeCell ref="B727:B728"/>
    <mergeCell ref="A727:A728"/>
    <mergeCell ref="C729:C730"/>
    <mergeCell ref="C849:C851"/>
    <mergeCell ref="B849:B851"/>
    <mergeCell ref="C852:C853"/>
    <mergeCell ref="B928:B929"/>
    <mergeCell ref="A922:A923"/>
    <mergeCell ref="C935:C936"/>
    <mergeCell ref="B935:B936"/>
    <mergeCell ref="A935:A936"/>
    <mergeCell ref="A928:A929"/>
    <mergeCell ref="C933:C934"/>
    <mergeCell ref="I834:K834"/>
    <mergeCell ref="A702:A703"/>
    <mergeCell ref="C772:C773"/>
    <mergeCell ref="B772:B773"/>
    <mergeCell ref="A772:A773"/>
    <mergeCell ref="C753:C754"/>
    <mergeCell ref="B753:B754"/>
    <mergeCell ref="A906:A907"/>
    <mergeCell ref="C908:C909"/>
    <mergeCell ref="C940:C941"/>
    <mergeCell ref="B940:B941"/>
    <mergeCell ref="A940:A941"/>
    <mergeCell ref="C824:C825"/>
    <mergeCell ref="B824:B825"/>
    <mergeCell ref="A824:A825"/>
    <mergeCell ref="A873:A874"/>
    <mergeCell ref="C875:C876"/>
    <mergeCell ref="B875:B876"/>
    <mergeCell ref="A854:A855"/>
    <mergeCell ref="C854:C855"/>
    <mergeCell ref="B854:B855"/>
    <mergeCell ref="A875:A876"/>
    <mergeCell ref="C877:C878"/>
    <mergeCell ref="B877:B878"/>
    <mergeCell ref="A877:A878"/>
    <mergeCell ref="A924:A925"/>
    <mergeCell ref="B944:B945"/>
    <mergeCell ref="C914:C915"/>
    <mergeCell ref="B914:B915"/>
    <mergeCell ref="A914:A915"/>
    <mergeCell ref="B933:B934"/>
    <mergeCell ref="A933:A934"/>
    <mergeCell ref="C938:C939"/>
    <mergeCell ref="E843:E844"/>
    <mergeCell ref="C881:C884"/>
    <mergeCell ref="R832:T832"/>
    <mergeCell ref="U832:V832"/>
    <mergeCell ref="A944:A945"/>
    <mergeCell ref="C946:C947"/>
    <mergeCell ref="B946:B947"/>
    <mergeCell ref="A946:A947"/>
    <mergeCell ref="C948:C949"/>
    <mergeCell ref="A910:A911"/>
    <mergeCell ref="C912:C913"/>
    <mergeCell ref="B912:B913"/>
    <mergeCell ref="A912:A913"/>
    <mergeCell ref="A918:A919"/>
    <mergeCell ref="C916:C917"/>
    <mergeCell ref="C942:C943"/>
    <mergeCell ref="B942:B943"/>
    <mergeCell ref="A942:A943"/>
    <mergeCell ref="C944:C945"/>
    <mergeCell ref="B948:B949"/>
    <mergeCell ref="A948:A949"/>
    <mergeCell ref="C910:C911"/>
    <mergeCell ref="B910:B911"/>
    <mergeCell ref="C928:C929"/>
    <mergeCell ref="C953:C954"/>
    <mergeCell ref="B953:B954"/>
    <mergeCell ref="A953:A954"/>
    <mergeCell ref="C1010:C1011"/>
    <mergeCell ref="B1010:B1011"/>
    <mergeCell ref="A1010:A1011"/>
    <mergeCell ref="C1012:C1013"/>
    <mergeCell ref="B1012:B1013"/>
    <mergeCell ref="B1000:B1001"/>
    <mergeCell ref="A1000:A1001"/>
    <mergeCell ref="C962:C963"/>
    <mergeCell ref="D843:D844"/>
    <mergeCell ref="B860:B861"/>
    <mergeCell ref="A860:A861"/>
    <mergeCell ref="C864:C865"/>
    <mergeCell ref="B864:B865"/>
    <mergeCell ref="A864:A865"/>
    <mergeCell ref="C869:C870"/>
    <mergeCell ref="B869:B870"/>
    <mergeCell ref="A869:A870"/>
    <mergeCell ref="B916:B917"/>
    <mergeCell ref="A916:A917"/>
    <mergeCell ref="A871:A872"/>
    <mergeCell ref="C918:C919"/>
    <mergeCell ref="B918:B919"/>
    <mergeCell ref="C887:C889"/>
    <mergeCell ref="C931:C932"/>
    <mergeCell ref="C955:C956"/>
    <mergeCell ref="B955:B956"/>
    <mergeCell ref="A955:A956"/>
    <mergeCell ref="C924:C925"/>
    <mergeCell ref="B924:B925"/>
    <mergeCell ref="A959:A960"/>
    <mergeCell ref="C959:C960"/>
    <mergeCell ref="B890:B891"/>
    <mergeCell ref="A890:A891"/>
    <mergeCell ref="B962:B963"/>
    <mergeCell ref="A962:A963"/>
    <mergeCell ref="B975:B976"/>
    <mergeCell ref="A975:A976"/>
    <mergeCell ref="B959:B960"/>
    <mergeCell ref="C1000:C1001"/>
    <mergeCell ref="B938:B939"/>
    <mergeCell ref="A938:A939"/>
    <mergeCell ref="A989:A990"/>
    <mergeCell ref="C1006:C1007"/>
    <mergeCell ref="B1006:B1007"/>
    <mergeCell ref="A1006:A1007"/>
    <mergeCell ref="B931:B932"/>
    <mergeCell ref="A931:A932"/>
    <mergeCell ref="C920:C921"/>
    <mergeCell ref="B920:B921"/>
    <mergeCell ref="A920:A921"/>
    <mergeCell ref="C922:C923"/>
    <mergeCell ref="B922:B923"/>
    <mergeCell ref="A987:A988"/>
    <mergeCell ref="C989:C990"/>
    <mergeCell ref="B989:B990"/>
    <mergeCell ref="C957:C958"/>
    <mergeCell ref="A957:A958"/>
    <mergeCell ref="C950:C951"/>
    <mergeCell ref="B950:B951"/>
    <mergeCell ref="A950:A951"/>
    <mergeCell ref="A969:A970"/>
    <mergeCell ref="B1067:B1068"/>
    <mergeCell ref="I1259:K1259"/>
    <mergeCell ref="L1259:M1259"/>
    <mergeCell ref="C1002:C1003"/>
    <mergeCell ref="A1150:A1151"/>
    <mergeCell ref="C1152:C1154"/>
    <mergeCell ref="B1152:B1154"/>
    <mergeCell ref="A1012:A1013"/>
    <mergeCell ref="C1014:C1015"/>
    <mergeCell ref="B1014:B1015"/>
    <mergeCell ref="A1014:A1015"/>
    <mergeCell ref="C1016:C1017"/>
    <mergeCell ref="B1016:B1017"/>
    <mergeCell ref="A1016:A1017"/>
    <mergeCell ref="C964:C967"/>
    <mergeCell ref="B964:B967"/>
    <mergeCell ref="A964:A967"/>
    <mergeCell ref="A1069:A1070"/>
    <mergeCell ref="A1059:A1060"/>
    <mergeCell ref="C1061:C1063"/>
    <mergeCell ref="C1026:C1027"/>
    <mergeCell ref="C1052:C1053"/>
    <mergeCell ref="B1052:B1053"/>
    <mergeCell ref="A1052:A1053"/>
    <mergeCell ref="C1055:C1056"/>
    <mergeCell ref="B1055:B1056"/>
    <mergeCell ref="A1055:A1056"/>
    <mergeCell ref="C1057:C1058"/>
    <mergeCell ref="B1057:B1058"/>
    <mergeCell ref="A1057:A1058"/>
    <mergeCell ref="A1036:A1037"/>
    <mergeCell ref="C1036:C1037"/>
    <mergeCell ref="B971:B972"/>
    <mergeCell ref="A971:A972"/>
    <mergeCell ref="C973:C974"/>
    <mergeCell ref="C892:C893"/>
    <mergeCell ref="B892:B893"/>
    <mergeCell ref="B957:B958"/>
    <mergeCell ref="R1259:T1259"/>
    <mergeCell ref="U1259:V1259"/>
    <mergeCell ref="A1252:C1252"/>
    <mergeCell ref="I1257:K1257"/>
    <mergeCell ref="L1257:M1257"/>
    <mergeCell ref="R1257:T1257"/>
    <mergeCell ref="U1257:V1257"/>
    <mergeCell ref="I1258:K1258"/>
    <mergeCell ref="L1258:M1258"/>
    <mergeCell ref="R1258:T1258"/>
    <mergeCell ref="U1258:V1258"/>
    <mergeCell ref="A1004:A1005"/>
    <mergeCell ref="C981:C982"/>
    <mergeCell ref="B981:B982"/>
    <mergeCell ref="A981:A982"/>
    <mergeCell ref="C983:C984"/>
    <mergeCell ref="B983:B984"/>
    <mergeCell ref="A983:A984"/>
    <mergeCell ref="C985:C986"/>
    <mergeCell ref="B985:B986"/>
    <mergeCell ref="A985:A986"/>
    <mergeCell ref="C987:C988"/>
    <mergeCell ref="B987:B988"/>
    <mergeCell ref="A1064:A1065"/>
    <mergeCell ref="B1098:B1099"/>
    <mergeCell ref="C1067:C1068"/>
    <mergeCell ref="B1026:B1027"/>
    <mergeCell ref="A1026:A1027"/>
    <mergeCell ref="C1032:C1033"/>
    <mergeCell ref="B1032:B1033"/>
    <mergeCell ref="A1032:A1033"/>
    <mergeCell ref="C1034:C1035"/>
    <mergeCell ref="B1034:B1035"/>
    <mergeCell ref="A1034:A1035"/>
    <mergeCell ref="C1064:C1065"/>
    <mergeCell ref="B1064:B1065"/>
    <mergeCell ref="G843:G844"/>
    <mergeCell ref="H843:O843"/>
    <mergeCell ref="C873:C874"/>
    <mergeCell ref="B873:B874"/>
    <mergeCell ref="C977:C978"/>
    <mergeCell ref="B977:B978"/>
    <mergeCell ref="A977:A978"/>
    <mergeCell ref="C979:C980"/>
    <mergeCell ref="B979:B980"/>
    <mergeCell ref="A979:A980"/>
    <mergeCell ref="C991:C996"/>
    <mergeCell ref="B991:B996"/>
    <mergeCell ref="A991:A996"/>
    <mergeCell ref="B887:B889"/>
    <mergeCell ref="A887:A889"/>
    <mergeCell ref="C894:C904"/>
    <mergeCell ref="B894:B904"/>
    <mergeCell ref="A894:A904"/>
    <mergeCell ref="A892:A893"/>
    <mergeCell ref="C969:C970"/>
    <mergeCell ref="B969:B970"/>
    <mergeCell ref="C971:C972"/>
    <mergeCell ref="B1071:B1072"/>
    <mergeCell ref="A1071:A1072"/>
    <mergeCell ref="C1073:C1074"/>
    <mergeCell ref="B1073:B1074"/>
    <mergeCell ref="A1073:A1074"/>
    <mergeCell ref="C1075:C1076"/>
    <mergeCell ref="B1075:B1076"/>
    <mergeCell ref="A1075:A1076"/>
    <mergeCell ref="C1100:C1101"/>
    <mergeCell ref="B1100:B1101"/>
    <mergeCell ref="A1100:A1101"/>
    <mergeCell ref="C1102:C1103"/>
    <mergeCell ref="B1102:B1103"/>
    <mergeCell ref="A1102:A1103"/>
    <mergeCell ref="C1083:C1089"/>
    <mergeCell ref="B1083:B1089"/>
    <mergeCell ref="A1083:A1089"/>
    <mergeCell ref="C1090:C1091"/>
    <mergeCell ref="B1090:B1091"/>
    <mergeCell ref="A1090:A1091"/>
    <mergeCell ref="C1092:C1093"/>
    <mergeCell ref="B1092:B1093"/>
    <mergeCell ref="A1092:A1093"/>
    <mergeCell ref="C1094:C1095"/>
    <mergeCell ref="B1094:B1095"/>
    <mergeCell ref="A1094:A1095"/>
    <mergeCell ref="C1096:C1097"/>
    <mergeCell ref="B1096:B1097"/>
    <mergeCell ref="A1096:A1097"/>
    <mergeCell ref="C1098:C1099"/>
    <mergeCell ref="A1098:A1099"/>
    <mergeCell ref="C1077:C1078"/>
    <mergeCell ref="C1176:C1177"/>
    <mergeCell ref="B1176:B1177"/>
    <mergeCell ref="A1176:A1177"/>
    <mergeCell ref="C1178:C1179"/>
    <mergeCell ref="B1178:B1179"/>
    <mergeCell ref="A1178:A1179"/>
    <mergeCell ref="C1172:C1173"/>
    <mergeCell ref="B1172:B1173"/>
    <mergeCell ref="A1172:A1173"/>
    <mergeCell ref="A1067:A1068"/>
    <mergeCell ref="C1069:C1070"/>
    <mergeCell ref="B1069:B1070"/>
    <mergeCell ref="C1155:C1156"/>
    <mergeCell ref="B1155:B1156"/>
    <mergeCell ref="A1155:A1156"/>
    <mergeCell ref="C1157:C1158"/>
    <mergeCell ref="B1157:B1158"/>
    <mergeCell ref="A1157:A1158"/>
    <mergeCell ref="C1159:C1160"/>
    <mergeCell ref="B1159:B1160"/>
    <mergeCell ref="A1159:A1160"/>
    <mergeCell ref="C1161:C1162"/>
    <mergeCell ref="B1161:B1162"/>
    <mergeCell ref="A1161:A1162"/>
    <mergeCell ref="C1141:C1142"/>
    <mergeCell ref="B1141:B1142"/>
    <mergeCell ref="A1141:A1142"/>
    <mergeCell ref="C1143:C1144"/>
    <mergeCell ref="B1143:B1144"/>
    <mergeCell ref="A1143:A1144"/>
    <mergeCell ref="C1145:C1146"/>
    <mergeCell ref="C1071:C1072"/>
    <mergeCell ref="C1187:C1188"/>
    <mergeCell ref="B1187:B1188"/>
    <mergeCell ref="A1187:A1188"/>
    <mergeCell ref="C1190:C1191"/>
    <mergeCell ref="B1190:B1191"/>
    <mergeCell ref="A1190:A1191"/>
    <mergeCell ref="C1192:C1193"/>
    <mergeCell ref="B1192:B1193"/>
    <mergeCell ref="A1192:A1193"/>
    <mergeCell ref="C1195:C1196"/>
    <mergeCell ref="B1195:B1196"/>
    <mergeCell ref="A1195:A1196"/>
    <mergeCell ref="C1197:C1198"/>
    <mergeCell ref="B1197:B1198"/>
    <mergeCell ref="A1197:A1198"/>
    <mergeCell ref="C1200:C1201"/>
    <mergeCell ref="B1200:B1201"/>
    <mergeCell ref="A1200:A1201"/>
    <mergeCell ref="C1216:C1217"/>
    <mergeCell ref="B1216:B1217"/>
    <mergeCell ref="A1216:A1217"/>
    <mergeCell ref="C1218:C1219"/>
    <mergeCell ref="B1218:B1219"/>
    <mergeCell ref="A1218:A1219"/>
    <mergeCell ref="C1214:C1215"/>
    <mergeCell ref="B1214:B1215"/>
    <mergeCell ref="A1214:A1215"/>
    <mergeCell ref="C1208:C1209"/>
    <mergeCell ref="B1208:B1209"/>
    <mergeCell ref="A1208:A1209"/>
    <mergeCell ref="C1211:C1212"/>
    <mergeCell ref="B1211:B1212"/>
    <mergeCell ref="A1211:A1212"/>
    <mergeCell ref="C1202:C1203"/>
    <mergeCell ref="B1202:B1203"/>
    <mergeCell ref="A1202:A1203"/>
    <mergeCell ref="C1204:C1205"/>
    <mergeCell ref="B1204:B1205"/>
    <mergeCell ref="A1204:A1205"/>
    <mergeCell ref="C1243:C1244"/>
    <mergeCell ref="B1243:B1244"/>
    <mergeCell ref="A1243:A1244"/>
    <mergeCell ref="C1239:C1240"/>
    <mergeCell ref="B1239:B1240"/>
    <mergeCell ref="A1239:A1240"/>
    <mergeCell ref="C1225:C1226"/>
    <mergeCell ref="B1225:B1226"/>
    <mergeCell ref="A1225:A1226"/>
    <mergeCell ref="C1227:C1228"/>
    <mergeCell ref="B1227:B1228"/>
    <mergeCell ref="A1227:A1228"/>
    <mergeCell ref="C1229:C1230"/>
    <mergeCell ref="B1229:B1230"/>
    <mergeCell ref="A1229:A1230"/>
    <mergeCell ref="C1231:C1232"/>
    <mergeCell ref="B1231:B1232"/>
    <mergeCell ref="A1231:A1232"/>
    <mergeCell ref="C1234:C1236"/>
    <mergeCell ref="B1234:B1236"/>
    <mergeCell ref="A1234:A1236"/>
    <mergeCell ref="C1237:C1238"/>
    <mergeCell ref="B1237:B1238"/>
    <mergeCell ref="A1237:A1238"/>
  </mergeCells>
  <printOptions horizontalCentered="1" verticalCentered="1"/>
  <pageMargins left="0.11811023622047245" right="0.11811023622047245" top="0.15748031496062992" bottom="0.15748031496062992" header="0.31496062992125984" footer="0.31496062992125984"/>
  <pageSetup paperSize="9" scale="48" orientation="landscape" r:id="rId1"/>
  <headerFooter>
    <oddHeader>&amp;R&amp;A</oddHeader>
    <oddFooter>&amp;C&amp;P/&amp;N</oddFooter>
  </headerFooter>
  <rowBreaks count="32" manualBreakCount="32">
    <brk id="49" max="23" man="1"/>
    <brk id="89" max="23" man="1"/>
    <brk id="126" max="23" man="1"/>
    <brk id="162" max="23" man="1"/>
    <brk id="205" max="23" man="1"/>
    <brk id="259" max="23" man="1"/>
    <brk id="294" max="23" man="1"/>
    <brk id="333" max="23" man="1"/>
    <brk id="368" max="23" man="1"/>
    <brk id="402" max="23" man="1"/>
    <brk id="443" max="23" man="1"/>
    <brk id="472" max="23" man="1"/>
    <brk id="509" max="23" man="1"/>
    <brk id="548" max="23" man="1"/>
    <brk id="582" max="23" man="1"/>
    <brk id="630" max="23" man="1"/>
    <brk id="672" max="23" man="1"/>
    <brk id="710" max="23" man="1"/>
    <brk id="740" max="23" man="1"/>
    <brk id="769" max="23" man="1"/>
    <brk id="807" max="23" man="1"/>
    <brk id="834" max="23" man="1"/>
    <brk id="879" max="23" man="1"/>
    <brk id="923" max="23" man="1"/>
    <brk id="958" max="23" man="1"/>
    <brk id="990" max="23" man="1"/>
    <brk id="1028" max="23" man="1"/>
    <brk id="1066" max="23" man="1"/>
    <brk id="1109" max="23" man="1"/>
    <brk id="1154" max="23" man="1"/>
    <brk id="1191" max="23" man="1"/>
    <brk id="1221"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215"/>
  <sheetViews>
    <sheetView view="pageBreakPreview" topLeftCell="A128" zoomScale="90" zoomScaleNormal="100" zoomScaleSheetLayoutView="90" workbookViewId="0">
      <selection activeCell="U128" sqref="U128:V128"/>
    </sheetView>
  </sheetViews>
  <sheetFormatPr defaultRowHeight="15" x14ac:dyDescent="0.25"/>
  <cols>
    <col min="1" max="2" width="5.28515625" style="971" customWidth="1"/>
    <col min="3" max="3" width="36" style="971" customWidth="1"/>
    <col min="4" max="4" width="7.28515625" style="968" customWidth="1"/>
    <col min="5" max="5" width="7" style="968" bestFit="1" customWidth="1"/>
    <col min="6" max="6" width="5.140625" style="968" customWidth="1"/>
    <col min="7" max="7" width="4.85546875" style="968" customWidth="1"/>
    <col min="8" max="8" width="14.42578125" style="968" customWidth="1"/>
    <col min="9" max="9" width="16.42578125" style="968" customWidth="1"/>
    <col min="10" max="10" width="13.28515625" style="968" customWidth="1"/>
    <col min="11" max="11" width="14.5703125" style="968" customWidth="1"/>
    <col min="12" max="12" width="14.42578125" style="968" customWidth="1"/>
    <col min="13" max="13" width="12.85546875" style="968" customWidth="1"/>
    <col min="14" max="14" width="11.42578125" style="968" customWidth="1"/>
    <col min="15" max="15" width="12.42578125" style="968" customWidth="1"/>
    <col min="16" max="16" width="12.5703125" style="968" customWidth="1"/>
    <col min="17" max="17" width="13.85546875" style="997" customWidth="1"/>
    <col min="18" max="18" width="15.5703125" style="968" customWidth="1"/>
    <col min="19" max="19" width="12.42578125" style="968" customWidth="1"/>
    <col min="20" max="20" width="12.28515625" style="968" customWidth="1"/>
    <col min="21" max="21" width="12.5703125" style="968" customWidth="1"/>
    <col min="22" max="22" width="12.7109375" style="968" customWidth="1"/>
    <col min="23" max="23" width="13.140625" style="968" customWidth="1"/>
    <col min="24" max="24" width="13.85546875" style="968" customWidth="1"/>
    <col min="25" max="25" width="9.140625" style="968"/>
    <col min="26" max="26" width="12.28515625" style="968" customWidth="1"/>
    <col min="27" max="256" width="9.140625" style="968"/>
    <col min="257" max="258" width="5.28515625" style="968" customWidth="1"/>
    <col min="259" max="259" width="36" style="968" customWidth="1"/>
    <col min="260" max="260" width="7.28515625" style="968" customWidth="1"/>
    <col min="261" max="261" width="7" style="968" bestFit="1" customWidth="1"/>
    <col min="262" max="262" width="5.140625" style="968" customWidth="1"/>
    <col min="263" max="263" width="4.85546875" style="968" customWidth="1"/>
    <col min="264" max="264" width="13.7109375" style="968" customWidth="1"/>
    <col min="265" max="265" width="16.42578125" style="968" customWidth="1"/>
    <col min="266" max="266" width="13.28515625" style="968" customWidth="1"/>
    <col min="267" max="267" width="14.5703125" style="968" customWidth="1"/>
    <col min="268" max="268" width="14.42578125" style="968" customWidth="1"/>
    <col min="269" max="270" width="11.42578125" style="968" customWidth="1"/>
    <col min="271" max="271" width="12.42578125" style="968" customWidth="1"/>
    <col min="272" max="272" width="12.5703125" style="968" customWidth="1"/>
    <col min="273" max="273" width="13.85546875" style="968" customWidth="1"/>
    <col min="274" max="274" width="15.5703125" style="968" customWidth="1"/>
    <col min="275" max="275" width="12.42578125" style="968" customWidth="1"/>
    <col min="276" max="276" width="12.28515625" style="968" customWidth="1"/>
    <col min="277" max="277" width="12.5703125" style="968" customWidth="1"/>
    <col min="278" max="278" width="12.7109375" style="968" customWidth="1"/>
    <col min="279" max="279" width="13.140625" style="968" customWidth="1"/>
    <col min="280" max="280" width="13.85546875" style="968" customWidth="1"/>
    <col min="281" max="281" width="9.140625" style="968"/>
    <col min="282" max="282" width="12.28515625" style="968" customWidth="1"/>
    <col min="283" max="512" width="9.140625" style="968"/>
    <col min="513" max="514" width="5.28515625" style="968" customWidth="1"/>
    <col min="515" max="515" width="36" style="968" customWidth="1"/>
    <col min="516" max="516" width="7.28515625" style="968" customWidth="1"/>
    <col min="517" max="517" width="7" style="968" bestFit="1" customWidth="1"/>
    <col min="518" max="518" width="5.140625" style="968" customWidth="1"/>
    <col min="519" max="519" width="4.85546875" style="968" customWidth="1"/>
    <col min="520" max="520" width="13.7109375" style="968" customWidth="1"/>
    <col min="521" max="521" width="16.42578125" style="968" customWidth="1"/>
    <col min="522" max="522" width="13.28515625" style="968" customWidth="1"/>
    <col min="523" max="523" width="14.5703125" style="968" customWidth="1"/>
    <col min="524" max="524" width="14.42578125" style="968" customWidth="1"/>
    <col min="525" max="526" width="11.42578125" style="968" customWidth="1"/>
    <col min="527" max="527" width="12.42578125" style="968" customWidth="1"/>
    <col min="528" max="528" width="12.5703125" style="968" customWidth="1"/>
    <col min="529" max="529" width="13.85546875" style="968" customWidth="1"/>
    <col min="530" max="530" width="15.5703125" style="968" customWidth="1"/>
    <col min="531" max="531" width="12.42578125" style="968" customWidth="1"/>
    <col min="532" max="532" width="12.28515625" style="968" customWidth="1"/>
    <col min="533" max="533" width="12.5703125" style="968" customWidth="1"/>
    <col min="534" max="534" width="12.7109375" style="968" customWidth="1"/>
    <col min="535" max="535" width="13.140625" style="968" customWidth="1"/>
    <col min="536" max="536" width="13.85546875" style="968" customWidth="1"/>
    <col min="537" max="537" width="9.140625" style="968"/>
    <col min="538" max="538" width="12.28515625" style="968" customWidth="1"/>
    <col min="539" max="768" width="9.140625" style="968"/>
    <col min="769" max="770" width="5.28515625" style="968" customWidth="1"/>
    <col min="771" max="771" width="36" style="968" customWidth="1"/>
    <col min="772" max="772" width="7.28515625" style="968" customWidth="1"/>
    <col min="773" max="773" width="7" style="968" bestFit="1" customWidth="1"/>
    <col min="774" max="774" width="5.140625" style="968" customWidth="1"/>
    <col min="775" max="775" width="4.85546875" style="968" customWidth="1"/>
    <col min="776" max="776" width="13.7109375" style="968" customWidth="1"/>
    <col min="777" max="777" width="16.42578125" style="968" customWidth="1"/>
    <col min="778" max="778" width="13.28515625" style="968" customWidth="1"/>
    <col min="779" max="779" width="14.5703125" style="968" customWidth="1"/>
    <col min="780" max="780" width="14.42578125" style="968" customWidth="1"/>
    <col min="781" max="782" width="11.42578125" style="968" customWidth="1"/>
    <col min="783" max="783" width="12.42578125" style="968" customWidth="1"/>
    <col min="784" max="784" width="12.5703125" style="968" customWidth="1"/>
    <col min="785" max="785" width="13.85546875" style="968" customWidth="1"/>
    <col min="786" max="786" width="15.5703125" style="968" customWidth="1"/>
    <col min="787" max="787" width="12.42578125" style="968" customWidth="1"/>
    <col min="788" max="788" width="12.28515625" style="968" customWidth="1"/>
    <col min="789" max="789" width="12.5703125" style="968" customWidth="1"/>
    <col min="790" max="790" width="12.7109375" style="968" customWidth="1"/>
    <col min="791" max="791" width="13.140625" style="968" customWidth="1"/>
    <col min="792" max="792" width="13.85546875" style="968" customWidth="1"/>
    <col min="793" max="793" width="9.140625" style="968"/>
    <col min="794" max="794" width="12.28515625" style="968" customWidth="1"/>
    <col min="795" max="1024" width="9.140625" style="968"/>
    <col min="1025" max="1026" width="5.28515625" style="968" customWidth="1"/>
    <col min="1027" max="1027" width="36" style="968" customWidth="1"/>
    <col min="1028" max="1028" width="7.28515625" style="968" customWidth="1"/>
    <col min="1029" max="1029" width="7" style="968" bestFit="1" customWidth="1"/>
    <col min="1030" max="1030" width="5.140625" style="968" customWidth="1"/>
    <col min="1031" max="1031" width="4.85546875" style="968" customWidth="1"/>
    <col min="1032" max="1032" width="13.7109375" style="968" customWidth="1"/>
    <col min="1033" max="1033" width="16.42578125" style="968" customWidth="1"/>
    <col min="1034" max="1034" width="13.28515625" style="968" customWidth="1"/>
    <col min="1035" max="1035" width="14.5703125" style="968" customWidth="1"/>
    <col min="1036" max="1036" width="14.42578125" style="968" customWidth="1"/>
    <col min="1037" max="1038" width="11.42578125" style="968" customWidth="1"/>
    <col min="1039" max="1039" width="12.42578125" style="968" customWidth="1"/>
    <col min="1040" max="1040" width="12.5703125" style="968" customWidth="1"/>
    <col min="1041" max="1041" width="13.85546875" style="968" customWidth="1"/>
    <col min="1042" max="1042" width="15.5703125" style="968" customWidth="1"/>
    <col min="1043" max="1043" width="12.42578125" style="968" customWidth="1"/>
    <col min="1044" max="1044" width="12.28515625" style="968" customWidth="1"/>
    <col min="1045" max="1045" width="12.5703125" style="968" customWidth="1"/>
    <col min="1046" max="1046" width="12.7109375" style="968" customWidth="1"/>
    <col min="1047" max="1047" width="13.140625" style="968" customWidth="1"/>
    <col min="1048" max="1048" width="13.85546875" style="968" customWidth="1"/>
    <col min="1049" max="1049" width="9.140625" style="968"/>
    <col min="1050" max="1050" width="12.28515625" style="968" customWidth="1"/>
    <col min="1051" max="1280" width="9.140625" style="968"/>
    <col min="1281" max="1282" width="5.28515625" style="968" customWidth="1"/>
    <col min="1283" max="1283" width="36" style="968" customWidth="1"/>
    <col min="1284" max="1284" width="7.28515625" style="968" customWidth="1"/>
    <col min="1285" max="1285" width="7" style="968" bestFit="1" customWidth="1"/>
    <col min="1286" max="1286" width="5.140625" style="968" customWidth="1"/>
    <col min="1287" max="1287" width="4.85546875" style="968" customWidth="1"/>
    <col min="1288" max="1288" width="13.7109375" style="968" customWidth="1"/>
    <col min="1289" max="1289" width="16.42578125" style="968" customWidth="1"/>
    <col min="1290" max="1290" width="13.28515625" style="968" customWidth="1"/>
    <col min="1291" max="1291" width="14.5703125" style="968" customWidth="1"/>
    <col min="1292" max="1292" width="14.42578125" style="968" customWidth="1"/>
    <col min="1293" max="1294" width="11.42578125" style="968" customWidth="1"/>
    <col min="1295" max="1295" width="12.42578125" style="968" customWidth="1"/>
    <col min="1296" max="1296" width="12.5703125" style="968" customWidth="1"/>
    <col min="1297" max="1297" width="13.85546875" style="968" customWidth="1"/>
    <col min="1298" max="1298" width="15.5703125" style="968" customWidth="1"/>
    <col min="1299" max="1299" width="12.42578125" style="968" customWidth="1"/>
    <col min="1300" max="1300" width="12.28515625" style="968" customWidth="1"/>
    <col min="1301" max="1301" width="12.5703125" style="968" customWidth="1"/>
    <col min="1302" max="1302" width="12.7109375" style="968" customWidth="1"/>
    <col min="1303" max="1303" width="13.140625" style="968" customWidth="1"/>
    <col min="1304" max="1304" width="13.85546875" style="968" customWidth="1"/>
    <col min="1305" max="1305" width="9.140625" style="968"/>
    <col min="1306" max="1306" width="12.28515625" style="968" customWidth="1"/>
    <col min="1307" max="1536" width="9.140625" style="968"/>
    <col min="1537" max="1538" width="5.28515625" style="968" customWidth="1"/>
    <col min="1539" max="1539" width="36" style="968" customWidth="1"/>
    <col min="1540" max="1540" width="7.28515625" style="968" customWidth="1"/>
    <col min="1541" max="1541" width="7" style="968" bestFit="1" customWidth="1"/>
    <col min="1542" max="1542" width="5.140625" style="968" customWidth="1"/>
    <col min="1543" max="1543" width="4.85546875" style="968" customWidth="1"/>
    <col min="1544" max="1544" width="13.7109375" style="968" customWidth="1"/>
    <col min="1545" max="1545" width="16.42578125" style="968" customWidth="1"/>
    <col min="1546" max="1546" width="13.28515625" style="968" customWidth="1"/>
    <col min="1547" max="1547" width="14.5703125" style="968" customWidth="1"/>
    <col min="1548" max="1548" width="14.42578125" style="968" customWidth="1"/>
    <col min="1549" max="1550" width="11.42578125" style="968" customWidth="1"/>
    <col min="1551" max="1551" width="12.42578125" style="968" customWidth="1"/>
    <col min="1552" max="1552" width="12.5703125" style="968" customWidth="1"/>
    <col min="1553" max="1553" width="13.85546875" style="968" customWidth="1"/>
    <col min="1554" max="1554" width="15.5703125" style="968" customWidth="1"/>
    <col min="1555" max="1555" width="12.42578125" style="968" customWidth="1"/>
    <col min="1556" max="1556" width="12.28515625" style="968" customWidth="1"/>
    <col min="1557" max="1557" width="12.5703125" style="968" customWidth="1"/>
    <col min="1558" max="1558" width="12.7109375" style="968" customWidth="1"/>
    <col min="1559" max="1559" width="13.140625" style="968" customWidth="1"/>
    <col min="1560" max="1560" width="13.85546875" style="968" customWidth="1"/>
    <col min="1561" max="1561" width="9.140625" style="968"/>
    <col min="1562" max="1562" width="12.28515625" style="968" customWidth="1"/>
    <col min="1563" max="1792" width="9.140625" style="968"/>
    <col min="1793" max="1794" width="5.28515625" style="968" customWidth="1"/>
    <col min="1795" max="1795" width="36" style="968" customWidth="1"/>
    <col min="1796" max="1796" width="7.28515625" style="968" customWidth="1"/>
    <col min="1797" max="1797" width="7" style="968" bestFit="1" customWidth="1"/>
    <col min="1798" max="1798" width="5.140625" style="968" customWidth="1"/>
    <col min="1799" max="1799" width="4.85546875" style="968" customWidth="1"/>
    <col min="1800" max="1800" width="13.7109375" style="968" customWidth="1"/>
    <col min="1801" max="1801" width="16.42578125" style="968" customWidth="1"/>
    <col min="1802" max="1802" width="13.28515625" style="968" customWidth="1"/>
    <col min="1803" max="1803" width="14.5703125" style="968" customWidth="1"/>
    <col min="1804" max="1804" width="14.42578125" style="968" customWidth="1"/>
    <col min="1805" max="1806" width="11.42578125" style="968" customWidth="1"/>
    <col min="1807" max="1807" width="12.42578125" style="968" customWidth="1"/>
    <col min="1808" max="1808" width="12.5703125" style="968" customWidth="1"/>
    <col min="1809" max="1809" width="13.85546875" style="968" customWidth="1"/>
    <col min="1810" max="1810" width="15.5703125" style="968" customWidth="1"/>
    <col min="1811" max="1811" width="12.42578125" style="968" customWidth="1"/>
    <col min="1812" max="1812" width="12.28515625" style="968" customWidth="1"/>
    <col min="1813" max="1813" width="12.5703125" style="968" customWidth="1"/>
    <col min="1814" max="1814" width="12.7109375" style="968" customWidth="1"/>
    <col min="1815" max="1815" width="13.140625" style="968" customWidth="1"/>
    <col min="1816" max="1816" width="13.85546875" style="968" customWidth="1"/>
    <col min="1817" max="1817" width="9.140625" style="968"/>
    <col min="1818" max="1818" width="12.28515625" style="968" customWidth="1"/>
    <col min="1819" max="2048" width="9.140625" style="968"/>
    <col min="2049" max="2050" width="5.28515625" style="968" customWidth="1"/>
    <col min="2051" max="2051" width="36" style="968" customWidth="1"/>
    <col min="2052" max="2052" width="7.28515625" style="968" customWidth="1"/>
    <col min="2053" max="2053" width="7" style="968" bestFit="1" customWidth="1"/>
    <col min="2054" max="2054" width="5.140625" style="968" customWidth="1"/>
    <col min="2055" max="2055" width="4.85546875" style="968" customWidth="1"/>
    <col min="2056" max="2056" width="13.7109375" style="968" customWidth="1"/>
    <col min="2057" max="2057" width="16.42578125" style="968" customWidth="1"/>
    <col min="2058" max="2058" width="13.28515625" style="968" customWidth="1"/>
    <col min="2059" max="2059" width="14.5703125" style="968" customWidth="1"/>
    <col min="2060" max="2060" width="14.42578125" style="968" customWidth="1"/>
    <col min="2061" max="2062" width="11.42578125" style="968" customWidth="1"/>
    <col min="2063" max="2063" width="12.42578125" style="968" customWidth="1"/>
    <col min="2064" max="2064" width="12.5703125" style="968" customWidth="1"/>
    <col min="2065" max="2065" width="13.85546875" style="968" customWidth="1"/>
    <col min="2066" max="2066" width="15.5703125" style="968" customWidth="1"/>
    <col min="2067" max="2067" width="12.42578125" style="968" customWidth="1"/>
    <col min="2068" max="2068" width="12.28515625" style="968" customWidth="1"/>
    <col min="2069" max="2069" width="12.5703125" style="968" customWidth="1"/>
    <col min="2070" max="2070" width="12.7109375" style="968" customWidth="1"/>
    <col min="2071" max="2071" width="13.140625" style="968" customWidth="1"/>
    <col min="2072" max="2072" width="13.85546875" style="968" customWidth="1"/>
    <col min="2073" max="2073" width="9.140625" style="968"/>
    <col min="2074" max="2074" width="12.28515625" style="968" customWidth="1"/>
    <col min="2075" max="2304" width="9.140625" style="968"/>
    <col min="2305" max="2306" width="5.28515625" style="968" customWidth="1"/>
    <col min="2307" max="2307" width="36" style="968" customWidth="1"/>
    <col min="2308" max="2308" width="7.28515625" style="968" customWidth="1"/>
    <col min="2309" max="2309" width="7" style="968" bestFit="1" customWidth="1"/>
    <col min="2310" max="2310" width="5.140625" style="968" customWidth="1"/>
    <col min="2311" max="2311" width="4.85546875" style="968" customWidth="1"/>
    <col min="2312" max="2312" width="13.7109375" style="968" customWidth="1"/>
    <col min="2313" max="2313" width="16.42578125" style="968" customWidth="1"/>
    <col min="2314" max="2314" width="13.28515625" style="968" customWidth="1"/>
    <col min="2315" max="2315" width="14.5703125" style="968" customWidth="1"/>
    <col min="2316" max="2316" width="14.42578125" style="968" customWidth="1"/>
    <col min="2317" max="2318" width="11.42578125" style="968" customWidth="1"/>
    <col min="2319" max="2319" width="12.42578125" style="968" customWidth="1"/>
    <col min="2320" max="2320" width="12.5703125" style="968" customWidth="1"/>
    <col min="2321" max="2321" width="13.85546875" style="968" customWidth="1"/>
    <col min="2322" max="2322" width="15.5703125" style="968" customWidth="1"/>
    <col min="2323" max="2323" width="12.42578125" style="968" customWidth="1"/>
    <col min="2324" max="2324" width="12.28515625" style="968" customWidth="1"/>
    <col min="2325" max="2325" width="12.5703125" style="968" customWidth="1"/>
    <col min="2326" max="2326" width="12.7109375" style="968" customWidth="1"/>
    <col min="2327" max="2327" width="13.140625" style="968" customWidth="1"/>
    <col min="2328" max="2328" width="13.85546875" style="968" customWidth="1"/>
    <col min="2329" max="2329" width="9.140625" style="968"/>
    <col min="2330" max="2330" width="12.28515625" style="968" customWidth="1"/>
    <col min="2331" max="2560" width="9.140625" style="968"/>
    <col min="2561" max="2562" width="5.28515625" style="968" customWidth="1"/>
    <col min="2563" max="2563" width="36" style="968" customWidth="1"/>
    <col min="2564" max="2564" width="7.28515625" style="968" customWidth="1"/>
    <col min="2565" max="2565" width="7" style="968" bestFit="1" customWidth="1"/>
    <col min="2566" max="2566" width="5.140625" style="968" customWidth="1"/>
    <col min="2567" max="2567" width="4.85546875" style="968" customWidth="1"/>
    <col min="2568" max="2568" width="13.7109375" style="968" customWidth="1"/>
    <col min="2569" max="2569" width="16.42578125" style="968" customWidth="1"/>
    <col min="2570" max="2570" width="13.28515625" style="968" customWidth="1"/>
    <col min="2571" max="2571" width="14.5703125" style="968" customWidth="1"/>
    <col min="2572" max="2572" width="14.42578125" style="968" customWidth="1"/>
    <col min="2573" max="2574" width="11.42578125" style="968" customWidth="1"/>
    <col min="2575" max="2575" width="12.42578125" style="968" customWidth="1"/>
    <col min="2576" max="2576" width="12.5703125" style="968" customWidth="1"/>
    <col min="2577" max="2577" width="13.85546875" style="968" customWidth="1"/>
    <col min="2578" max="2578" width="15.5703125" style="968" customWidth="1"/>
    <col min="2579" max="2579" width="12.42578125" style="968" customWidth="1"/>
    <col min="2580" max="2580" width="12.28515625" style="968" customWidth="1"/>
    <col min="2581" max="2581" width="12.5703125" style="968" customWidth="1"/>
    <col min="2582" max="2582" width="12.7109375" style="968" customWidth="1"/>
    <col min="2583" max="2583" width="13.140625" style="968" customWidth="1"/>
    <col min="2584" max="2584" width="13.85546875" style="968" customWidth="1"/>
    <col min="2585" max="2585" width="9.140625" style="968"/>
    <col min="2586" max="2586" width="12.28515625" style="968" customWidth="1"/>
    <col min="2587" max="2816" width="9.140625" style="968"/>
    <col min="2817" max="2818" width="5.28515625" style="968" customWidth="1"/>
    <col min="2819" max="2819" width="36" style="968" customWidth="1"/>
    <col min="2820" max="2820" width="7.28515625" style="968" customWidth="1"/>
    <col min="2821" max="2821" width="7" style="968" bestFit="1" customWidth="1"/>
    <col min="2822" max="2822" width="5.140625" style="968" customWidth="1"/>
    <col min="2823" max="2823" width="4.85546875" style="968" customWidth="1"/>
    <col min="2824" max="2824" width="13.7109375" style="968" customWidth="1"/>
    <col min="2825" max="2825" width="16.42578125" style="968" customWidth="1"/>
    <col min="2826" max="2826" width="13.28515625" style="968" customWidth="1"/>
    <col min="2827" max="2827" width="14.5703125" style="968" customWidth="1"/>
    <col min="2828" max="2828" width="14.42578125" style="968" customWidth="1"/>
    <col min="2829" max="2830" width="11.42578125" style="968" customWidth="1"/>
    <col min="2831" max="2831" width="12.42578125" style="968" customWidth="1"/>
    <col min="2832" max="2832" width="12.5703125" style="968" customWidth="1"/>
    <col min="2833" max="2833" width="13.85546875" style="968" customWidth="1"/>
    <col min="2834" max="2834" width="15.5703125" style="968" customWidth="1"/>
    <col min="2835" max="2835" width="12.42578125" style="968" customWidth="1"/>
    <col min="2836" max="2836" width="12.28515625" style="968" customWidth="1"/>
    <col min="2837" max="2837" width="12.5703125" style="968" customWidth="1"/>
    <col min="2838" max="2838" width="12.7109375" style="968" customWidth="1"/>
    <col min="2839" max="2839" width="13.140625" style="968" customWidth="1"/>
    <col min="2840" max="2840" width="13.85546875" style="968" customWidth="1"/>
    <col min="2841" max="2841" width="9.140625" style="968"/>
    <col min="2842" max="2842" width="12.28515625" style="968" customWidth="1"/>
    <col min="2843" max="3072" width="9.140625" style="968"/>
    <col min="3073" max="3074" width="5.28515625" style="968" customWidth="1"/>
    <col min="3075" max="3075" width="36" style="968" customWidth="1"/>
    <col min="3076" max="3076" width="7.28515625" style="968" customWidth="1"/>
    <col min="3077" max="3077" width="7" style="968" bestFit="1" customWidth="1"/>
    <col min="3078" max="3078" width="5.140625" style="968" customWidth="1"/>
    <col min="3079" max="3079" width="4.85546875" style="968" customWidth="1"/>
    <col min="3080" max="3080" width="13.7109375" style="968" customWidth="1"/>
    <col min="3081" max="3081" width="16.42578125" style="968" customWidth="1"/>
    <col min="3082" max="3082" width="13.28515625" style="968" customWidth="1"/>
    <col min="3083" max="3083" width="14.5703125" style="968" customWidth="1"/>
    <col min="3084" max="3084" width="14.42578125" style="968" customWidth="1"/>
    <col min="3085" max="3086" width="11.42578125" style="968" customWidth="1"/>
    <col min="3087" max="3087" width="12.42578125" style="968" customWidth="1"/>
    <col min="3088" max="3088" width="12.5703125" style="968" customWidth="1"/>
    <col min="3089" max="3089" width="13.85546875" style="968" customWidth="1"/>
    <col min="3090" max="3090" width="15.5703125" style="968" customWidth="1"/>
    <col min="3091" max="3091" width="12.42578125" style="968" customWidth="1"/>
    <col min="3092" max="3092" width="12.28515625" style="968" customWidth="1"/>
    <col min="3093" max="3093" width="12.5703125" style="968" customWidth="1"/>
    <col min="3094" max="3094" width="12.7109375" style="968" customWidth="1"/>
    <col min="3095" max="3095" width="13.140625" style="968" customWidth="1"/>
    <col min="3096" max="3096" width="13.85546875" style="968" customWidth="1"/>
    <col min="3097" max="3097" width="9.140625" style="968"/>
    <col min="3098" max="3098" width="12.28515625" style="968" customWidth="1"/>
    <col min="3099" max="3328" width="9.140625" style="968"/>
    <col min="3329" max="3330" width="5.28515625" style="968" customWidth="1"/>
    <col min="3331" max="3331" width="36" style="968" customWidth="1"/>
    <col min="3332" max="3332" width="7.28515625" style="968" customWidth="1"/>
    <col min="3333" max="3333" width="7" style="968" bestFit="1" customWidth="1"/>
    <col min="3334" max="3334" width="5.140625" style="968" customWidth="1"/>
    <col min="3335" max="3335" width="4.85546875" style="968" customWidth="1"/>
    <col min="3336" max="3336" width="13.7109375" style="968" customWidth="1"/>
    <col min="3337" max="3337" width="16.42578125" style="968" customWidth="1"/>
    <col min="3338" max="3338" width="13.28515625" style="968" customWidth="1"/>
    <col min="3339" max="3339" width="14.5703125" style="968" customWidth="1"/>
    <col min="3340" max="3340" width="14.42578125" style="968" customWidth="1"/>
    <col min="3341" max="3342" width="11.42578125" style="968" customWidth="1"/>
    <col min="3343" max="3343" width="12.42578125" style="968" customWidth="1"/>
    <col min="3344" max="3344" width="12.5703125" style="968" customWidth="1"/>
    <col min="3345" max="3345" width="13.85546875" style="968" customWidth="1"/>
    <col min="3346" max="3346" width="15.5703125" style="968" customWidth="1"/>
    <col min="3347" max="3347" width="12.42578125" style="968" customWidth="1"/>
    <col min="3348" max="3348" width="12.28515625" style="968" customWidth="1"/>
    <col min="3349" max="3349" width="12.5703125" style="968" customWidth="1"/>
    <col min="3350" max="3350" width="12.7109375" style="968" customWidth="1"/>
    <col min="3351" max="3351" width="13.140625" style="968" customWidth="1"/>
    <col min="3352" max="3352" width="13.85546875" style="968" customWidth="1"/>
    <col min="3353" max="3353" width="9.140625" style="968"/>
    <col min="3354" max="3354" width="12.28515625" style="968" customWidth="1"/>
    <col min="3355" max="3584" width="9.140625" style="968"/>
    <col min="3585" max="3586" width="5.28515625" style="968" customWidth="1"/>
    <col min="3587" max="3587" width="36" style="968" customWidth="1"/>
    <col min="3588" max="3588" width="7.28515625" style="968" customWidth="1"/>
    <col min="3589" max="3589" width="7" style="968" bestFit="1" customWidth="1"/>
    <col min="3590" max="3590" width="5.140625" style="968" customWidth="1"/>
    <col min="3591" max="3591" width="4.85546875" style="968" customWidth="1"/>
    <col min="3592" max="3592" width="13.7109375" style="968" customWidth="1"/>
    <col min="3593" max="3593" width="16.42578125" style="968" customWidth="1"/>
    <col min="3594" max="3594" width="13.28515625" style="968" customWidth="1"/>
    <col min="3595" max="3595" width="14.5703125" style="968" customWidth="1"/>
    <col min="3596" max="3596" width="14.42578125" style="968" customWidth="1"/>
    <col min="3597" max="3598" width="11.42578125" style="968" customWidth="1"/>
    <col min="3599" max="3599" width="12.42578125" style="968" customWidth="1"/>
    <col min="3600" max="3600" width="12.5703125" style="968" customWidth="1"/>
    <col min="3601" max="3601" width="13.85546875" style="968" customWidth="1"/>
    <col min="3602" max="3602" width="15.5703125" style="968" customWidth="1"/>
    <col min="3603" max="3603" width="12.42578125" style="968" customWidth="1"/>
    <col min="3604" max="3604" width="12.28515625" style="968" customWidth="1"/>
    <col min="3605" max="3605" width="12.5703125" style="968" customWidth="1"/>
    <col min="3606" max="3606" width="12.7109375" style="968" customWidth="1"/>
    <col min="3607" max="3607" width="13.140625" style="968" customWidth="1"/>
    <col min="3608" max="3608" width="13.85546875" style="968" customWidth="1"/>
    <col min="3609" max="3609" width="9.140625" style="968"/>
    <col min="3610" max="3610" width="12.28515625" style="968" customWidth="1"/>
    <col min="3611" max="3840" width="9.140625" style="968"/>
    <col min="3841" max="3842" width="5.28515625" style="968" customWidth="1"/>
    <col min="3843" max="3843" width="36" style="968" customWidth="1"/>
    <col min="3844" max="3844" width="7.28515625" style="968" customWidth="1"/>
    <col min="3845" max="3845" width="7" style="968" bestFit="1" customWidth="1"/>
    <col min="3846" max="3846" width="5.140625" style="968" customWidth="1"/>
    <col min="3847" max="3847" width="4.85546875" style="968" customWidth="1"/>
    <col min="3848" max="3848" width="13.7109375" style="968" customWidth="1"/>
    <col min="3849" max="3849" width="16.42578125" style="968" customWidth="1"/>
    <col min="3850" max="3850" width="13.28515625" style="968" customWidth="1"/>
    <col min="3851" max="3851" width="14.5703125" style="968" customWidth="1"/>
    <col min="3852" max="3852" width="14.42578125" style="968" customWidth="1"/>
    <col min="3853" max="3854" width="11.42578125" style="968" customWidth="1"/>
    <col min="3855" max="3855" width="12.42578125" style="968" customWidth="1"/>
    <col min="3856" max="3856" width="12.5703125" style="968" customWidth="1"/>
    <col min="3857" max="3857" width="13.85546875" style="968" customWidth="1"/>
    <col min="3858" max="3858" width="15.5703125" style="968" customWidth="1"/>
    <col min="3859" max="3859" width="12.42578125" style="968" customWidth="1"/>
    <col min="3860" max="3860" width="12.28515625" style="968" customWidth="1"/>
    <col min="3861" max="3861" width="12.5703125" style="968" customWidth="1"/>
    <col min="3862" max="3862" width="12.7109375" style="968" customWidth="1"/>
    <col min="3863" max="3863" width="13.140625" style="968" customWidth="1"/>
    <col min="3864" max="3864" width="13.85546875" style="968" customWidth="1"/>
    <col min="3865" max="3865" width="9.140625" style="968"/>
    <col min="3866" max="3866" width="12.28515625" style="968" customWidth="1"/>
    <col min="3867" max="4096" width="9.140625" style="968"/>
    <col min="4097" max="4098" width="5.28515625" style="968" customWidth="1"/>
    <col min="4099" max="4099" width="36" style="968" customWidth="1"/>
    <col min="4100" max="4100" width="7.28515625" style="968" customWidth="1"/>
    <col min="4101" max="4101" width="7" style="968" bestFit="1" customWidth="1"/>
    <col min="4102" max="4102" width="5.140625" style="968" customWidth="1"/>
    <col min="4103" max="4103" width="4.85546875" style="968" customWidth="1"/>
    <col min="4104" max="4104" width="13.7109375" style="968" customWidth="1"/>
    <col min="4105" max="4105" width="16.42578125" style="968" customWidth="1"/>
    <col min="4106" max="4106" width="13.28515625" style="968" customWidth="1"/>
    <col min="4107" max="4107" width="14.5703125" style="968" customWidth="1"/>
    <col min="4108" max="4108" width="14.42578125" style="968" customWidth="1"/>
    <col min="4109" max="4110" width="11.42578125" style="968" customWidth="1"/>
    <col min="4111" max="4111" width="12.42578125" style="968" customWidth="1"/>
    <col min="4112" max="4112" width="12.5703125" style="968" customWidth="1"/>
    <col min="4113" max="4113" width="13.85546875" style="968" customWidth="1"/>
    <col min="4114" max="4114" width="15.5703125" style="968" customWidth="1"/>
    <col min="4115" max="4115" width="12.42578125" style="968" customWidth="1"/>
    <col min="4116" max="4116" width="12.28515625" style="968" customWidth="1"/>
    <col min="4117" max="4117" width="12.5703125" style="968" customWidth="1"/>
    <col min="4118" max="4118" width="12.7109375" style="968" customWidth="1"/>
    <col min="4119" max="4119" width="13.140625" style="968" customWidth="1"/>
    <col min="4120" max="4120" width="13.85546875" style="968" customWidth="1"/>
    <col min="4121" max="4121" width="9.140625" style="968"/>
    <col min="4122" max="4122" width="12.28515625" style="968" customWidth="1"/>
    <col min="4123" max="4352" width="9.140625" style="968"/>
    <col min="4353" max="4354" width="5.28515625" style="968" customWidth="1"/>
    <col min="4355" max="4355" width="36" style="968" customWidth="1"/>
    <col min="4356" max="4356" width="7.28515625" style="968" customWidth="1"/>
    <col min="4357" max="4357" width="7" style="968" bestFit="1" customWidth="1"/>
    <col min="4358" max="4358" width="5.140625" style="968" customWidth="1"/>
    <col min="4359" max="4359" width="4.85546875" style="968" customWidth="1"/>
    <col min="4360" max="4360" width="13.7109375" style="968" customWidth="1"/>
    <col min="4361" max="4361" width="16.42578125" style="968" customWidth="1"/>
    <col min="4362" max="4362" width="13.28515625" style="968" customWidth="1"/>
    <col min="4363" max="4363" width="14.5703125" style="968" customWidth="1"/>
    <col min="4364" max="4364" width="14.42578125" style="968" customWidth="1"/>
    <col min="4365" max="4366" width="11.42578125" style="968" customWidth="1"/>
    <col min="4367" max="4367" width="12.42578125" style="968" customWidth="1"/>
    <col min="4368" max="4368" width="12.5703125" style="968" customWidth="1"/>
    <col min="4369" max="4369" width="13.85546875" style="968" customWidth="1"/>
    <col min="4370" max="4370" width="15.5703125" style="968" customWidth="1"/>
    <col min="4371" max="4371" width="12.42578125" style="968" customWidth="1"/>
    <col min="4372" max="4372" width="12.28515625" style="968" customWidth="1"/>
    <col min="4373" max="4373" width="12.5703125" style="968" customWidth="1"/>
    <col min="4374" max="4374" width="12.7109375" style="968" customWidth="1"/>
    <col min="4375" max="4375" width="13.140625" style="968" customWidth="1"/>
    <col min="4376" max="4376" width="13.85546875" style="968" customWidth="1"/>
    <col min="4377" max="4377" width="9.140625" style="968"/>
    <col min="4378" max="4378" width="12.28515625" style="968" customWidth="1"/>
    <col min="4379" max="4608" width="9.140625" style="968"/>
    <col min="4609" max="4610" width="5.28515625" style="968" customWidth="1"/>
    <col min="4611" max="4611" width="36" style="968" customWidth="1"/>
    <col min="4612" max="4612" width="7.28515625" style="968" customWidth="1"/>
    <col min="4613" max="4613" width="7" style="968" bestFit="1" customWidth="1"/>
    <col min="4614" max="4614" width="5.140625" style="968" customWidth="1"/>
    <col min="4615" max="4615" width="4.85546875" style="968" customWidth="1"/>
    <col min="4616" max="4616" width="13.7109375" style="968" customWidth="1"/>
    <col min="4617" max="4617" width="16.42578125" style="968" customWidth="1"/>
    <col min="4618" max="4618" width="13.28515625" style="968" customWidth="1"/>
    <col min="4619" max="4619" width="14.5703125" style="968" customWidth="1"/>
    <col min="4620" max="4620" width="14.42578125" style="968" customWidth="1"/>
    <col min="4621" max="4622" width="11.42578125" style="968" customWidth="1"/>
    <col min="4623" max="4623" width="12.42578125" style="968" customWidth="1"/>
    <col min="4624" max="4624" width="12.5703125" style="968" customWidth="1"/>
    <col min="4625" max="4625" width="13.85546875" style="968" customWidth="1"/>
    <col min="4626" max="4626" width="15.5703125" style="968" customWidth="1"/>
    <col min="4627" max="4627" width="12.42578125" style="968" customWidth="1"/>
    <col min="4628" max="4628" width="12.28515625" style="968" customWidth="1"/>
    <col min="4629" max="4629" width="12.5703125" style="968" customWidth="1"/>
    <col min="4630" max="4630" width="12.7109375" style="968" customWidth="1"/>
    <col min="4631" max="4631" width="13.140625" style="968" customWidth="1"/>
    <col min="4632" max="4632" width="13.85546875" style="968" customWidth="1"/>
    <col min="4633" max="4633" width="9.140625" style="968"/>
    <col min="4634" max="4634" width="12.28515625" style="968" customWidth="1"/>
    <col min="4635" max="4864" width="9.140625" style="968"/>
    <col min="4865" max="4866" width="5.28515625" style="968" customWidth="1"/>
    <col min="4867" max="4867" width="36" style="968" customWidth="1"/>
    <col min="4868" max="4868" width="7.28515625" style="968" customWidth="1"/>
    <col min="4869" max="4869" width="7" style="968" bestFit="1" customWidth="1"/>
    <col min="4870" max="4870" width="5.140625" style="968" customWidth="1"/>
    <col min="4871" max="4871" width="4.85546875" style="968" customWidth="1"/>
    <col min="4872" max="4872" width="13.7109375" style="968" customWidth="1"/>
    <col min="4873" max="4873" width="16.42578125" style="968" customWidth="1"/>
    <col min="4874" max="4874" width="13.28515625" style="968" customWidth="1"/>
    <col min="4875" max="4875" width="14.5703125" style="968" customWidth="1"/>
    <col min="4876" max="4876" width="14.42578125" style="968" customWidth="1"/>
    <col min="4877" max="4878" width="11.42578125" style="968" customWidth="1"/>
    <col min="4879" max="4879" width="12.42578125" style="968" customWidth="1"/>
    <col min="4880" max="4880" width="12.5703125" style="968" customWidth="1"/>
    <col min="4881" max="4881" width="13.85546875" style="968" customWidth="1"/>
    <col min="4882" max="4882" width="15.5703125" style="968" customWidth="1"/>
    <col min="4883" max="4883" width="12.42578125" style="968" customWidth="1"/>
    <col min="4884" max="4884" width="12.28515625" style="968" customWidth="1"/>
    <col min="4885" max="4885" width="12.5703125" style="968" customWidth="1"/>
    <col min="4886" max="4886" width="12.7109375" style="968" customWidth="1"/>
    <col min="4887" max="4887" width="13.140625" style="968" customWidth="1"/>
    <col min="4888" max="4888" width="13.85546875" style="968" customWidth="1"/>
    <col min="4889" max="4889" width="9.140625" style="968"/>
    <col min="4890" max="4890" width="12.28515625" style="968" customWidth="1"/>
    <col min="4891" max="5120" width="9.140625" style="968"/>
    <col min="5121" max="5122" width="5.28515625" style="968" customWidth="1"/>
    <col min="5123" max="5123" width="36" style="968" customWidth="1"/>
    <col min="5124" max="5124" width="7.28515625" style="968" customWidth="1"/>
    <col min="5125" max="5125" width="7" style="968" bestFit="1" customWidth="1"/>
    <col min="5126" max="5126" width="5.140625" style="968" customWidth="1"/>
    <col min="5127" max="5127" width="4.85546875" style="968" customWidth="1"/>
    <col min="5128" max="5128" width="13.7109375" style="968" customWidth="1"/>
    <col min="5129" max="5129" width="16.42578125" style="968" customWidth="1"/>
    <col min="5130" max="5130" width="13.28515625" style="968" customWidth="1"/>
    <col min="5131" max="5131" width="14.5703125" style="968" customWidth="1"/>
    <col min="5132" max="5132" width="14.42578125" style="968" customWidth="1"/>
    <col min="5133" max="5134" width="11.42578125" style="968" customWidth="1"/>
    <col min="5135" max="5135" width="12.42578125" style="968" customWidth="1"/>
    <col min="5136" max="5136" width="12.5703125" style="968" customWidth="1"/>
    <col min="5137" max="5137" width="13.85546875" style="968" customWidth="1"/>
    <col min="5138" max="5138" width="15.5703125" style="968" customWidth="1"/>
    <col min="5139" max="5139" width="12.42578125" style="968" customWidth="1"/>
    <col min="5140" max="5140" width="12.28515625" style="968" customWidth="1"/>
    <col min="5141" max="5141" width="12.5703125" style="968" customWidth="1"/>
    <col min="5142" max="5142" width="12.7109375" style="968" customWidth="1"/>
    <col min="5143" max="5143" width="13.140625" style="968" customWidth="1"/>
    <col min="5144" max="5144" width="13.85546875" style="968" customWidth="1"/>
    <col min="5145" max="5145" width="9.140625" style="968"/>
    <col min="5146" max="5146" width="12.28515625" style="968" customWidth="1"/>
    <col min="5147" max="5376" width="9.140625" style="968"/>
    <col min="5377" max="5378" width="5.28515625" style="968" customWidth="1"/>
    <col min="5379" max="5379" width="36" style="968" customWidth="1"/>
    <col min="5380" max="5380" width="7.28515625" style="968" customWidth="1"/>
    <col min="5381" max="5381" width="7" style="968" bestFit="1" customWidth="1"/>
    <col min="5382" max="5382" width="5.140625" style="968" customWidth="1"/>
    <col min="5383" max="5383" width="4.85546875" style="968" customWidth="1"/>
    <col min="5384" max="5384" width="13.7109375" style="968" customWidth="1"/>
    <col min="5385" max="5385" width="16.42578125" style="968" customWidth="1"/>
    <col min="5386" max="5386" width="13.28515625" style="968" customWidth="1"/>
    <col min="5387" max="5387" width="14.5703125" style="968" customWidth="1"/>
    <col min="5388" max="5388" width="14.42578125" style="968" customWidth="1"/>
    <col min="5389" max="5390" width="11.42578125" style="968" customWidth="1"/>
    <col min="5391" max="5391" width="12.42578125" style="968" customWidth="1"/>
    <col min="5392" max="5392" width="12.5703125" style="968" customWidth="1"/>
    <col min="5393" max="5393" width="13.85546875" style="968" customWidth="1"/>
    <col min="5394" max="5394" width="15.5703125" style="968" customWidth="1"/>
    <col min="5395" max="5395" width="12.42578125" style="968" customWidth="1"/>
    <col min="5396" max="5396" width="12.28515625" style="968" customWidth="1"/>
    <col min="5397" max="5397" width="12.5703125" style="968" customWidth="1"/>
    <col min="5398" max="5398" width="12.7109375" style="968" customWidth="1"/>
    <col min="5399" max="5399" width="13.140625" style="968" customWidth="1"/>
    <col min="5400" max="5400" width="13.85546875" style="968" customWidth="1"/>
    <col min="5401" max="5401" width="9.140625" style="968"/>
    <col min="5402" max="5402" width="12.28515625" style="968" customWidth="1"/>
    <col min="5403" max="5632" width="9.140625" style="968"/>
    <col min="5633" max="5634" width="5.28515625" style="968" customWidth="1"/>
    <col min="5635" max="5635" width="36" style="968" customWidth="1"/>
    <col min="5636" max="5636" width="7.28515625" style="968" customWidth="1"/>
    <col min="5637" max="5637" width="7" style="968" bestFit="1" customWidth="1"/>
    <col min="5638" max="5638" width="5.140625" style="968" customWidth="1"/>
    <col min="5639" max="5639" width="4.85546875" style="968" customWidth="1"/>
    <col min="5640" max="5640" width="13.7109375" style="968" customWidth="1"/>
    <col min="5641" max="5641" width="16.42578125" style="968" customWidth="1"/>
    <col min="5642" max="5642" width="13.28515625" style="968" customWidth="1"/>
    <col min="5643" max="5643" width="14.5703125" style="968" customWidth="1"/>
    <col min="5644" max="5644" width="14.42578125" style="968" customWidth="1"/>
    <col min="5645" max="5646" width="11.42578125" style="968" customWidth="1"/>
    <col min="5647" max="5647" width="12.42578125" style="968" customWidth="1"/>
    <col min="5648" max="5648" width="12.5703125" style="968" customWidth="1"/>
    <col min="5649" max="5649" width="13.85546875" style="968" customWidth="1"/>
    <col min="5650" max="5650" width="15.5703125" style="968" customWidth="1"/>
    <col min="5651" max="5651" width="12.42578125" style="968" customWidth="1"/>
    <col min="5652" max="5652" width="12.28515625" style="968" customWidth="1"/>
    <col min="5653" max="5653" width="12.5703125" style="968" customWidth="1"/>
    <col min="5654" max="5654" width="12.7109375" style="968" customWidth="1"/>
    <col min="5655" max="5655" width="13.140625" style="968" customWidth="1"/>
    <col min="5656" max="5656" width="13.85546875" style="968" customWidth="1"/>
    <col min="5657" max="5657" width="9.140625" style="968"/>
    <col min="5658" max="5658" width="12.28515625" style="968" customWidth="1"/>
    <col min="5659" max="5888" width="9.140625" style="968"/>
    <col min="5889" max="5890" width="5.28515625" style="968" customWidth="1"/>
    <col min="5891" max="5891" width="36" style="968" customWidth="1"/>
    <col min="5892" max="5892" width="7.28515625" style="968" customWidth="1"/>
    <col min="5893" max="5893" width="7" style="968" bestFit="1" customWidth="1"/>
    <col min="5894" max="5894" width="5.140625" style="968" customWidth="1"/>
    <col min="5895" max="5895" width="4.85546875" style="968" customWidth="1"/>
    <col min="5896" max="5896" width="13.7109375" style="968" customWidth="1"/>
    <col min="5897" max="5897" width="16.42578125" style="968" customWidth="1"/>
    <col min="5898" max="5898" width="13.28515625" style="968" customWidth="1"/>
    <col min="5899" max="5899" width="14.5703125" style="968" customWidth="1"/>
    <col min="5900" max="5900" width="14.42578125" style="968" customWidth="1"/>
    <col min="5901" max="5902" width="11.42578125" style="968" customWidth="1"/>
    <col min="5903" max="5903" width="12.42578125" style="968" customWidth="1"/>
    <col min="5904" max="5904" width="12.5703125" style="968" customWidth="1"/>
    <col min="5905" max="5905" width="13.85546875" style="968" customWidth="1"/>
    <col min="5906" max="5906" width="15.5703125" style="968" customWidth="1"/>
    <col min="5907" max="5907" width="12.42578125" style="968" customWidth="1"/>
    <col min="5908" max="5908" width="12.28515625" style="968" customWidth="1"/>
    <col min="5909" max="5909" width="12.5703125" style="968" customWidth="1"/>
    <col min="5910" max="5910" width="12.7109375" style="968" customWidth="1"/>
    <col min="5911" max="5911" width="13.140625" style="968" customWidth="1"/>
    <col min="5912" max="5912" width="13.85546875" style="968" customWidth="1"/>
    <col min="5913" max="5913" width="9.140625" style="968"/>
    <col min="5914" max="5914" width="12.28515625" style="968" customWidth="1"/>
    <col min="5915" max="6144" width="9.140625" style="968"/>
    <col min="6145" max="6146" width="5.28515625" style="968" customWidth="1"/>
    <col min="6147" max="6147" width="36" style="968" customWidth="1"/>
    <col min="6148" max="6148" width="7.28515625" style="968" customWidth="1"/>
    <col min="6149" max="6149" width="7" style="968" bestFit="1" customWidth="1"/>
    <col min="6150" max="6150" width="5.140625" style="968" customWidth="1"/>
    <col min="6151" max="6151" width="4.85546875" style="968" customWidth="1"/>
    <col min="6152" max="6152" width="13.7109375" style="968" customWidth="1"/>
    <col min="6153" max="6153" width="16.42578125" style="968" customWidth="1"/>
    <col min="6154" max="6154" width="13.28515625" style="968" customWidth="1"/>
    <col min="6155" max="6155" width="14.5703125" style="968" customWidth="1"/>
    <col min="6156" max="6156" width="14.42578125" style="968" customWidth="1"/>
    <col min="6157" max="6158" width="11.42578125" style="968" customWidth="1"/>
    <col min="6159" max="6159" width="12.42578125" style="968" customWidth="1"/>
    <col min="6160" max="6160" width="12.5703125" style="968" customWidth="1"/>
    <col min="6161" max="6161" width="13.85546875" style="968" customWidth="1"/>
    <col min="6162" max="6162" width="15.5703125" style="968" customWidth="1"/>
    <col min="6163" max="6163" width="12.42578125" style="968" customWidth="1"/>
    <col min="6164" max="6164" width="12.28515625" style="968" customWidth="1"/>
    <col min="6165" max="6165" width="12.5703125" style="968" customWidth="1"/>
    <col min="6166" max="6166" width="12.7109375" style="968" customWidth="1"/>
    <col min="6167" max="6167" width="13.140625" style="968" customWidth="1"/>
    <col min="6168" max="6168" width="13.85546875" style="968" customWidth="1"/>
    <col min="6169" max="6169" width="9.140625" style="968"/>
    <col min="6170" max="6170" width="12.28515625" style="968" customWidth="1"/>
    <col min="6171" max="6400" width="9.140625" style="968"/>
    <col min="6401" max="6402" width="5.28515625" style="968" customWidth="1"/>
    <col min="6403" max="6403" width="36" style="968" customWidth="1"/>
    <col min="6404" max="6404" width="7.28515625" style="968" customWidth="1"/>
    <col min="6405" max="6405" width="7" style="968" bestFit="1" customWidth="1"/>
    <col min="6406" max="6406" width="5.140625" style="968" customWidth="1"/>
    <col min="6407" max="6407" width="4.85546875" style="968" customWidth="1"/>
    <col min="6408" max="6408" width="13.7109375" style="968" customWidth="1"/>
    <col min="6409" max="6409" width="16.42578125" style="968" customWidth="1"/>
    <col min="6410" max="6410" width="13.28515625" style="968" customWidth="1"/>
    <col min="6411" max="6411" width="14.5703125" style="968" customWidth="1"/>
    <col min="6412" max="6412" width="14.42578125" style="968" customWidth="1"/>
    <col min="6413" max="6414" width="11.42578125" style="968" customWidth="1"/>
    <col min="6415" max="6415" width="12.42578125" style="968" customWidth="1"/>
    <col min="6416" max="6416" width="12.5703125" style="968" customWidth="1"/>
    <col min="6417" max="6417" width="13.85546875" style="968" customWidth="1"/>
    <col min="6418" max="6418" width="15.5703125" style="968" customWidth="1"/>
    <col min="6419" max="6419" width="12.42578125" style="968" customWidth="1"/>
    <col min="6420" max="6420" width="12.28515625" style="968" customWidth="1"/>
    <col min="6421" max="6421" width="12.5703125" style="968" customWidth="1"/>
    <col min="6422" max="6422" width="12.7109375" style="968" customWidth="1"/>
    <col min="6423" max="6423" width="13.140625" style="968" customWidth="1"/>
    <col min="6424" max="6424" width="13.85546875" style="968" customWidth="1"/>
    <col min="6425" max="6425" width="9.140625" style="968"/>
    <col min="6426" max="6426" width="12.28515625" style="968" customWidth="1"/>
    <col min="6427" max="6656" width="9.140625" style="968"/>
    <col min="6657" max="6658" width="5.28515625" style="968" customWidth="1"/>
    <col min="6659" max="6659" width="36" style="968" customWidth="1"/>
    <col min="6660" max="6660" width="7.28515625" style="968" customWidth="1"/>
    <col min="6661" max="6661" width="7" style="968" bestFit="1" customWidth="1"/>
    <col min="6662" max="6662" width="5.140625" style="968" customWidth="1"/>
    <col min="6663" max="6663" width="4.85546875" style="968" customWidth="1"/>
    <col min="6664" max="6664" width="13.7109375" style="968" customWidth="1"/>
    <col min="6665" max="6665" width="16.42578125" style="968" customWidth="1"/>
    <col min="6666" max="6666" width="13.28515625" style="968" customWidth="1"/>
    <col min="6667" max="6667" width="14.5703125" style="968" customWidth="1"/>
    <col min="6668" max="6668" width="14.42578125" style="968" customWidth="1"/>
    <col min="6669" max="6670" width="11.42578125" style="968" customWidth="1"/>
    <col min="6671" max="6671" width="12.42578125" style="968" customWidth="1"/>
    <col min="6672" max="6672" width="12.5703125" style="968" customWidth="1"/>
    <col min="6673" max="6673" width="13.85546875" style="968" customWidth="1"/>
    <col min="6674" max="6674" width="15.5703125" style="968" customWidth="1"/>
    <col min="6675" max="6675" width="12.42578125" style="968" customWidth="1"/>
    <col min="6676" max="6676" width="12.28515625" style="968" customWidth="1"/>
    <col min="6677" max="6677" width="12.5703125" style="968" customWidth="1"/>
    <col min="6678" max="6678" width="12.7109375" style="968" customWidth="1"/>
    <col min="6679" max="6679" width="13.140625" style="968" customWidth="1"/>
    <col min="6680" max="6680" width="13.85546875" style="968" customWidth="1"/>
    <col min="6681" max="6681" width="9.140625" style="968"/>
    <col min="6682" max="6682" width="12.28515625" style="968" customWidth="1"/>
    <col min="6683" max="6912" width="9.140625" style="968"/>
    <col min="6913" max="6914" width="5.28515625" style="968" customWidth="1"/>
    <col min="6915" max="6915" width="36" style="968" customWidth="1"/>
    <col min="6916" max="6916" width="7.28515625" style="968" customWidth="1"/>
    <col min="6917" max="6917" width="7" style="968" bestFit="1" customWidth="1"/>
    <col min="6918" max="6918" width="5.140625" style="968" customWidth="1"/>
    <col min="6919" max="6919" width="4.85546875" style="968" customWidth="1"/>
    <col min="6920" max="6920" width="13.7109375" style="968" customWidth="1"/>
    <col min="6921" max="6921" width="16.42578125" style="968" customWidth="1"/>
    <col min="6922" max="6922" width="13.28515625" style="968" customWidth="1"/>
    <col min="6923" max="6923" width="14.5703125" style="968" customWidth="1"/>
    <col min="6924" max="6924" width="14.42578125" style="968" customWidth="1"/>
    <col min="6925" max="6926" width="11.42578125" style="968" customWidth="1"/>
    <col min="6927" max="6927" width="12.42578125" style="968" customWidth="1"/>
    <col min="6928" max="6928" width="12.5703125" style="968" customWidth="1"/>
    <col min="6929" max="6929" width="13.85546875" style="968" customWidth="1"/>
    <col min="6930" max="6930" width="15.5703125" style="968" customWidth="1"/>
    <col min="6931" max="6931" width="12.42578125" style="968" customWidth="1"/>
    <col min="6932" max="6932" width="12.28515625" style="968" customWidth="1"/>
    <col min="6933" max="6933" width="12.5703125" style="968" customWidth="1"/>
    <col min="6934" max="6934" width="12.7109375" style="968" customWidth="1"/>
    <col min="6935" max="6935" width="13.140625" style="968" customWidth="1"/>
    <col min="6936" max="6936" width="13.85546875" style="968" customWidth="1"/>
    <col min="6937" max="6937" width="9.140625" style="968"/>
    <col min="6938" max="6938" width="12.28515625" style="968" customWidth="1"/>
    <col min="6939" max="7168" width="9.140625" style="968"/>
    <col min="7169" max="7170" width="5.28515625" style="968" customWidth="1"/>
    <col min="7171" max="7171" width="36" style="968" customWidth="1"/>
    <col min="7172" max="7172" width="7.28515625" style="968" customWidth="1"/>
    <col min="7173" max="7173" width="7" style="968" bestFit="1" customWidth="1"/>
    <col min="7174" max="7174" width="5.140625" style="968" customWidth="1"/>
    <col min="7175" max="7175" width="4.85546875" style="968" customWidth="1"/>
    <col min="7176" max="7176" width="13.7109375" style="968" customWidth="1"/>
    <col min="7177" max="7177" width="16.42578125" style="968" customWidth="1"/>
    <col min="7178" max="7178" width="13.28515625" style="968" customWidth="1"/>
    <col min="7179" max="7179" width="14.5703125" style="968" customWidth="1"/>
    <col min="7180" max="7180" width="14.42578125" style="968" customWidth="1"/>
    <col min="7181" max="7182" width="11.42578125" style="968" customWidth="1"/>
    <col min="7183" max="7183" width="12.42578125" style="968" customWidth="1"/>
    <col min="7184" max="7184" width="12.5703125" style="968" customWidth="1"/>
    <col min="7185" max="7185" width="13.85546875" style="968" customWidth="1"/>
    <col min="7186" max="7186" width="15.5703125" style="968" customWidth="1"/>
    <col min="7187" max="7187" width="12.42578125" style="968" customWidth="1"/>
    <col min="7188" max="7188" width="12.28515625" style="968" customWidth="1"/>
    <col min="7189" max="7189" width="12.5703125" style="968" customWidth="1"/>
    <col min="7190" max="7190" width="12.7109375" style="968" customWidth="1"/>
    <col min="7191" max="7191" width="13.140625" style="968" customWidth="1"/>
    <col min="7192" max="7192" width="13.85546875" style="968" customWidth="1"/>
    <col min="7193" max="7193" width="9.140625" style="968"/>
    <col min="7194" max="7194" width="12.28515625" style="968" customWidth="1"/>
    <col min="7195" max="7424" width="9.140625" style="968"/>
    <col min="7425" max="7426" width="5.28515625" style="968" customWidth="1"/>
    <col min="7427" max="7427" width="36" style="968" customWidth="1"/>
    <col min="7428" max="7428" width="7.28515625" style="968" customWidth="1"/>
    <col min="7429" max="7429" width="7" style="968" bestFit="1" customWidth="1"/>
    <col min="7430" max="7430" width="5.140625" style="968" customWidth="1"/>
    <col min="7431" max="7431" width="4.85546875" style="968" customWidth="1"/>
    <col min="7432" max="7432" width="13.7109375" style="968" customWidth="1"/>
    <col min="7433" max="7433" width="16.42578125" style="968" customWidth="1"/>
    <col min="7434" max="7434" width="13.28515625" style="968" customWidth="1"/>
    <col min="7435" max="7435" width="14.5703125" style="968" customWidth="1"/>
    <col min="7436" max="7436" width="14.42578125" style="968" customWidth="1"/>
    <col min="7437" max="7438" width="11.42578125" style="968" customWidth="1"/>
    <col min="7439" max="7439" width="12.42578125" style="968" customWidth="1"/>
    <col min="7440" max="7440" width="12.5703125" style="968" customWidth="1"/>
    <col min="7441" max="7441" width="13.85546875" style="968" customWidth="1"/>
    <col min="7442" max="7442" width="15.5703125" style="968" customWidth="1"/>
    <col min="7443" max="7443" width="12.42578125" style="968" customWidth="1"/>
    <col min="7444" max="7444" width="12.28515625" style="968" customWidth="1"/>
    <col min="7445" max="7445" width="12.5703125" style="968" customWidth="1"/>
    <col min="7446" max="7446" width="12.7109375" style="968" customWidth="1"/>
    <col min="7447" max="7447" width="13.140625" style="968" customWidth="1"/>
    <col min="7448" max="7448" width="13.85546875" style="968" customWidth="1"/>
    <col min="7449" max="7449" width="9.140625" style="968"/>
    <col min="7450" max="7450" width="12.28515625" style="968" customWidth="1"/>
    <col min="7451" max="7680" width="9.140625" style="968"/>
    <col min="7681" max="7682" width="5.28515625" style="968" customWidth="1"/>
    <col min="7683" max="7683" width="36" style="968" customWidth="1"/>
    <col min="7684" max="7684" width="7.28515625" style="968" customWidth="1"/>
    <col min="7685" max="7685" width="7" style="968" bestFit="1" customWidth="1"/>
    <col min="7686" max="7686" width="5.140625" style="968" customWidth="1"/>
    <col min="7687" max="7687" width="4.85546875" style="968" customWidth="1"/>
    <col min="7688" max="7688" width="13.7109375" style="968" customWidth="1"/>
    <col min="7689" max="7689" width="16.42578125" style="968" customWidth="1"/>
    <col min="7690" max="7690" width="13.28515625" style="968" customWidth="1"/>
    <col min="7691" max="7691" width="14.5703125" style="968" customWidth="1"/>
    <col min="7692" max="7692" width="14.42578125" style="968" customWidth="1"/>
    <col min="7693" max="7694" width="11.42578125" style="968" customWidth="1"/>
    <col min="7695" max="7695" width="12.42578125" style="968" customWidth="1"/>
    <col min="7696" max="7696" width="12.5703125" style="968" customWidth="1"/>
    <col min="7697" max="7697" width="13.85546875" style="968" customWidth="1"/>
    <col min="7698" max="7698" width="15.5703125" style="968" customWidth="1"/>
    <col min="7699" max="7699" width="12.42578125" style="968" customWidth="1"/>
    <col min="7700" max="7700" width="12.28515625" style="968" customWidth="1"/>
    <col min="7701" max="7701" width="12.5703125" style="968" customWidth="1"/>
    <col min="7702" max="7702" width="12.7109375" style="968" customWidth="1"/>
    <col min="7703" max="7703" width="13.140625" style="968" customWidth="1"/>
    <col min="7704" max="7704" width="13.85546875" style="968" customWidth="1"/>
    <col min="7705" max="7705" width="9.140625" style="968"/>
    <col min="7706" max="7706" width="12.28515625" style="968" customWidth="1"/>
    <col min="7707" max="7936" width="9.140625" style="968"/>
    <col min="7937" max="7938" width="5.28515625" style="968" customWidth="1"/>
    <col min="7939" max="7939" width="36" style="968" customWidth="1"/>
    <col min="7940" max="7940" width="7.28515625" style="968" customWidth="1"/>
    <col min="7941" max="7941" width="7" style="968" bestFit="1" customWidth="1"/>
    <col min="7942" max="7942" width="5.140625" style="968" customWidth="1"/>
    <col min="7943" max="7943" width="4.85546875" style="968" customWidth="1"/>
    <col min="7944" max="7944" width="13.7109375" style="968" customWidth="1"/>
    <col min="7945" max="7945" width="16.42578125" style="968" customWidth="1"/>
    <col min="7946" max="7946" width="13.28515625" style="968" customWidth="1"/>
    <col min="7947" max="7947" width="14.5703125" style="968" customWidth="1"/>
    <col min="7948" max="7948" width="14.42578125" style="968" customWidth="1"/>
    <col min="7949" max="7950" width="11.42578125" style="968" customWidth="1"/>
    <col min="7951" max="7951" width="12.42578125" style="968" customWidth="1"/>
    <col min="7952" max="7952" width="12.5703125" style="968" customWidth="1"/>
    <col min="7953" max="7953" width="13.85546875" style="968" customWidth="1"/>
    <col min="7954" max="7954" width="15.5703125" style="968" customWidth="1"/>
    <col min="7955" max="7955" width="12.42578125" style="968" customWidth="1"/>
    <col min="7956" max="7956" width="12.28515625" style="968" customWidth="1"/>
    <col min="7957" max="7957" width="12.5703125" style="968" customWidth="1"/>
    <col min="7958" max="7958" width="12.7109375" style="968" customWidth="1"/>
    <col min="7959" max="7959" width="13.140625" style="968" customWidth="1"/>
    <col min="7960" max="7960" width="13.85546875" style="968" customWidth="1"/>
    <col min="7961" max="7961" width="9.140625" style="968"/>
    <col min="7962" max="7962" width="12.28515625" style="968" customWidth="1"/>
    <col min="7963" max="8192" width="9.140625" style="968"/>
    <col min="8193" max="8194" width="5.28515625" style="968" customWidth="1"/>
    <col min="8195" max="8195" width="36" style="968" customWidth="1"/>
    <col min="8196" max="8196" width="7.28515625" style="968" customWidth="1"/>
    <col min="8197" max="8197" width="7" style="968" bestFit="1" customWidth="1"/>
    <col min="8198" max="8198" width="5.140625" style="968" customWidth="1"/>
    <col min="8199" max="8199" width="4.85546875" style="968" customWidth="1"/>
    <col min="8200" max="8200" width="13.7109375" style="968" customWidth="1"/>
    <col min="8201" max="8201" width="16.42578125" style="968" customWidth="1"/>
    <col min="8202" max="8202" width="13.28515625" style="968" customWidth="1"/>
    <col min="8203" max="8203" width="14.5703125" style="968" customWidth="1"/>
    <col min="8204" max="8204" width="14.42578125" style="968" customWidth="1"/>
    <col min="8205" max="8206" width="11.42578125" style="968" customWidth="1"/>
    <col min="8207" max="8207" width="12.42578125" style="968" customWidth="1"/>
    <col min="8208" max="8208" width="12.5703125" style="968" customWidth="1"/>
    <col min="8209" max="8209" width="13.85546875" style="968" customWidth="1"/>
    <col min="8210" max="8210" width="15.5703125" style="968" customWidth="1"/>
    <col min="8211" max="8211" width="12.42578125" style="968" customWidth="1"/>
    <col min="8212" max="8212" width="12.28515625" style="968" customWidth="1"/>
    <col min="8213" max="8213" width="12.5703125" style="968" customWidth="1"/>
    <col min="8214" max="8214" width="12.7109375" style="968" customWidth="1"/>
    <col min="8215" max="8215" width="13.140625" style="968" customWidth="1"/>
    <col min="8216" max="8216" width="13.85546875" style="968" customWidth="1"/>
    <col min="8217" max="8217" width="9.140625" style="968"/>
    <col min="8218" max="8218" width="12.28515625" style="968" customWidth="1"/>
    <col min="8219" max="8448" width="9.140625" style="968"/>
    <col min="8449" max="8450" width="5.28515625" style="968" customWidth="1"/>
    <col min="8451" max="8451" width="36" style="968" customWidth="1"/>
    <col min="8452" max="8452" width="7.28515625" style="968" customWidth="1"/>
    <col min="8453" max="8453" width="7" style="968" bestFit="1" customWidth="1"/>
    <col min="8454" max="8454" width="5.140625" style="968" customWidth="1"/>
    <col min="8455" max="8455" width="4.85546875" style="968" customWidth="1"/>
    <col min="8456" max="8456" width="13.7109375" style="968" customWidth="1"/>
    <col min="8457" max="8457" width="16.42578125" style="968" customWidth="1"/>
    <col min="8458" max="8458" width="13.28515625" style="968" customWidth="1"/>
    <col min="8459" max="8459" width="14.5703125" style="968" customWidth="1"/>
    <col min="8460" max="8460" width="14.42578125" style="968" customWidth="1"/>
    <col min="8461" max="8462" width="11.42578125" style="968" customWidth="1"/>
    <col min="8463" max="8463" width="12.42578125" style="968" customWidth="1"/>
    <col min="8464" max="8464" width="12.5703125" style="968" customWidth="1"/>
    <col min="8465" max="8465" width="13.85546875" style="968" customWidth="1"/>
    <col min="8466" max="8466" width="15.5703125" style="968" customWidth="1"/>
    <col min="8467" max="8467" width="12.42578125" style="968" customWidth="1"/>
    <col min="8468" max="8468" width="12.28515625" style="968" customWidth="1"/>
    <col min="8469" max="8469" width="12.5703125" style="968" customWidth="1"/>
    <col min="8470" max="8470" width="12.7109375" style="968" customWidth="1"/>
    <col min="8471" max="8471" width="13.140625" style="968" customWidth="1"/>
    <col min="8472" max="8472" width="13.85546875" style="968" customWidth="1"/>
    <col min="8473" max="8473" width="9.140625" style="968"/>
    <col min="8474" max="8474" width="12.28515625" style="968" customWidth="1"/>
    <col min="8475" max="8704" width="9.140625" style="968"/>
    <col min="8705" max="8706" width="5.28515625" style="968" customWidth="1"/>
    <col min="8707" max="8707" width="36" style="968" customWidth="1"/>
    <col min="8708" max="8708" width="7.28515625" style="968" customWidth="1"/>
    <col min="8709" max="8709" width="7" style="968" bestFit="1" customWidth="1"/>
    <col min="8710" max="8710" width="5.140625" style="968" customWidth="1"/>
    <col min="8711" max="8711" width="4.85546875" style="968" customWidth="1"/>
    <col min="8712" max="8712" width="13.7109375" style="968" customWidth="1"/>
    <col min="8713" max="8713" width="16.42578125" style="968" customWidth="1"/>
    <col min="8714" max="8714" width="13.28515625" style="968" customWidth="1"/>
    <col min="8715" max="8715" width="14.5703125" style="968" customWidth="1"/>
    <col min="8716" max="8716" width="14.42578125" style="968" customWidth="1"/>
    <col min="8717" max="8718" width="11.42578125" style="968" customWidth="1"/>
    <col min="8719" max="8719" width="12.42578125" style="968" customWidth="1"/>
    <col min="8720" max="8720" width="12.5703125" style="968" customWidth="1"/>
    <col min="8721" max="8721" width="13.85546875" style="968" customWidth="1"/>
    <col min="8722" max="8722" width="15.5703125" style="968" customWidth="1"/>
    <col min="8723" max="8723" width="12.42578125" style="968" customWidth="1"/>
    <col min="8724" max="8724" width="12.28515625" style="968" customWidth="1"/>
    <col min="8725" max="8725" width="12.5703125" style="968" customWidth="1"/>
    <col min="8726" max="8726" width="12.7109375" style="968" customWidth="1"/>
    <col min="8727" max="8727" width="13.140625" style="968" customWidth="1"/>
    <col min="8728" max="8728" width="13.85546875" style="968" customWidth="1"/>
    <col min="8729" max="8729" width="9.140625" style="968"/>
    <col min="8730" max="8730" width="12.28515625" style="968" customWidth="1"/>
    <col min="8731" max="8960" width="9.140625" style="968"/>
    <col min="8961" max="8962" width="5.28515625" style="968" customWidth="1"/>
    <col min="8963" max="8963" width="36" style="968" customWidth="1"/>
    <col min="8964" max="8964" width="7.28515625" style="968" customWidth="1"/>
    <col min="8965" max="8965" width="7" style="968" bestFit="1" customWidth="1"/>
    <col min="8966" max="8966" width="5.140625" style="968" customWidth="1"/>
    <col min="8967" max="8967" width="4.85546875" style="968" customWidth="1"/>
    <col min="8968" max="8968" width="13.7109375" style="968" customWidth="1"/>
    <col min="8969" max="8969" width="16.42578125" style="968" customWidth="1"/>
    <col min="8970" max="8970" width="13.28515625" style="968" customWidth="1"/>
    <col min="8971" max="8971" width="14.5703125" style="968" customWidth="1"/>
    <col min="8972" max="8972" width="14.42578125" style="968" customWidth="1"/>
    <col min="8973" max="8974" width="11.42578125" style="968" customWidth="1"/>
    <col min="8975" max="8975" width="12.42578125" style="968" customWidth="1"/>
    <col min="8976" max="8976" width="12.5703125" style="968" customWidth="1"/>
    <col min="8977" max="8977" width="13.85546875" style="968" customWidth="1"/>
    <col min="8978" max="8978" width="15.5703125" style="968" customWidth="1"/>
    <col min="8979" max="8979" width="12.42578125" style="968" customWidth="1"/>
    <col min="8980" max="8980" width="12.28515625" style="968" customWidth="1"/>
    <col min="8981" max="8981" width="12.5703125" style="968" customWidth="1"/>
    <col min="8982" max="8982" width="12.7109375" style="968" customWidth="1"/>
    <col min="8983" max="8983" width="13.140625" style="968" customWidth="1"/>
    <col min="8984" max="8984" width="13.85546875" style="968" customWidth="1"/>
    <col min="8985" max="8985" width="9.140625" style="968"/>
    <col min="8986" max="8986" width="12.28515625" style="968" customWidth="1"/>
    <col min="8987" max="9216" width="9.140625" style="968"/>
    <col min="9217" max="9218" width="5.28515625" style="968" customWidth="1"/>
    <col min="9219" max="9219" width="36" style="968" customWidth="1"/>
    <col min="9220" max="9220" width="7.28515625" style="968" customWidth="1"/>
    <col min="9221" max="9221" width="7" style="968" bestFit="1" customWidth="1"/>
    <col min="9222" max="9222" width="5.140625" style="968" customWidth="1"/>
    <col min="9223" max="9223" width="4.85546875" style="968" customWidth="1"/>
    <col min="9224" max="9224" width="13.7109375" style="968" customWidth="1"/>
    <col min="9225" max="9225" width="16.42578125" style="968" customWidth="1"/>
    <col min="9226" max="9226" width="13.28515625" style="968" customWidth="1"/>
    <col min="9227" max="9227" width="14.5703125" style="968" customWidth="1"/>
    <col min="9228" max="9228" width="14.42578125" style="968" customWidth="1"/>
    <col min="9229" max="9230" width="11.42578125" style="968" customWidth="1"/>
    <col min="9231" max="9231" width="12.42578125" style="968" customWidth="1"/>
    <col min="9232" max="9232" width="12.5703125" style="968" customWidth="1"/>
    <col min="9233" max="9233" width="13.85546875" style="968" customWidth="1"/>
    <col min="9234" max="9234" width="15.5703125" style="968" customWidth="1"/>
    <col min="9235" max="9235" width="12.42578125" style="968" customWidth="1"/>
    <col min="9236" max="9236" width="12.28515625" style="968" customWidth="1"/>
    <col min="9237" max="9237" width="12.5703125" style="968" customWidth="1"/>
    <col min="9238" max="9238" width="12.7109375" style="968" customWidth="1"/>
    <col min="9239" max="9239" width="13.140625" style="968" customWidth="1"/>
    <col min="9240" max="9240" width="13.85546875" style="968" customWidth="1"/>
    <col min="9241" max="9241" width="9.140625" style="968"/>
    <col min="9242" max="9242" width="12.28515625" style="968" customWidth="1"/>
    <col min="9243" max="9472" width="9.140625" style="968"/>
    <col min="9473" max="9474" width="5.28515625" style="968" customWidth="1"/>
    <col min="9475" max="9475" width="36" style="968" customWidth="1"/>
    <col min="9476" max="9476" width="7.28515625" style="968" customWidth="1"/>
    <col min="9477" max="9477" width="7" style="968" bestFit="1" customWidth="1"/>
    <col min="9478" max="9478" width="5.140625" style="968" customWidth="1"/>
    <col min="9479" max="9479" width="4.85546875" style="968" customWidth="1"/>
    <col min="9480" max="9480" width="13.7109375" style="968" customWidth="1"/>
    <col min="9481" max="9481" width="16.42578125" style="968" customWidth="1"/>
    <col min="9482" max="9482" width="13.28515625" style="968" customWidth="1"/>
    <col min="9483" max="9483" width="14.5703125" style="968" customWidth="1"/>
    <col min="9484" max="9484" width="14.42578125" style="968" customWidth="1"/>
    <col min="9485" max="9486" width="11.42578125" style="968" customWidth="1"/>
    <col min="9487" max="9487" width="12.42578125" style="968" customWidth="1"/>
    <col min="9488" max="9488" width="12.5703125" style="968" customWidth="1"/>
    <col min="9489" max="9489" width="13.85546875" style="968" customWidth="1"/>
    <col min="9490" max="9490" width="15.5703125" style="968" customWidth="1"/>
    <col min="9491" max="9491" width="12.42578125" style="968" customWidth="1"/>
    <col min="9492" max="9492" width="12.28515625" style="968" customWidth="1"/>
    <col min="9493" max="9493" width="12.5703125" style="968" customWidth="1"/>
    <col min="9494" max="9494" width="12.7109375" style="968" customWidth="1"/>
    <col min="9495" max="9495" width="13.140625" style="968" customWidth="1"/>
    <col min="9496" max="9496" width="13.85546875" style="968" customWidth="1"/>
    <col min="9497" max="9497" width="9.140625" style="968"/>
    <col min="9498" max="9498" width="12.28515625" style="968" customWidth="1"/>
    <col min="9499" max="9728" width="9.140625" style="968"/>
    <col min="9729" max="9730" width="5.28515625" style="968" customWidth="1"/>
    <col min="9731" max="9731" width="36" style="968" customWidth="1"/>
    <col min="9732" max="9732" width="7.28515625" style="968" customWidth="1"/>
    <col min="9733" max="9733" width="7" style="968" bestFit="1" customWidth="1"/>
    <col min="9734" max="9734" width="5.140625" style="968" customWidth="1"/>
    <col min="9735" max="9735" width="4.85546875" style="968" customWidth="1"/>
    <col min="9736" max="9736" width="13.7109375" style="968" customWidth="1"/>
    <col min="9737" max="9737" width="16.42578125" style="968" customWidth="1"/>
    <col min="9738" max="9738" width="13.28515625" style="968" customWidth="1"/>
    <col min="9739" max="9739" width="14.5703125" style="968" customWidth="1"/>
    <col min="9740" max="9740" width="14.42578125" style="968" customWidth="1"/>
    <col min="9741" max="9742" width="11.42578125" style="968" customWidth="1"/>
    <col min="9743" max="9743" width="12.42578125" style="968" customWidth="1"/>
    <col min="9744" max="9744" width="12.5703125" style="968" customWidth="1"/>
    <col min="9745" max="9745" width="13.85546875" style="968" customWidth="1"/>
    <col min="9746" max="9746" width="15.5703125" style="968" customWidth="1"/>
    <col min="9747" max="9747" width="12.42578125" style="968" customWidth="1"/>
    <col min="9748" max="9748" width="12.28515625" style="968" customWidth="1"/>
    <col min="9749" max="9749" width="12.5703125" style="968" customWidth="1"/>
    <col min="9750" max="9750" width="12.7109375" style="968" customWidth="1"/>
    <col min="9751" max="9751" width="13.140625" style="968" customWidth="1"/>
    <col min="9752" max="9752" width="13.85546875" style="968" customWidth="1"/>
    <col min="9753" max="9753" width="9.140625" style="968"/>
    <col min="9754" max="9754" width="12.28515625" style="968" customWidth="1"/>
    <col min="9755" max="9984" width="9.140625" style="968"/>
    <col min="9985" max="9986" width="5.28515625" style="968" customWidth="1"/>
    <col min="9987" max="9987" width="36" style="968" customWidth="1"/>
    <col min="9988" max="9988" width="7.28515625" style="968" customWidth="1"/>
    <col min="9989" max="9989" width="7" style="968" bestFit="1" customWidth="1"/>
    <col min="9990" max="9990" width="5.140625" style="968" customWidth="1"/>
    <col min="9991" max="9991" width="4.85546875" style="968" customWidth="1"/>
    <col min="9992" max="9992" width="13.7109375" style="968" customWidth="1"/>
    <col min="9993" max="9993" width="16.42578125" style="968" customWidth="1"/>
    <col min="9994" max="9994" width="13.28515625" style="968" customWidth="1"/>
    <col min="9995" max="9995" width="14.5703125" style="968" customWidth="1"/>
    <col min="9996" max="9996" width="14.42578125" style="968" customWidth="1"/>
    <col min="9997" max="9998" width="11.42578125" style="968" customWidth="1"/>
    <col min="9999" max="9999" width="12.42578125" style="968" customWidth="1"/>
    <col min="10000" max="10000" width="12.5703125" style="968" customWidth="1"/>
    <col min="10001" max="10001" width="13.85546875" style="968" customWidth="1"/>
    <col min="10002" max="10002" width="15.5703125" style="968" customWidth="1"/>
    <col min="10003" max="10003" width="12.42578125" style="968" customWidth="1"/>
    <col min="10004" max="10004" width="12.28515625" style="968" customWidth="1"/>
    <col min="10005" max="10005" width="12.5703125" style="968" customWidth="1"/>
    <col min="10006" max="10006" width="12.7109375" style="968" customWidth="1"/>
    <col min="10007" max="10007" width="13.140625" style="968" customWidth="1"/>
    <col min="10008" max="10008" width="13.85546875" style="968" customWidth="1"/>
    <col min="10009" max="10009" width="9.140625" style="968"/>
    <col min="10010" max="10010" width="12.28515625" style="968" customWidth="1"/>
    <col min="10011" max="10240" width="9.140625" style="968"/>
    <col min="10241" max="10242" width="5.28515625" style="968" customWidth="1"/>
    <col min="10243" max="10243" width="36" style="968" customWidth="1"/>
    <col min="10244" max="10244" width="7.28515625" style="968" customWidth="1"/>
    <col min="10245" max="10245" width="7" style="968" bestFit="1" customWidth="1"/>
    <col min="10246" max="10246" width="5.140625" style="968" customWidth="1"/>
    <col min="10247" max="10247" width="4.85546875" style="968" customWidth="1"/>
    <col min="10248" max="10248" width="13.7109375" style="968" customWidth="1"/>
    <col min="10249" max="10249" width="16.42578125" style="968" customWidth="1"/>
    <col min="10250" max="10250" width="13.28515625" style="968" customWidth="1"/>
    <col min="10251" max="10251" width="14.5703125" style="968" customWidth="1"/>
    <col min="10252" max="10252" width="14.42578125" style="968" customWidth="1"/>
    <col min="10253" max="10254" width="11.42578125" style="968" customWidth="1"/>
    <col min="10255" max="10255" width="12.42578125" style="968" customWidth="1"/>
    <col min="10256" max="10256" width="12.5703125" style="968" customWidth="1"/>
    <col min="10257" max="10257" width="13.85546875" style="968" customWidth="1"/>
    <col min="10258" max="10258" width="15.5703125" style="968" customWidth="1"/>
    <col min="10259" max="10259" width="12.42578125" style="968" customWidth="1"/>
    <col min="10260" max="10260" width="12.28515625" style="968" customWidth="1"/>
    <col min="10261" max="10261" width="12.5703125" style="968" customWidth="1"/>
    <col min="10262" max="10262" width="12.7109375" style="968" customWidth="1"/>
    <col min="10263" max="10263" width="13.140625" style="968" customWidth="1"/>
    <col min="10264" max="10264" width="13.85546875" style="968" customWidth="1"/>
    <col min="10265" max="10265" width="9.140625" style="968"/>
    <col min="10266" max="10266" width="12.28515625" style="968" customWidth="1"/>
    <col min="10267" max="10496" width="9.140625" style="968"/>
    <col min="10497" max="10498" width="5.28515625" style="968" customWidth="1"/>
    <col min="10499" max="10499" width="36" style="968" customWidth="1"/>
    <col min="10500" max="10500" width="7.28515625" style="968" customWidth="1"/>
    <col min="10501" max="10501" width="7" style="968" bestFit="1" customWidth="1"/>
    <col min="10502" max="10502" width="5.140625" style="968" customWidth="1"/>
    <col min="10503" max="10503" width="4.85546875" style="968" customWidth="1"/>
    <col min="10504" max="10504" width="13.7109375" style="968" customWidth="1"/>
    <col min="10505" max="10505" width="16.42578125" style="968" customWidth="1"/>
    <col min="10506" max="10506" width="13.28515625" style="968" customWidth="1"/>
    <col min="10507" max="10507" width="14.5703125" style="968" customWidth="1"/>
    <col min="10508" max="10508" width="14.42578125" style="968" customWidth="1"/>
    <col min="10509" max="10510" width="11.42578125" style="968" customWidth="1"/>
    <col min="10511" max="10511" width="12.42578125" style="968" customWidth="1"/>
    <col min="10512" max="10512" width="12.5703125" style="968" customWidth="1"/>
    <col min="10513" max="10513" width="13.85546875" style="968" customWidth="1"/>
    <col min="10514" max="10514" width="15.5703125" style="968" customWidth="1"/>
    <col min="10515" max="10515" width="12.42578125" style="968" customWidth="1"/>
    <col min="10516" max="10516" width="12.28515625" style="968" customWidth="1"/>
    <col min="10517" max="10517" width="12.5703125" style="968" customWidth="1"/>
    <col min="10518" max="10518" width="12.7109375" style="968" customWidth="1"/>
    <col min="10519" max="10519" width="13.140625" style="968" customWidth="1"/>
    <col min="10520" max="10520" width="13.85546875" style="968" customWidth="1"/>
    <col min="10521" max="10521" width="9.140625" style="968"/>
    <col min="10522" max="10522" width="12.28515625" style="968" customWidth="1"/>
    <col min="10523" max="10752" width="9.140625" style="968"/>
    <col min="10753" max="10754" width="5.28515625" style="968" customWidth="1"/>
    <col min="10755" max="10755" width="36" style="968" customWidth="1"/>
    <col min="10756" max="10756" width="7.28515625" style="968" customWidth="1"/>
    <col min="10757" max="10757" width="7" style="968" bestFit="1" customWidth="1"/>
    <col min="10758" max="10758" width="5.140625" style="968" customWidth="1"/>
    <col min="10759" max="10759" width="4.85546875" style="968" customWidth="1"/>
    <col min="10760" max="10760" width="13.7109375" style="968" customWidth="1"/>
    <col min="10761" max="10761" width="16.42578125" style="968" customWidth="1"/>
    <col min="10762" max="10762" width="13.28515625" style="968" customWidth="1"/>
    <col min="10763" max="10763" width="14.5703125" style="968" customWidth="1"/>
    <col min="10764" max="10764" width="14.42578125" style="968" customWidth="1"/>
    <col min="10765" max="10766" width="11.42578125" style="968" customWidth="1"/>
    <col min="10767" max="10767" width="12.42578125" style="968" customWidth="1"/>
    <col min="10768" max="10768" width="12.5703125" style="968" customWidth="1"/>
    <col min="10769" max="10769" width="13.85546875" style="968" customWidth="1"/>
    <col min="10770" max="10770" width="15.5703125" style="968" customWidth="1"/>
    <col min="10771" max="10771" width="12.42578125" style="968" customWidth="1"/>
    <col min="10772" max="10772" width="12.28515625" style="968" customWidth="1"/>
    <col min="10773" max="10773" width="12.5703125" style="968" customWidth="1"/>
    <col min="10774" max="10774" width="12.7109375" style="968" customWidth="1"/>
    <col min="10775" max="10775" width="13.140625" style="968" customWidth="1"/>
    <col min="10776" max="10776" width="13.85546875" style="968" customWidth="1"/>
    <col min="10777" max="10777" width="9.140625" style="968"/>
    <col min="10778" max="10778" width="12.28515625" style="968" customWidth="1"/>
    <col min="10779" max="11008" width="9.140625" style="968"/>
    <col min="11009" max="11010" width="5.28515625" style="968" customWidth="1"/>
    <col min="11011" max="11011" width="36" style="968" customWidth="1"/>
    <col min="11012" max="11012" width="7.28515625" style="968" customWidth="1"/>
    <col min="11013" max="11013" width="7" style="968" bestFit="1" customWidth="1"/>
    <col min="11014" max="11014" width="5.140625" style="968" customWidth="1"/>
    <col min="11015" max="11015" width="4.85546875" style="968" customWidth="1"/>
    <col min="11016" max="11016" width="13.7109375" style="968" customWidth="1"/>
    <col min="11017" max="11017" width="16.42578125" style="968" customWidth="1"/>
    <col min="11018" max="11018" width="13.28515625" style="968" customWidth="1"/>
    <col min="11019" max="11019" width="14.5703125" style="968" customWidth="1"/>
    <col min="11020" max="11020" width="14.42578125" style="968" customWidth="1"/>
    <col min="11021" max="11022" width="11.42578125" style="968" customWidth="1"/>
    <col min="11023" max="11023" width="12.42578125" style="968" customWidth="1"/>
    <col min="11024" max="11024" width="12.5703125" style="968" customWidth="1"/>
    <col min="11025" max="11025" width="13.85546875" style="968" customWidth="1"/>
    <col min="11026" max="11026" width="15.5703125" style="968" customWidth="1"/>
    <col min="11027" max="11027" width="12.42578125" style="968" customWidth="1"/>
    <col min="11028" max="11028" width="12.28515625" style="968" customWidth="1"/>
    <col min="11029" max="11029" width="12.5703125" style="968" customWidth="1"/>
    <col min="11030" max="11030" width="12.7109375" style="968" customWidth="1"/>
    <col min="11031" max="11031" width="13.140625" style="968" customWidth="1"/>
    <col min="11032" max="11032" width="13.85546875" style="968" customWidth="1"/>
    <col min="11033" max="11033" width="9.140625" style="968"/>
    <col min="11034" max="11034" width="12.28515625" style="968" customWidth="1"/>
    <col min="11035" max="11264" width="9.140625" style="968"/>
    <col min="11265" max="11266" width="5.28515625" style="968" customWidth="1"/>
    <col min="11267" max="11267" width="36" style="968" customWidth="1"/>
    <col min="11268" max="11268" width="7.28515625" style="968" customWidth="1"/>
    <col min="11269" max="11269" width="7" style="968" bestFit="1" customWidth="1"/>
    <col min="11270" max="11270" width="5.140625" style="968" customWidth="1"/>
    <col min="11271" max="11271" width="4.85546875" style="968" customWidth="1"/>
    <col min="11272" max="11272" width="13.7109375" style="968" customWidth="1"/>
    <col min="11273" max="11273" width="16.42578125" style="968" customWidth="1"/>
    <col min="11274" max="11274" width="13.28515625" style="968" customWidth="1"/>
    <col min="11275" max="11275" width="14.5703125" style="968" customWidth="1"/>
    <col min="11276" max="11276" width="14.42578125" style="968" customWidth="1"/>
    <col min="11277" max="11278" width="11.42578125" style="968" customWidth="1"/>
    <col min="11279" max="11279" width="12.42578125" style="968" customWidth="1"/>
    <col min="11280" max="11280" width="12.5703125" style="968" customWidth="1"/>
    <col min="11281" max="11281" width="13.85546875" style="968" customWidth="1"/>
    <col min="11282" max="11282" width="15.5703125" style="968" customWidth="1"/>
    <col min="11283" max="11283" width="12.42578125" style="968" customWidth="1"/>
    <col min="11284" max="11284" width="12.28515625" style="968" customWidth="1"/>
    <col min="11285" max="11285" width="12.5703125" style="968" customWidth="1"/>
    <col min="11286" max="11286" width="12.7109375" style="968" customWidth="1"/>
    <col min="11287" max="11287" width="13.140625" style="968" customWidth="1"/>
    <col min="11288" max="11288" width="13.85546875" style="968" customWidth="1"/>
    <col min="11289" max="11289" width="9.140625" style="968"/>
    <col min="11290" max="11290" width="12.28515625" style="968" customWidth="1"/>
    <col min="11291" max="11520" width="9.140625" style="968"/>
    <col min="11521" max="11522" width="5.28515625" style="968" customWidth="1"/>
    <col min="11523" max="11523" width="36" style="968" customWidth="1"/>
    <col min="11524" max="11524" width="7.28515625" style="968" customWidth="1"/>
    <col min="11525" max="11525" width="7" style="968" bestFit="1" customWidth="1"/>
    <col min="11526" max="11526" width="5.140625" style="968" customWidth="1"/>
    <col min="11527" max="11527" width="4.85546875" style="968" customWidth="1"/>
    <col min="11528" max="11528" width="13.7109375" style="968" customWidth="1"/>
    <col min="11529" max="11529" width="16.42578125" style="968" customWidth="1"/>
    <col min="11530" max="11530" width="13.28515625" style="968" customWidth="1"/>
    <col min="11531" max="11531" width="14.5703125" style="968" customWidth="1"/>
    <col min="11532" max="11532" width="14.42578125" style="968" customWidth="1"/>
    <col min="11533" max="11534" width="11.42578125" style="968" customWidth="1"/>
    <col min="11535" max="11535" width="12.42578125" style="968" customWidth="1"/>
    <col min="11536" max="11536" width="12.5703125" style="968" customWidth="1"/>
    <col min="11537" max="11537" width="13.85546875" style="968" customWidth="1"/>
    <col min="11538" max="11538" width="15.5703125" style="968" customWidth="1"/>
    <col min="11539" max="11539" width="12.42578125" style="968" customWidth="1"/>
    <col min="11540" max="11540" width="12.28515625" style="968" customWidth="1"/>
    <col min="11541" max="11541" width="12.5703125" style="968" customWidth="1"/>
    <col min="11542" max="11542" width="12.7109375" style="968" customWidth="1"/>
    <col min="11543" max="11543" width="13.140625" style="968" customWidth="1"/>
    <col min="11544" max="11544" width="13.85546875" style="968" customWidth="1"/>
    <col min="11545" max="11545" width="9.140625" style="968"/>
    <col min="11546" max="11546" width="12.28515625" style="968" customWidth="1"/>
    <col min="11547" max="11776" width="9.140625" style="968"/>
    <col min="11777" max="11778" width="5.28515625" style="968" customWidth="1"/>
    <col min="11779" max="11779" width="36" style="968" customWidth="1"/>
    <col min="11780" max="11780" width="7.28515625" style="968" customWidth="1"/>
    <col min="11781" max="11781" width="7" style="968" bestFit="1" customWidth="1"/>
    <col min="11782" max="11782" width="5.140625" style="968" customWidth="1"/>
    <col min="11783" max="11783" width="4.85546875" style="968" customWidth="1"/>
    <col min="11784" max="11784" width="13.7109375" style="968" customWidth="1"/>
    <col min="11785" max="11785" width="16.42578125" style="968" customWidth="1"/>
    <col min="11786" max="11786" width="13.28515625" style="968" customWidth="1"/>
    <col min="11787" max="11787" width="14.5703125" style="968" customWidth="1"/>
    <col min="11788" max="11788" width="14.42578125" style="968" customWidth="1"/>
    <col min="11789" max="11790" width="11.42578125" style="968" customWidth="1"/>
    <col min="11791" max="11791" width="12.42578125" style="968" customWidth="1"/>
    <col min="11792" max="11792" width="12.5703125" style="968" customWidth="1"/>
    <col min="11793" max="11793" width="13.85546875" style="968" customWidth="1"/>
    <col min="11794" max="11794" width="15.5703125" style="968" customWidth="1"/>
    <col min="11795" max="11795" width="12.42578125" style="968" customWidth="1"/>
    <col min="11796" max="11796" width="12.28515625" style="968" customWidth="1"/>
    <col min="11797" max="11797" width="12.5703125" style="968" customWidth="1"/>
    <col min="11798" max="11798" width="12.7109375" style="968" customWidth="1"/>
    <col min="11799" max="11799" width="13.140625" style="968" customWidth="1"/>
    <col min="11800" max="11800" width="13.85546875" style="968" customWidth="1"/>
    <col min="11801" max="11801" width="9.140625" style="968"/>
    <col min="11802" max="11802" width="12.28515625" style="968" customWidth="1"/>
    <col min="11803" max="12032" width="9.140625" style="968"/>
    <col min="12033" max="12034" width="5.28515625" style="968" customWidth="1"/>
    <col min="12035" max="12035" width="36" style="968" customWidth="1"/>
    <col min="12036" max="12036" width="7.28515625" style="968" customWidth="1"/>
    <col min="12037" max="12037" width="7" style="968" bestFit="1" customWidth="1"/>
    <col min="12038" max="12038" width="5.140625" style="968" customWidth="1"/>
    <col min="12039" max="12039" width="4.85546875" style="968" customWidth="1"/>
    <col min="12040" max="12040" width="13.7109375" style="968" customWidth="1"/>
    <col min="12041" max="12041" width="16.42578125" style="968" customWidth="1"/>
    <col min="12042" max="12042" width="13.28515625" style="968" customWidth="1"/>
    <col min="12043" max="12043" width="14.5703125" style="968" customWidth="1"/>
    <col min="12044" max="12044" width="14.42578125" style="968" customWidth="1"/>
    <col min="12045" max="12046" width="11.42578125" style="968" customWidth="1"/>
    <col min="12047" max="12047" width="12.42578125" style="968" customWidth="1"/>
    <col min="12048" max="12048" width="12.5703125" style="968" customWidth="1"/>
    <col min="12049" max="12049" width="13.85546875" style="968" customWidth="1"/>
    <col min="12050" max="12050" width="15.5703125" style="968" customWidth="1"/>
    <col min="12051" max="12051" width="12.42578125" style="968" customWidth="1"/>
    <col min="12052" max="12052" width="12.28515625" style="968" customWidth="1"/>
    <col min="12053" max="12053" width="12.5703125" style="968" customWidth="1"/>
    <col min="12054" max="12054" width="12.7109375" style="968" customWidth="1"/>
    <col min="12055" max="12055" width="13.140625" style="968" customWidth="1"/>
    <col min="12056" max="12056" width="13.85546875" style="968" customWidth="1"/>
    <col min="12057" max="12057" width="9.140625" style="968"/>
    <col min="12058" max="12058" width="12.28515625" style="968" customWidth="1"/>
    <col min="12059" max="12288" width="9.140625" style="968"/>
    <col min="12289" max="12290" width="5.28515625" style="968" customWidth="1"/>
    <col min="12291" max="12291" width="36" style="968" customWidth="1"/>
    <col min="12292" max="12292" width="7.28515625" style="968" customWidth="1"/>
    <col min="12293" max="12293" width="7" style="968" bestFit="1" customWidth="1"/>
    <col min="12294" max="12294" width="5.140625" style="968" customWidth="1"/>
    <col min="12295" max="12295" width="4.85546875" style="968" customWidth="1"/>
    <col min="12296" max="12296" width="13.7109375" style="968" customWidth="1"/>
    <col min="12297" max="12297" width="16.42578125" style="968" customWidth="1"/>
    <col min="12298" max="12298" width="13.28515625" style="968" customWidth="1"/>
    <col min="12299" max="12299" width="14.5703125" style="968" customWidth="1"/>
    <col min="12300" max="12300" width="14.42578125" style="968" customWidth="1"/>
    <col min="12301" max="12302" width="11.42578125" style="968" customWidth="1"/>
    <col min="12303" max="12303" width="12.42578125" style="968" customWidth="1"/>
    <col min="12304" max="12304" width="12.5703125" style="968" customWidth="1"/>
    <col min="12305" max="12305" width="13.85546875" style="968" customWidth="1"/>
    <col min="12306" max="12306" width="15.5703125" style="968" customWidth="1"/>
    <col min="12307" max="12307" width="12.42578125" style="968" customWidth="1"/>
    <col min="12308" max="12308" width="12.28515625" style="968" customWidth="1"/>
    <col min="12309" max="12309" width="12.5703125" style="968" customWidth="1"/>
    <col min="12310" max="12310" width="12.7109375" style="968" customWidth="1"/>
    <col min="12311" max="12311" width="13.140625" style="968" customWidth="1"/>
    <col min="12312" max="12312" width="13.85546875" style="968" customWidth="1"/>
    <col min="12313" max="12313" width="9.140625" style="968"/>
    <col min="12314" max="12314" width="12.28515625" style="968" customWidth="1"/>
    <col min="12315" max="12544" width="9.140625" style="968"/>
    <col min="12545" max="12546" width="5.28515625" style="968" customWidth="1"/>
    <col min="12547" max="12547" width="36" style="968" customWidth="1"/>
    <col min="12548" max="12548" width="7.28515625" style="968" customWidth="1"/>
    <col min="12549" max="12549" width="7" style="968" bestFit="1" customWidth="1"/>
    <col min="12550" max="12550" width="5.140625" style="968" customWidth="1"/>
    <col min="12551" max="12551" width="4.85546875" style="968" customWidth="1"/>
    <col min="12552" max="12552" width="13.7109375" style="968" customWidth="1"/>
    <col min="12553" max="12553" width="16.42578125" style="968" customWidth="1"/>
    <col min="12554" max="12554" width="13.28515625" style="968" customWidth="1"/>
    <col min="12555" max="12555" width="14.5703125" style="968" customWidth="1"/>
    <col min="12556" max="12556" width="14.42578125" style="968" customWidth="1"/>
    <col min="12557" max="12558" width="11.42578125" style="968" customWidth="1"/>
    <col min="12559" max="12559" width="12.42578125" style="968" customWidth="1"/>
    <col min="12560" max="12560" width="12.5703125" style="968" customWidth="1"/>
    <col min="12561" max="12561" width="13.85546875" style="968" customWidth="1"/>
    <col min="12562" max="12562" width="15.5703125" style="968" customWidth="1"/>
    <col min="12563" max="12563" width="12.42578125" style="968" customWidth="1"/>
    <col min="12564" max="12564" width="12.28515625" style="968" customWidth="1"/>
    <col min="12565" max="12565" width="12.5703125" style="968" customWidth="1"/>
    <col min="12566" max="12566" width="12.7109375" style="968" customWidth="1"/>
    <col min="12567" max="12567" width="13.140625" style="968" customWidth="1"/>
    <col min="12568" max="12568" width="13.85546875" style="968" customWidth="1"/>
    <col min="12569" max="12569" width="9.140625" style="968"/>
    <col min="12570" max="12570" width="12.28515625" style="968" customWidth="1"/>
    <col min="12571" max="12800" width="9.140625" style="968"/>
    <col min="12801" max="12802" width="5.28515625" style="968" customWidth="1"/>
    <col min="12803" max="12803" width="36" style="968" customWidth="1"/>
    <col min="12804" max="12804" width="7.28515625" style="968" customWidth="1"/>
    <col min="12805" max="12805" width="7" style="968" bestFit="1" customWidth="1"/>
    <col min="12806" max="12806" width="5.140625" style="968" customWidth="1"/>
    <col min="12807" max="12807" width="4.85546875" style="968" customWidth="1"/>
    <col min="12808" max="12808" width="13.7109375" style="968" customWidth="1"/>
    <col min="12809" max="12809" width="16.42578125" style="968" customWidth="1"/>
    <col min="12810" max="12810" width="13.28515625" style="968" customWidth="1"/>
    <col min="12811" max="12811" width="14.5703125" style="968" customWidth="1"/>
    <col min="12812" max="12812" width="14.42578125" style="968" customWidth="1"/>
    <col min="12813" max="12814" width="11.42578125" style="968" customWidth="1"/>
    <col min="12815" max="12815" width="12.42578125" style="968" customWidth="1"/>
    <col min="12816" max="12816" width="12.5703125" style="968" customWidth="1"/>
    <col min="12817" max="12817" width="13.85546875" style="968" customWidth="1"/>
    <col min="12818" max="12818" width="15.5703125" style="968" customWidth="1"/>
    <col min="12819" max="12819" width="12.42578125" style="968" customWidth="1"/>
    <col min="12820" max="12820" width="12.28515625" style="968" customWidth="1"/>
    <col min="12821" max="12821" width="12.5703125" style="968" customWidth="1"/>
    <col min="12822" max="12822" width="12.7109375" style="968" customWidth="1"/>
    <col min="12823" max="12823" width="13.140625" style="968" customWidth="1"/>
    <col min="12824" max="12824" width="13.85546875" style="968" customWidth="1"/>
    <col min="12825" max="12825" width="9.140625" style="968"/>
    <col min="12826" max="12826" width="12.28515625" style="968" customWidth="1"/>
    <col min="12827" max="13056" width="9.140625" style="968"/>
    <col min="13057" max="13058" width="5.28515625" style="968" customWidth="1"/>
    <col min="13059" max="13059" width="36" style="968" customWidth="1"/>
    <col min="13060" max="13060" width="7.28515625" style="968" customWidth="1"/>
    <col min="13061" max="13061" width="7" style="968" bestFit="1" customWidth="1"/>
    <col min="13062" max="13062" width="5.140625" style="968" customWidth="1"/>
    <col min="13063" max="13063" width="4.85546875" style="968" customWidth="1"/>
    <col min="13064" max="13064" width="13.7109375" style="968" customWidth="1"/>
    <col min="13065" max="13065" width="16.42578125" style="968" customWidth="1"/>
    <col min="13066" max="13066" width="13.28515625" style="968" customWidth="1"/>
    <col min="13067" max="13067" width="14.5703125" style="968" customWidth="1"/>
    <col min="13068" max="13068" width="14.42578125" style="968" customWidth="1"/>
    <col min="13069" max="13070" width="11.42578125" style="968" customWidth="1"/>
    <col min="13071" max="13071" width="12.42578125" style="968" customWidth="1"/>
    <col min="13072" max="13072" width="12.5703125" style="968" customWidth="1"/>
    <col min="13073" max="13073" width="13.85546875" style="968" customWidth="1"/>
    <col min="13074" max="13074" width="15.5703125" style="968" customWidth="1"/>
    <col min="13075" max="13075" width="12.42578125" style="968" customWidth="1"/>
    <col min="13076" max="13076" width="12.28515625" style="968" customWidth="1"/>
    <col min="13077" max="13077" width="12.5703125" style="968" customWidth="1"/>
    <col min="13078" max="13078" width="12.7109375" style="968" customWidth="1"/>
    <col min="13079" max="13079" width="13.140625" style="968" customWidth="1"/>
    <col min="13080" max="13080" width="13.85546875" style="968" customWidth="1"/>
    <col min="13081" max="13081" width="9.140625" style="968"/>
    <col min="13082" max="13082" width="12.28515625" style="968" customWidth="1"/>
    <col min="13083" max="13312" width="9.140625" style="968"/>
    <col min="13313" max="13314" width="5.28515625" style="968" customWidth="1"/>
    <col min="13315" max="13315" width="36" style="968" customWidth="1"/>
    <col min="13316" max="13316" width="7.28515625" style="968" customWidth="1"/>
    <col min="13317" max="13317" width="7" style="968" bestFit="1" customWidth="1"/>
    <col min="13318" max="13318" width="5.140625" style="968" customWidth="1"/>
    <col min="13319" max="13319" width="4.85546875" style="968" customWidth="1"/>
    <col min="13320" max="13320" width="13.7109375" style="968" customWidth="1"/>
    <col min="13321" max="13321" width="16.42578125" style="968" customWidth="1"/>
    <col min="13322" max="13322" width="13.28515625" style="968" customWidth="1"/>
    <col min="13323" max="13323" width="14.5703125" style="968" customWidth="1"/>
    <col min="13324" max="13324" width="14.42578125" style="968" customWidth="1"/>
    <col min="13325" max="13326" width="11.42578125" style="968" customWidth="1"/>
    <col min="13327" max="13327" width="12.42578125" style="968" customWidth="1"/>
    <col min="13328" max="13328" width="12.5703125" style="968" customWidth="1"/>
    <col min="13329" max="13329" width="13.85546875" style="968" customWidth="1"/>
    <col min="13330" max="13330" width="15.5703125" style="968" customWidth="1"/>
    <col min="13331" max="13331" width="12.42578125" style="968" customWidth="1"/>
    <col min="13332" max="13332" width="12.28515625" style="968" customWidth="1"/>
    <col min="13333" max="13333" width="12.5703125" style="968" customWidth="1"/>
    <col min="13334" max="13334" width="12.7109375" style="968" customWidth="1"/>
    <col min="13335" max="13335" width="13.140625" style="968" customWidth="1"/>
    <col min="13336" max="13336" width="13.85546875" style="968" customWidth="1"/>
    <col min="13337" max="13337" width="9.140625" style="968"/>
    <col min="13338" max="13338" width="12.28515625" style="968" customWidth="1"/>
    <col min="13339" max="13568" width="9.140625" style="968"/>
    <col min="13569" max="13570" width="5.28515625" style="968" customWidth="1"/>
    <col min="13571" max="13571" width="36" style="968" customWidth="1"/>
    <col min="13572" max="13572" width="7.28515625" style="968" customWidth="1"/>
    <col min="13573" max="13573" width="7" style="968" bestFit="1" customWidth="1"/>
    <col min="13574" max="13574" width="5.140625" style="968" customWidth="1"/>
    <col min="13575" max="13575" width="4.85546875" style="968" customWidth="1"/>
    <col min="13576" max="13576" width="13.7109375" style="968" customWidth="1"/>
    <col min="13577" max="13577" width="16.42578125" style="968" customWidth="1"/>
    <col min="13578" max="13578" width="13.28515625" style="968" customWidth="1"/>
    <col min="13579" max="13579" width="14.5703125" style="968" customWidth="1"/>
    <col min="13580" max="13580" width="14.42578125" style="968" customWidth="1"/>
    <col min="13581" max="13582" width="11.42578125" style="968" customWidth="1"/>
    <col min="13583" max="13583" width="12.42578125" style="968" customWidth="1"/>
    <col min="13584" max="13584" width="12.5703125" style="968" customWidth="1"/>
    <col min="13585" max="13585" width="13.85546875" style="968" customWidth="1"/>
    <col min="13586" max="13586" width="15.5703125" style="968" customWidth="1"/>
    <col min="13587" max="13587" width="12.42578125" style="968" customWidth="1"/>
    <col min="13588" max="13588" width="12.28515625" style="968" customWidth="1"/>
    <col min="13589" max="13589" width="12.5703125" style="968" customWidth="1"/>
    <col min="13590" max="13590" width="12.7109375" style="968" customWidth="1"/>
    <col min="13591" max="13591" width="13.140625" style="968" customWidth="1"/>
    <col min="13592" max="13592" width="13.85546875" style="968" customWidth="1"/>
    <col min="13593" max="13593" width="9.140625" style="968"/>
    <col min="13594" max="13594" width="12.28515625" style="968" customWidth="1"/>
    <col min="13595" max="13824" width="9.140625" style="968"/>
    <col min="13825" max="13826" width="5.28515625" style="968" customWidth="1"/>
    <col min="13827" max="13827" width="36" style="968" customWidth="1"/>
    <col min="13828" max="13828" width="7.28515625" style="968" customWidth="1"/>
    <col min="13829" max="13829" width="7" style="968" bestFit="1" customWidth="1"/>
    <col min="13830" max="13830" width="5.140625" style="968" customWidth="1"/>
    <col min="13831" max="13831" width="4.85546875" style="968" customWidth="1"/>
    <col min="13832" max="13832" width="13.7109375" style="968" customWidth="1"/>
    <col min="13833" max="13833" width="16.42578125" style="968" customWidth="1"/>
    <col min="13834" max="13834" width="13.28515625" style="968" customWidth="1"/>
    <col min="13835" max="13835" width="14.5703125" style="968" customWidth="1"/>
    <col min="13836" max="13836" width="14.42578125" style="968" customWidth="1"/>
    <col min="13837" max="13838" width="11.42578125" style="968" customWidth="1"/>
    <col min="13839" max="13839" width="12.42578125" style="968" customWidth="1"/>
    <col min="13840" max="13840" width="12.5703125" style="968" customWidth="1"/>
    <col min="13841" max="13841" width="13.85546875" style="968" customWidth="1"/>
    <col min="13842" max="13842" width="15.5703125" style="968" customWidth="1"/>
    <col min="13843" max="13843" width="12.42578125" style="968" customWidth="1"/>
    <col min="13844" max="13844" width="12.28515625" style="968" customWidth="1"/>
    <col min="13845" max="13845" width="12.5703125" style="968" customWidth="1"/>
    <col min="13846" max="13846" width="12.7109375" style="968" customWidth="1"/>
    <col min="13847" max="13847" width="13.140625" style="968" customWidth="1"/>
    <col min="13848" max="13848" width="13.85546875" style="968" customWidth="1"/>
    <col min="13849" max="13849" width="9.140625" style="968"/>
    <col min="13850" max="13850" width="12.28515625" style="968" customWidth="1"/>
    <col min="13851" max="14080" width="9.140625" style="968"/>
    <col min="14081" max="14082" width="5.28515625" style="968" customWidth="1"/>
    <col min="14083" max="14083" width="36" style="968" customWidth="1"/>
    <col min="14084" max="14084" width="7.28515625" style="968" customWidth="1"/>
    <col min="14085" max="14085" width="7" style="968" bestFit="1" customWidth="1"/>
    <col min="14086" max="14086" width="5.140625" style="968" customWidth="1"/>
    <col min="14087" max="14087" width="4.85546875" style="968" customWidth="1"/>
    <col min="14088" max="14088" width="13.7109375" style="968" customWidth="1"/>
    <col min="14089" max="14089" width="16.42578125" style="968" customWidth="1"/>
    <col min="14090" max="14090" width="13.28515625" style="968" customWidth="1"/>
    <col min="14091" max="14091" width="14.5703125" style="968" customWidth="1"/>
    <col min="14092" max="14092" width="14.42578125" style="968" customWidth="1"/>
    <col min="14093" max="14094" width="11.42578125" style="968" customWidth="1"/>
    <col min="14095" max="14095" width="12.42578125" style="968" customWidth="1"/>
    <col min="14096" max="14096" width="12.5703125" style="968" customWidth="1"/>
    <col min="14097" max="14097" width="13.85546875" style="968" customWidth="1"/>
    <col min="14098" max="14098" width="15.5703125" style="968" customWidth="1"/>
    <col min="14099" max="14099" width="12.42578125" style="968" customWidth="1"/>
    <col min="14100" max="14100" width="12.28515625" style="968" customWidth="1"/>
    <col min="14101" max="14101" width="12.5703125" style="968" customWidth="1"/>
    <col min="14102" max="14102" width="12.7109375" style="968" customWidth="1"/>
    <col min="14103" max="14103" width="13.140625" style="968" customWidth="1"/>
    <col min="14104" max="14104" width="13.85546875" style="968" customWidth="1"/>
    <col min="14105" max="14105" width="9.140625" style="968"/>
    <col min="14106" max="14106" width="12.28515625" style="968" customWidth="1"/>
    <col min="14107" max="14336" width="9.140625" style="968"/>
    <col min="14337" max="14338" width="5.28515625" style="968" customWidth="1"/>
    <col min="14339" max="14339" width="36" style="968" customWidth="1"/>
    <col min="14340" max="14340" width="7.28515625" style="968" customWidth="1"/>
    <col min="14341" max="14341" width="7" style="968" bestFit="1" customWidth="1"/>
    <col min="14342" max="14342" width="5.140625" style="968" customWidth="1"/>
    <col min="14343" max="14343" width="4.85546875" style="968" customWidth="1"/>
    <col min="14344" max="14344" width="13.7109375" style="968" customWidth="1"/>
    <col min="14345" max="14345" width="16.42578125" style="968" customWidth="1"/>
    <col min="14346" max="14346" width="13.28515625" style="968" customWidth="1"/>
    <col min="14347" max="14347" width="14.5703125" style="968" customWidth="1"/>
    <col min="14348" max="14348" width="14.42578125" style="968" customWidth="1"/>
    <col min="14349" max="14350" width="11.42578125" style="968" customWidth="1"/>
    <col min="14351" max="14351" width="12.42578125" style="968" customWidth="1"/>
    <col min="14352" max="14352" width="12.5703125" style="968" customWidth="1"/>
    <col min="14353" max="14353" width="13.85546875" style="968" customWidth="1"/>
    <col min="14354" max="14354" width="15.5703125" style="968" customWidth="1"/>
    <col min="14355" max="14355" width="12.42578125" style="968" customWidth="1"/>
    <col min="14356" max="14356" width="12.28515625" style="968" customWidth="1"/>
    <col min="14357" max="14357" width="12.5703125" style="968" customWidth="1"/>
    <col min="14358" max="14358" width="12.7109375" style="968" customWidth="1"/>
    <col min="14359" max="14359" width="13.140625" style="968" customWidth="1"/>
    <col min="14360" max="14360" width="13.85546875" style="968" customWidth="1"/>
    <col min="14361" max="14361" width="9.140625" style="968"/>
    <col min="14362" max="14362" width="12.28515625" style="968" customWidth="1"/>
    <col min="14363" max="14592" width="9.140625" style="968"/>
    <col min="14593" max="14594" width="5.28515625" style="968" customWidth="1"/>
    <col min="14595" max="14595" width="36" style="968" customWidth="1"/>
    <col min="14596" max="14596" width="7.28515625" style="968" customWidth="1"/>
    <col min="14597" max="14597" width="7" style="968" bestFit="1" customWidth="1"/>
    <col min="14598" max="14598" width="5.140625" style="968" customWidth="1"/>
    <col min="14599" max="14599" width="4.85546875" style="968" customWidth="1"/>
    <col min="14600" max="14600" width="13.7109375" style="968" customWidth="1"/>
    <col min="14601" max="14601" width="16.42578125" style="968" customWidth="1"/>
    <col min="14602" max="14602" width="13.28515625" style="968" customWidth="1"/>
    <col min="14603" max="14603" width="14.5703125" style="968" customWidth="1"/>
    <col min="14604" max="14604" width="14.42578125" style="968" customWidth="1"/>
    <col min="14605" max="14606" width="11.42578125" style="968" customWidth="1"/>
    <col min="14607" max="14607" width="12.42578125" style="968" customWidth="1"/>
    <col min="14608" max="14608" width="12.5703125" style="968" customWidth="1"/>
    <col min="14609" max="14609" width="13.85546875" style="968" customWidth="1"/>
    <col min="14610" max="14610" width="15.5703125" style="968" customWidth="1"/>
    <col min="14611" max="14611" width="12.42578125" style="968" customWidth="1"/>
    <col min="14612" max="14612" width="12.28515625" style="968" customWidth="1"/>
    <col min="14613" max="14613" width="12.5703125" style="968" customWidth="1"/>
    <col min="14614" max="14614" width="12.7109375" style="968" customWidth="1"/>
    <col min="14615" max="14615" width="13.140625" style="968" customWidth="1"/>
    <col min="14616" max="14616" width="13.85546875" style="968" customWidth="1"/>
    <col min="14617" max="14617" width="9.140625" style="968"/>
    <col min="14618" max="14618" width="12.28515625" style="968" customWidth="1"/>
    <col min="14619" max="14848" width="9.140625" style="968"/>
    <col min="14849" max="14850" width="5.28515625" style="968" customWidth="1"/>
    <col min="14851" max="14851" width="36" style="968" customWidth="1"/>
    <col min="14852" max="14852" width="7.28515625" style="968" customWidth="1"/>
    <col min="14853" max="14853" width="7" style="968" bestFit="1" customWidth="1"/>
    <col min="14854" max="14854" width="5.140625" style="968" customWidth="1"/>
    <col min="14855" max="14855" width="4.85546875" style="968" customWidth="1"/>
    <col min="14856" max="14856" width="13.7109375" style="968" customWidth="1"/>
    <col min="14857" max="14857" width="16.42578125" style="968" customWidth="1"/>
    <col min="14858" max="14858" width="13.28515625" style="968" customWidth="1"/>
    <col min="14859" max="14859" width="14.5703125" style="968" customWidth="1"/>
    <col min="14860" max="14860" width="14.42578125" style="968" customWidth="1"/>
    <col min="14861" max="14862" width="11.42578125" style="968" customWidth="1"/>
    <col min="14863" max="14863" width="12.42578125" style="968" customWidth="1"/>
    <col min="14864" max="14864" width="12.5703125" style="968" customWidth="1"/>
    <col min="14865" max="14865" width="13.85546875" style="968" customWidth="1"/>
    <col min="14866" max="14866" width="15.5703125" style="968" customWidth="1"/>
    <col min="14867" max="14867" width="12.42578125" style="968" customWidth="1"/>
    <col min="14868" max="14868" width="12.28515625" style="968" customWidth="1"/>
    <col min="14869" max="14869" width="12.5703125" style="968" customWidth="1"/>
    <col min="14870" max="14870" width="12.7109375" style="968" customWidth="1"/>
    <col min="14871" max="14871" width="13.140625" style="968" customWidth="1"/>
    <col min="14872" max="14872" width="13.85546875" style="968" customWidth="1"/>
    <col min="14873" max="14873" width="9.140625" style="968"/>
    <col min="14874" max="14874" width="12.28515625" style="968" customWidth="1"/>
    <col min="14875" max="15104" width="9.140625" style="968"/>
    <col min="15105" max="15106" width="5.28515625" style="968" customWidth="1"/>
    <col min="15107" max="15107" width="36" style="968" customWidth="1"/>
    <col min="15108" max="15108" width="7.28515625" style="968" customWidth="1"/>
    <col min="15109" max="15109" width="7" style="968" bestFit="1" customWidth="1"/>
    <col min="15110" max="15110" width="5.140625" style="968" customWidth="1"/>
    <col min="15111" max="15111" width="4.85546875" style="968" customWidth="1"/>
    <col min="15112" max="15112" width="13.7109375" style="968" customWidth="1"/>
    <col min="15113" max="15113" width="16.42578125" style="968" customWidth="1"/>
    <col min="15114" max="15114" width="13.28515625" style="968" customWidth="1"/>
    <col min="15115" max="15115" width="14.5703125" style="968" customWidth="1"/>
    <col min="15116" max="15116" width="14.42578125" style="968" customWidth="1"/>
    <col min="15117" max="15118" width="11.42578125" style="968" customWidth="1"/>
    <col min="15119" max="15119" width="12.42578125" style="968" customWidth="1"/>
    <col min="15120" max="15120" width="12.5703125" style="968" customWidth="1"/>
    <col min="15121" max="15121" width="13.85546875" style="968" customWidth="1"/>
    <col min="15122" max="15122" width="15.5703125" style="968" customWidth="1"/>
    <col min="15123" max="15123" width="12.42578125" style="968" customWidth="1"/>
    <col min="15124" max="15124" width="12.28515625" style="968" customWidth="1"/>
    <col min="15125" max="15125" width="12.5703125" style="968" customWidth="1"/>
    <col min="15126" max="15126" width="12.7109375" style="968" customWidth="1"/>
    <col min="15127" max="15127" width="13.140625" style="968" customWidth="1"/>
    <col min="15128" max="15128" width="13.85546875" style="968" customWidth="1"/>
    <col min="15129" max="15129" width="9.140625" style="968"/>
    <col min="15130" max="15130" width="12.28515625" style="968" customWidth="1"/>
    <col min="15131" max="15360" width="9.140625" style="968"/>
    <col min="15361" max="15362" width="5.28515625" style="968" customWidth="1"/>
    <col min="15363" max="15363" width="36" style="968" customWidth="1"/>
    <col min="15364" max="15364" width="7.28515625" style="968" customWidth="1"/>
    <col min="15365" max="15365" width="7" style="968" bestFit="1" customWidth="1"/>
    <col min="15366" max="15366" width="5.140625" style="968" customWidth="1"/>
    <col min="15367" max="15367" width="4.85546875" style="968" customWidth="1"/>
    <col min="15368" max="15368" width="13.7109375" style="968" customWidth="1"/>
    <col min="15369" max="15369" width="16.42578125" style="968" customWidth="1"/>
    <col min="15370" max="15370" width="13.28515625" style="968" customWidth="1"/>
    <col min="15371" max="15371" width="14.5703125" style="968" customWidth="1"/>
    <col min="15372" max="15372" width="14.42578125" style="968" customWidth="1"/>
    <col min="15373" max="15374" width="11.42578125" style="968" customWidth="1"/>
    <col min="15375" max="15375" width="12.42578125" style="968" customWidth="1"/>
    <col min="15376" max="15376" width="12.5703125" style="968" customWidth="1"/>
    <col min="15377" max="15377" width="13.85546875" style="968" customWidth="1"/>
    <col min="15378" max="15378" width="15.5703125" style="968" customWidth="1"/>
    <col min="15379" max="15379" width="12.42578125" style="968" customWidth="1"/>
    <col min="15380" max="15380" width="12.28515625" style="968" customWidth="1"/>
    <col min="15381" max="15381" width="12.5703125" style="968" customWidth="1"/>
    <col min="15382" max="15382" width="12.7109375" style="968" customWidth="1"/>
    <col min="15383" max="15383" width="13.140625" style="968" customWidth="1"/>
    <col min="15384" max="15384" width="13.85546875" style="968" customWidth="1"/>
    <col min="15385" max="15385" width="9.140625" style="968"/>
    <col min="15386" max="15386" width="12.28515625" style="968" customWidth="1"/>
    <col min="15387" max="15616" width="9.140625" style="968"/>
    <col min="15617" max="15618" width="5.28515625" style="968" customWidth="1"/>
    <col min="15619" max="15619" width="36" style="968" customWidth="1"/>
    <col min="15620" max="15620" width="7.28515625" style="968" customWidth="1"/>
    <col min="15621" max="15621" width="7" style="968" bestFit="1" customWidth="1"/>
    <col min="15622" max="15622" width="5.140625" style="968" customWidth="1"/>
    <col min="15623" max="15623" width="4.85546875" style="968" customWidth="1"/>
    <col min="15624" max="15624" width="13.7109375" style="968" customWidth="1"/>
    <col min="15625" max="15625" width="16.42578125" style="968" customWidth="1"/>
    <col min="15626" max="15626" width="13.28515625" style="968" customWidth="1"/>
    <col min="15627" max="15627" width="14.5703125" style="968" customWidth="1"/>
    <col min="15628" max="15628" width="14.42578125" style="968" customWidth="1"/>
    <col min="15629" max="15630" width="11.42578125" style="968" customWidth="1"/>
    <col min="15631" max="15631" width="12.42578125" style="968" customWidth="1"/>
    <col min="15632" max="15632" width="12.5703125" style="968" customWidth="1"/>
    <col min="15633" max="15633" width="13.85546875" style="968" customWidth="1"/>
    <col min="15634" max="15634" width="15.5703125" style="968" customWidth="1"/>
    <col min="15635" max="15635" width="12.42578125" style="968" customWidth="1"/>
    <col min="15636" max="15636" width="12.28515625" style="968" customWidth="1"/>
    <col min="15637" max="15637" width="12.5703125" style="968" customWidth="1"/>
    <col min="15638" max="15638" width="12.7109375" style="968" customWidth="1"/>
    <col min="15639" max="15639" width="13.140625" style="968" customWidth="1"/>
    <col min="15640" max="15640" width="13.85546875" style="968" customWidth="1"/>
    <col min="15641" max="15641" width="9.140625" style="968"/>
    <col min="15642" max="15642" width="12.28515625" style="968" customWidth="1"/>
    <col min="15643" max="15872" width="9.140625" style="968"/>
    <col min="15873" max="15874" width="5.28515625" style="968" customWidth="1"/>
    <col min="15875" max="15875" width="36" style="968" customWidth="1"/>
    <col min="15876" max="15876" width="7.28515625" style="968" customWidth="1"/>
    <col min="15877" max="15877" width="7" style="968" bestFit="1" customWidth="1"/>
    <col min="15878" max="15878" width="5.140625" style="968" customWidth="1"/>
    <col min="15879" max="15879" width="4.85546875" style="968" customWidth="1"/>
    <col min="15880" max="15880" width="13.7109375" style="968" customWidth="1"/>
    <col min="15881" max="15881" width="16.42578125" style="968" customWidth="1"/>
    <col min="15882" max="15882" width="13.28515625" style="968" customWidth="1"/>
    <col min="15883" max="15883" width="14.5703125" style="968" customWidth="1"/>
    <col min="15884" max="15884" width="14.42578125" style="968" customWidth="1"/>
    <col min="15885" max="15886" width="11.42578125" style="968" customWidth="1"/>
    <col min="15887" max="15887" width="12.42578125" style="968" customWidth="1"/>
    <col min="15888" max="15888" width="12.5703125" style="968" customWidth="1"/>
    <col min="15889" max="15889" width="13.85546875" style="968" customWidth="1"/>
    <col min="15890" max="15890" width="15.5703125" style="968" customWidth="1"/>
    <col min="15891" max="15891" width="12.42578125" style="968" customWidth="1"/>
    <col min="15892" max="15892" width="12.28515625" style="968" customWidth="1"/>
    <col min="15893" max="15893" width="12.5703125" style="968" customWidth="1"/>
    <col min="15894" max="15894" width="12.7109375" style="968" customWidth="1"/>
    <col min="15895" max="15895" width="13.140625" style="968" customWidth="1"/>
    <col min="15896" max="15896" width="13.85546875" style="968" customWidth="1"/>
    <col min="15897" max="15897" width="9.140625" style="968"/>
    <col min="15898" max="15898" width="12.28515625" style="968" customWidth="1"/>
    <col min="15899" max="16128" width="9.140625" style="968"/>
    <col min="16129" max="16130" width="5.28515625" style="968" customWidth="1"/>
    <col min="16131" max="16131" width="36" style="968" customWidth="1"/>
    <col min="16132" max="16132" width="7.28515625" style="968" customWidth="1"/>
    <col min="16133" max="16133" width="7" style="968" bestFit="1" customWidth="1"/>
    <col min="16134" max="16134" width="5.140625" style="968" customWidth="1"/>
    <col min="16135" max="16135" width="4.85546875" style="968" customWidth="1"/>
    <col min="16136" max="16136" width="13.7109375" style="968" customWidth="1"/>
    <col min="16137" max="16137" width="16.42578125" style="968" customWidth="1"/>
    <col min="16138" max="16138" width="13.28515625" style="968" customWidth="1"/>
    <col min="16139" max="16139" width="14.5703125" style="968" customWidth="1"/>
    <col min="16140" max="16140" width="14.42578125" style="968" customWidth="1"/>
    <col min="16141" max="16142" width="11.42578125" style="968" customWidth="1"/>
    <col min="16143" max="16143" width="12.42578125" style="968" customWidth="1"/>
    <col min="16144" max="16144" width="12.5703125" style="968" customWidth="1"/>
    <col min="16145" max="16145" width="13.85546875" style="968" customWidth="1"/>
    <col min="16146" max="16146" width="15.5703125" style="968" customWidth="1"/>
    <col min="16147" max="16147" width="12.42578125" style="968" customWidth="1"/>
    <col min="16148" max="16148" width="12.28515625" style="968" customWidth="1"/>
    <col min="16149" max="16149" width="12.5703125" style="968" customWidth="1"/>
    <col min="16150" max="16150" width="12.7109375" style="968" customWidth="1"/>
    <col min="16151" max="16151" width="13.140625" style="968" customWidth="1"/>
    <col min="16152" max="16152" width="13.85546875" style="968" customWidth="1"/>
    <col min="16153" max="16153" width="9.140625" style="968"/>
    <col min="16154" max="16154" width="12.28515625" style="968" customWidth="1"/>
    <col min="16155" max="16384" width="9.140625" style="968"/>
  </cols>
  <sheetData>
    <row r="1" spans="1:24" ht="26.2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4" ht="15" customHeight="1" x14ac:dyDescent="0.25">
      <c r="A2" s="969"/>
      <c r="B2" s="969"/>
      <c r="C2" s="969"/>
      <c r="D2" s="970"/>
      <c r="E2" s="970"/>
      <c r="F2" s="970"/>
      <c r="G2" s="970"/>
      <c r="H2" s="970"/>
      <c r="I2" s="970"/>
      <c r="J2" s="970"/>
      <c r="K2" s="970"/>
      <c r="L2" s="970"/>
      <c r="M2" s="970"/>
      <c r="N2" s="970"/>
      <c r="O2" s="970"/>
      <c r="P2" s="970"/>
      <c r="Q2" s="970"/>
      <c r="R2" s="970"/>
      <c r="S2" s="970"/>
      <c r="T2" s="970"/>
      <c r="U2" s="970"/>
      <c r="V2" s="970"/>
      <c r="W2" s="970"/>
      <c r="X2" s="970"/>
    </row>
    <row r="3" spans="1:24" ht="26.25" customHeight="1" x14ac:dyDescent="0.25">
      <c r="A3" s="2055" t="s">
        <v>86</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24" x14ac:dyDescent="0.25">
      <c r="Q4" s="972"/>
    </row>
    <row r="5" spans="1:24" x14ac:dyDescent="0.25">
      <c r="A5" s="2056" t="s">
        <v>37</v>
      </c>
      <c r="B5" s="1773" t="s">
        <v>1640</v>
      </c>
      <c r="C5" s="2058" t="s">
        <v>2</v>
      </c>
      <c r="D5" s="2037" t="s">
        <v>1641</v>
      </c>
      <c r="E5" s="2037" t="s">
        <v>116</v>
      </c>
      <c r="F5" s="2037" t="s">
        <v>1642</v>
      </c>
      <c r="G5" s="2037" t="s">
        <v>1643</v>
      </c>
      <c r="H5" s="2039" t="s">
        <v>1644</v>
      </c>
      <c r="I5" s="2039"/>
      <c r="J5" s="2039"/>
      <c r="K5" s="2039"/>
      <c r="L5" s="2039"/>
      <c r="M5" s="2039"/>
      <c r="N5" s="2039"/>
      <c r="O5" s="2039"/>
      <c r="P5" s="1496"/>
      <c r="Q5" s="2040" t="s">
        <v>1645</v>
      </c>
      <c r="R5" s="2039"/>
      <c r="S5" s="2039"/>
      <c r="T5" s="2039"/>
      <c r="U5" s="2039"/>
      <c r="V5" s="2039"/>
      <c r="W5" s="2039"/>
      <c r="X5" s="2041"/>
    </row>
    <row r="6" spans="1:24" ht="84.75" customHeight="1" x14ac:dyDescent="0.25">
      <c r="A6" s="2057"/>
      <c r="B6" s="1774"/>
      <c r="C6" s="2059"/>
      <c r="D6" s="2038"/>
      <c r="E6" s="2038"/>
      <c r="F6" s="2038"/>
      <c r="G6" s="2038"/>
      <c r="H6" s="941" t="s">
        <v>1667</v>
      </c>
      <c r="I6" s="941" t="s">
        <v>1668</v>
      </c>
      <c r="J6" s="941" t="s">
        <v>1669</v>
      </c>
      <c r="K6" s="941" t="s">
        <v>1670</v>
      </c>
      <c r="L6" s="941" t="s">
        <v>1671</v>
      </c>
      <c r="M6" s="941" t="s">
        <v>1672</v>
      </c>
      <c r="N6" s="941" t="s">
        <v>1673</v>
      </c>
      <c r="O6" s="941" t="s">
        <v>1653</v>
      </c>
      <c r="P6" s="944" t="s">
        <v>1654</v>
      </c>
      <c r="Q6" s="999" t="s">
        <v>1655</v>
      </c>
      <c r="R6" s="941" t="s">
        <v>1674</v>
      </c>
      <c r="S6" s="941" t="s">
        <v>1675</v>
      </c>
      <c r="T6" s="941" t="s">
        <v>1676</v>
      </c>
      <c r="U6" s="941" t="s">
        <v>1659</v>
      </c>
      <c r="V6" s="941" t="s">
        <v>1660</v>
      </c>
      <c r="W6" s="941" t="s">
        <v>1661</v>
      </c>
      <c r="X6" s="944" t="s">
        <v>1677</v>
      </c>
    </row>
    <row r="7" spans="1:24" ht="27" customHeight="1" x14ac:dyDescent="0.25">
      <c r="A7" s="1495" t="s">
        <v>194</v>
      </c>
      <c r="B7" s="1494" t="s">
        <v>201</v>
      </c>
      <c r="C7" s="973" t="s">
        <v>1765</v>
      </c>
      <c r="D7" s="974" t="s">
        <v>1817</v>
      </c>
      <c r="E7" s="974" t="s">
        <v>73</v>
      </c>
      <c r="F7" s="974" t="s">
        <v>90</v>
      </c>
      <c r="G7" s="975" t="s">
        <v>1766</v>
      </c>
      <c r="H7" s="949">
        <f>-300000+300000</f>
        <v>0</v>
      </c>
      <c r="I7" s="949"/>
      <c r="J7" s="949"/>
      <c r="K7" s="949"/>
      <c r="L7" s="949"/>
      <c r="M7" s="949"/>
      <c r="N7" s="949"/>
      <c r="O7" s="949"/>
      <c r="P7" s="976"/>
      <c r="Q7" s="1317"/>
      <c r="R7" s="949"/>
      <c r="S7" s="949"/>
      <c r="T7" s="949"/>
      <c r="U7" s="949"/>
      <c r="V7" s="949"/>
      <c r="W7" s="949"/>
      <c r="X7" s="976"/>
    </row>
    <row r="8" spans="1:24" ht="27" customHeight="1" x14ac:dyDescent="0.25">
      <c r="A8" s="1432" t="s">
        <v>195</v>
      </c>
      <c r="B8" s="1431" t="s">
        <v>202</v>
      </c>
      <c r="C8" s="977" t="s">
        <v>1767</v>
      </c>
      <c r="D8" s="978" t="s">
        <v>1817</v>
      </c>
      <c r="E8" s="978" t="s">
        <v>523</v>
      </c>
      <c r="F8" s="978" t="s">
        <v>150</v>
      </c>
      <c r="G8" s="979" t="s">
        <v>1766</v>
      </c>
      <c r="H8" s="980">
        <f>-15390+15390</f>
        <v>0</v>
      </c>
      <c r="I8" s="980"/>
      <c r="J8" s="980"/>
      <c r="K8" s="980"/>
      <c r="L8" s="980"/>
      <c r="M8" s="980"/>
      <c r="N8" s="980"/>
      <c r="O8" s="980"/>
      <c r="P8" s="981"/>
      <c r="Q8" s="1318"/>
      <c r="R8" s="980"/>
      <c r="S8" s="980"/>
      <c r="T8" s="980"/>
      <c r="U8" s="980"/>
      <c r="V8" s="980"/>
      <c r="W8" s="980"/>
      <c r="X8" s="981"/>
    </row>
    <row r="9" spans="1:24" ht="27.75" customHeight="1" x14ac:dyDescent="0.25">
      <c r="A9" s="1432" t="s">
        <v>196</v>
      </c>
      <c r="B9" s="1431" t="s">
        <v>203</v>
      </c>
      <c r="C9" s="977" t="s">
        <v>1818</v>
      </c>
      <c r="D9" s="978" t="s">
        <v>1817</v>
      </c>
      <c r="E9" s="978" t="s">
        <v>648</v>
      </c>
      <c r="F9" s="978" t="s">
        <v>133</v>
      </c>
      <c r="G9" s="979" t="s">
        <v>1766</v>
      </c>
      <c r="H9" s="980"/>
      <c r="I9" s="980"/>
      <c r="J9" s="980">
        <f>-500000+500000</f>
        <v>0</v>
      </c>
      <c r="K9" s="980"/>
      <c r="L9" s="980"/>
      <c r="M9" s="980"/>
      <c r="N9" s="980"/>
      <c r="O9" s="980"/>
      <c r="P9" s="981"/>
      <c r="Q9" s="1318"/>
      <c r="R9" s="980"/>
      <c r="S9" s="980"/>
      <c r="T9" s="980"/>
      <c r="U9" s="980"/>
      <c r="V9" s="980"/>
      <c r="W9" s="980"/>
      <c r="X9" s="981"/>
    </row>
    <row r="10" spans="1:24" ht="27.75" customHeight="1" x14ac:dyDescent="0.25">
      <c r="A10" s="1432" t="s">
        <v>197</v>
      </c>
      <c r="B10" s="1431" t="s">
        <v>204</v>
      </c>
      <c r="C10" s="977" t="s">
        <v>1765</v>
      </c>
      <c r="D10" s="978" t="s">
        <v>1817</v>
      </c>
      <c r="E10" s="978" t="s">
        <v>648</v>
      </c>
      <c r="F10" s="978" t="s">
        <v>133</v>
      </c>
      <c r="G10" s="979" t="s">
        <v>1766</v>
      </c>
      <c r="H10" s="980">
        <f>-42494+42494</f>
        <v>0</v>
      </c>
      <c r="I10" s="980"/>
      <c r="J10" s="980"/>
      <c r="K10" s="980"/>
      <c r="L10" s="980"/>
      <c r="M10" s="980"/>
      <c r="N10" s="980"/>
      <c r="O10" s="980"/>
      <c r="P10" s="981"/>
      <c r="Q10" s="1318"/>
      <c r="R10" s="980"/>
      <c r="S10" s="980"/>
      <c r="T10" s="980"/>
      <c r="U10" s="980"/>
      <c r="V10" s="980"/>
      <c r="W10" s="980"/>
      <c r="X10" s="981"/>
    </row>
    <row r="11" spans="1:24" ht="18.75" customHeight="1" x14ac:dyDescent="0.25">
      <c r="A11" s="2062" t="s">
        <v>198</v>
      </c>
      <c r="B11" s="2061" t="s">
        <v>231</v>
      </c>
      <c r="C11" s="2028" t="s">
        <v>1850</v>
      </c>
      <c r="D11" s="978" t="s">
        <v>1817</v>
      </c>
      <c r="E11" s="978" t="s">
        <v>161</v>
      </c>
      <c r="F11" s="978" t="s">
        <v>131</v>
      </c>
      <c r="G11" s="979" t="s">
        <v>1766</v>
      </c>
      <c r="H11" s="980">
        <f>-360020+360020</f>
        <v>0</v>
      </c>
      <c r="I11" s="980"/>
      <c r="J11" s="980"/>
      <c r="K11" s="980"/>
      <c r="L11" s="980"/>
      <c r="M11" s="980"/>
      <c r="N11" s="980"/>
      <c r="O11" s="980"/>
      <c r="P11" s="981"/>
      <c r="Q11" s="1318"/>
      <c r="R11" s="980"/>
      <c r="S11" s="980"/>
      <c r="T11" s="980"/>
      <c r="U11" s="980"/>
      <c r="V11" s="980"/>
      <c r="W11" s="980"/>
      <c r="X11" s="981"/>
    </row>
    <row r="12" spans="1:24" ht="18.75" customHeight="1" x14ac:dyDescent="0.25">
      <c r="A12" s="2062"/>
      <c r="B12" s="2061"/>
      <c r="C12" s="2028"/>
      <c r="D12" s="978" t="s">
        <v>1817</v>
      </c>
      <c r="E12" s="978" t="s">
        <v>648</v>
      </c>
      <c r="F12" s="978" t="s">
        <v>133</v>
      </c>
      <c r="G12" s="979" t="s">
        <v>1766</v>
      </c>
      <c r="H12" s="980">
        <f>-1105598+1105598</f>
        <v>0</v>
      </c>
      <c r="I12" s="980"/>
      <c r="J12" s="980"/>
      <c r="K12" s="980"/>
      <c r="L12" s="980"/>
      <c r="M12" s="980"/>
      <c r="N12" s="980"/>
      <c r="O12" s="980"/>
      <c r="P12" s="981"/>
      <c r="Q12" s="1318"/>
      <c r="R12" s="980"/>
      <c r="S12" s="980"/>
      <c r="T12" s="980"/>
      <c r="U12" s="980"/>
      <c r="V12" s="980"/>
      <c r="W12" s="980"/>
      <c r="X12" s="981"/>
    </row>
    <row r="13" spans="1:24" ht="40.5" customHeight="1" x14ac:dyDescent="0.25">
      <c r="A13" s="1432" t="s">
        <v>199</v>
      </c>
      <c r="B13" s="1431" t="s">
        <v>1922</v>
      </c>
      <c r="C13" s="1425" t="s">
        <v>1857</v>
      </c>
      <c r="D13" s="978" t="s">
        <v>1817</v>
      </c>
      <c r="E13" s="978" t="s">
        <v>73</v>
      </c>
      <c r="F13" s="978" t="s">
        <v>90</v>
      </c>
      <c r="G13" s="979" t="s">
        <v>1754</v>
      </c>
      <c r="H13" s="980"/>
      <c r="I13" s="980"/>
      <c r="J13" s="980"/>
      <c r="K13" s="980"/>
      <c r="L13" s="980"/>
      <c r="M13" s="980"/>
      <c r="N13" s="980"/>
      <c r="O13" s="980">
        <v>1154400</v>
      </c>
      <c r="P13" s="981"/>
      <c r="Q13" s="1318"/>
      <c r="R13" s="980"/>
      <c r="S13" s="980"/>
      <c r="T13" s="980"/>
      <c r="U13" s="980"/>
      <c r="V13" s="980"/>
      <c r="W13" s="980">
        <v>1154400</v>
      </c>
      <c r="X13" s="981"/>
    </row>
    <row r="14" spans="1:24" ht="40.5" customHeight="1" x14ac:dyDescent="0.25">
      <c r="A14" s="1432" t="s">
        <v>200</v>
      </c>
      <c r="B14" s="1431" t="s">
        <v>233</v>
      </c>
      <c r="C14" s="1425" t="s">
        <v>1889</v>
      </c>
      <c r="D14" s="978" t="s">
        <v>1817</v>
      </c>
      <c r="E14" s="978" t="s">
        <v>523</v>
      </c>
      <c r="F14" s="978" t="s">
        <v>150</v>
      </c>
      <c r="G14" s="979" t="s">
        <v>1766</v>
      </c>
      <c r="H14" s="980">
        <f>-10000+10000</f>
        <v>0</v>
      </c>
      <c r="I14" s="980"/>
      <c r="J14" s="980"/>
      <c r="K14" s="980"/>
      <c r="L14" s="980"/>
      <c r="M14" s="980"/>
      <c r="N14" s="980"/>
      <c r="O14" s="980"/>
      <c r="P14" s="981"/>
      <c r="Q14" s="1318"/>
      <c r="R14" s="980"/>
      <c r="S14" s="980"/>
      <c r="T14" s="980"/>
      <c r="U14" s="980"/>
      <c r="V14" s="980"/>
      <c r="W14" s="980"/>
      <c r="X14" s="981"/>
    </row>
    <row r="15" spans="1:24" ht="19.5" customHeight="1" x14ac:dyDescent="0.25">
      <c r="A15" s="2062" t="s">
        <v>201</v>
      </c>
      <c r="B15" s="2061" t="s">
        <v>234</v>
      </c>
      <c r="C15" s="2028" t="s">
        <v>2245</v>
      </c>
      <c r="D15" s="978" t="s">
        <v>1817</v>
      </c>
      <c r="E15" s="978" t="s">
        <v>1297</v>
      </c>
      <c r="F15" s="978" t="s">
        <v>127</v>
      </c>
      <c r="G15" s="979" t="s">
        <v>1754</v>
      </c>
      <c r="H15" s="980"/>
      <c r="I15" s="980"/>
      <c r="J15" s="980"/>
      <c r="K15" s="980"/>
      <c r="L15" s="980"/>
      <c r="M15" s="980"/>
      <c r="N15" s="980"/>
      <c r="O15" s="980"/>
      <c r="P15" s="981"/>
      <c r="Q15" s="1318"/>
      <c r="R15" s="980"/>
      <c r="S15" s="980"/>
      <c r="T15" s="980"/>
      <c r="U15" s="980"/>
      <c r="V15" s="980"/>
      <c r="W15" s="980"/>
      <c r="X15" s="981">
        <v>3186600</v>
      </c>
    </row>
    <row r="16" spans="1:24" ht="19.5" customHeight="1" x14ac:dyDescent="0.25">
      <c r="A16" s="2062"/>
      <c r="B16" s="2061"/>
      <c r="C16" s="2028"/>
      <c r="D16" s="978" t="s">
        <v>1817</v>
      </c>
      <c r="E16" s="978" t="s">
        <v>1890</v>
      </c>
      <c r="F16" s="978" t="s">
        <v>152</v>
      </c>
      <c r="G16" s="979" t="s">
        <v>1754</v>
      </c>
      <c r="H16" s="980">
        <f>480000+2340000</f>
        <v>2820000</v>
      </c>
      <c r="I16" s="980">
        <v>366600</v>
      </c>
      <c r="J16" s="980"/>
      <c r="K16" s="980"/>
      <c r="L16" s="980"/>
      <c r="M16" s="980"/>
      <c r="N16" s="980"/>
      <c r="O16" s="980"/>
      <c r="P16" s="981"/>
      <c r="Q16" s="1318"/>
      <c r="R16" s="980"/>
      <c r="S16" s="980"/>
      <c r="T16" s="980"/>
      <c r="U16" s="980"/>
      <c r="V16" s="980"/>
      <c r="W16" s="980"/>
      <c r="X16" s="981"/>
    </row>
    <row r="17" spans="1:24" ht="43.5" customHeight="1" x14ac:dyDescent="0.25">
      <c r="A17" s="1432" t="s">
        <v>202</v>
      </c>
      <c r="B17" s="1431" t="s">
        <v>235</v>
      </c>
      <c r="C17" s="1425" t="s">
        <v>2243</v>
      </c>
      <c r="D17" s="978" t="s">
        <v>1817</v>
      </c>
      <c r="E17" s="978" t="s">
        <v>1890</v>
      </c>
      <c r="F17" s="978" t="s">
        <v>152</v>
      </c>
      <c r="G17" s="979" t="s">
        <v>1754</v>
      </c>
      <c r="H17" s="980">
        <f>2400000+960000+1000000+295276</f>
        <v>4655276</v>
      </c>
      <c r="I17" s="980">
        <v>690700</v>
      </c>
      <c r="J17" s="980">
        <f>283818+350000+405906</f>
        <v>1039724</v>
      </c>
      <c r="K17" s="980"/>
      <c r="L17" s="980"/>
      <c r="M17" s="980"/>
      <c r="N17" s="980"/>
      <c r="O17" s="980"/>
      <c r="P17" s="981"/>
      <c r="Q17" s="1318">
        <v>6385700</v>
      </c>
      <c r="R17" s="980"/>
      <c r="S17" s="980"/>
      <c r="T17" s="980"/>
      <c r="U17" s="980"/>
      <c r="V17" s="980"/>
      <c r="W17" s="980"/>
      <c r="X17" s="981"/>
    </row>
    <row r="18" spans="1:24" ht="34.5" customHeight="1" x14ac:dyDescent="0.25">
      <c r="A18" s="1432" t="s">
        <v>203</v>
      </c>
      <c r="B18" s="1431" t="s">
        <v>236</v>
      </c>
      <c r="C18" s="1425" t="s">
        <v>2242</v>
      </c>
      <c r="D18" s="978" t="s">
        <v>1817</v>
      </c>
      <c r="E18" s="978" t="s">
        <v>1890</v>
      </c>
      <c r="F18" s="978" t="s">
        <v>152</v>
      </c>
      <c r="G18" s="979" t="s">
        <v>1766</v>
      </c>
      <c r="H18" s="980"/>
      <c r="I18" s="980"/>
      <c r="J18" s="980">
        <f>-72281+72281</f>
        <v>0</v>
      </c>
      <c r="K18" s="980"/>
      <c r="L18" s="980"/>
      <c r="M18" s="980"/>
      <c r="N18" s="980"/>
      <c r="O18" s="980"/>
      <c r="P18" s="981"/>
      <c r="Q18" s="1318"/>
      <c r="R18" s="980"/>
      <c r="S18" s="980"/>
      <c r="T18" s="980"/>
      <c r="U18" s="980"/>
      <c r="V18" s="980"/>
      <c r="W18" s="980"/>
      <c r="X18" s="981"/>
    </row>
    <row r="19" spans="1:24" ht="40.5" customHeight="1" x14ac:dyDescent="0.25">
      <c r="A19" s="1432" t="s">
        <v>204</v>
      </c>
      <c r="B19" s="1431" t="s">
        <v>237</v>
      </c>
      <c r="C19" s="1425" t="s">
        <v>1923</v>
      </c>
      <c r="D19" s="978" t="s">
        <v>1817</v>
      </c>
      <c r="E19" s="978" t="s">
        <v>73</v>
      </c>
      <c r="F19" s="978" t="s">
        <v>90</v>
      </c>
      <c r="G19" s="979" t="s">
        <v>1754</v>
      </c>
      <c r="H19" s="980"/>
      <c r="I19" s="980"/>
      <c r="J19" s="980">
        <v>10001</v>
      </c>
      <c r="K19" s="980"/>
      <c r="L19" s="980"/>
      <c r="M19" s="980"/>
      <c r="N19" s="980"/>
      <c r="O19" s="980"/>
      <c r="P19" s="981"/>
      <c r="Q19" s="1318"/>
      <c r="R19" s="980"/>
      <c r="S19" s="980">
        <v>10000</v>
      </c>
      <c r="T19" s="980">
        <v>1</v>
      </c>
      <c r="U19" s="980"/>
      <c r="V19" s="980"/>
      <c r="W19" s="980"/>
      <c r="X19" s="981"/>
    </row>
    <row r="20" spans="1:24" ht="31.5" customHeight="1" x14ac:dyDescent="0.25">
      <c r="A20" s="1432" t="s">
        <v>231</v>
      </c>
      <c r="B20" s="1431" t="s">
        <v>239</v>
      </c>
      <c r="C20" s="1425" t="s">
        <v>2244</v>
      </c>
      <c r="D20" s="978" t="s">
        <v>1817</v>
      </c>
      <c r="E20" s="978" t="s">
        <v>1890</v>
      </c>
      <c r="F20" s="978" t="s">
        <v>152</v>
      </c>
      <c r="G20" s="979" t="s">
        <v>1766</v>
      </c>
      <c r="H20" s="980">
        <v>507573</v>
      </c>
      <c r="I20" s="980"/>
      <c r="J20" s="980">
        <f>-399664-107909</f>
        <v>-507573</v>
      </c>
      <c r="K20" s="980"/>
      <c r="L20" s="980"/>
      <c r="M20" s="980"/>
      <c r="N20" s="980"/>
      <c r="O20" s="980"/>
      <c r="P20" s="981"/>
      <c r="Q20" s="1318"/>
      <c r="R20" s="980"/>
      <c r="S20" s="980"/>
      <c r="T20" s="980"/>
      <c r="U20" s="980"/>
      <c r="V20" s="980"/>
      <c r="W20" s="980"/>
      <c r="X20" s="981"/>
    </row>
    <row r="21" spans="1:24" ht="15.75" customHeight="1" x14ac:dyDescent="0.25">
      <c r="A21" s="2062" t="s">
        <v>232</v>
      </c>
      <c r="B21" s="2061" t="s">
        <v>266</v>
      </c>
      <c r="C21" s="2028" t="s">
        <v>1928</v>
      </c>
      <c r="D21" s="978" t="s">
        <v>1817</v>
      </c>
      <c r="E21" s="978" t="s">
        <v>73</v>
      </c>
      <c r="F21" s="978" t="s">
        <v>90</v>
      </c>
      <c r="G21" s="979" t="s">
        <v>1766</v>
      </c>
      <c r="H21" s="980">
        <f>-3950000+3950000</f>
        <v>0</v>
      </c>
      <c r="I21" s="980"/>
      <c r="J21" s="980"/>
      <c r="K21" s="980"/>
      <c r="L21" s="980"/>
      <c r="M21" s="980"/>
      <c r="N21" s="980"/>
      <c r="O21" s="980"/>
      <c r="P21" s="981"/>
      <c r="Q21" s="1318"/>
      <c r="R21" s="980"/>
      <c r="S21" s="980"/>
      <c r="T21" s="980"/>
      <c r="U21" s="980"/>
      <c r="V21" s="980"/>
      <c r="W21" s="980"/>
      <c r="X21" s="981"/>
    </row>
    <row r="22" spans="1:24" ht="15.75" customHeight="1" x14ac:dyDescent="0.25">
      <c r="A22" s="2062"/>
      <c r="B22" s="2061"/>
      <c r="C22" s="2028"/>
      <c r="D22" s="978" t="s">
        <v>1817</v>
      </c>
      <c r="E22" s="978" t="s">
        <v>523</v>
      </c>
      <c r="F22" s="978" t="s">
        <v>150</v>
      </c>
      <c r="G22" s="979" t="s">
        <v>1766</v>
      </c>
      <c r="H22" s="980">
        <f>-61600+61600</f>
        <v>0</v>
      </c>
      <c r="I22" s="980"/>
      <c r="J22" s="980"/>
      <c r="K22" s="980"/>
      <c r="L22" s="980"/>
      <c r="M22" s="980"/>
      <c r="N22" s="980"/>
      <c r="O22" s="980"/>
      <c r="P22" s="981"/>
      <c r="Q22" s="1318"/>
      <c r="R22" s="980"/>
      <c r="S22" s="980"/>
      <c r="T22" s="980"/>
      <c r="U22" s="980"/>
      <c r="V22" s="980"/>
      <c r="W22" s="980"/>
      <c r="X22" s="981"/>
    </row>
    <row r="23" spans="1:24" ht="15.75" customHeight="1" x14ac:dyDescent="0.25">
      <c r="A23" s="2062"/>
      <c r="B23" s="2061"/>
      <c r="C23" s="2028"/>
      <c r="D23" s="978" t="s">
        <v>1817</v>
      </c>
      <c r="E23" s="978" t="s">
        <v>648</v>
      </c>
      <c r="F23" s="978" t="s">
        <v>133</v>
      </c>
      <c r="G23" s="979" t="s">
        <v>1766</v>
      </c>
      <c r="H23" s="980">
        <f>-660592+660592</f>
        <v>0</v>
      </c>
      <c r="I23" s="980"/>
      <c r="J23" s="980"/>
      <c r="K23" s="980"/>
      <c r="L23" s="980"/>
      <c r="M23" s="980"/>
      <c r="N23" s="980"/>
      <c r="O23" s="980"/>
      <c r="P23" s="981"/>
      <c r="Q23" s="1318"/>
      <c r="R23" s="980"/>
      <c r="S23" s="980"/>
      <c r="T23" s="980"/>
      <c r="U23" s="980"/>
      <c r="V23" s="980"/>
      <c r="W23" s="980"/>
      <c r="X23" s="981"/>
    </row>
    <row r="24" spans="1:24" ht="30.75" customHeight="1" x14ac:dyDescent="0.25">
      <c r="A24" s="1432" t="s">
        <v>233</v>
      </c>
      <c r="B24" s="1431" t="s">
        <v>267</v>
      </c>
      <c r="C24" s="1425" t="s">
        <v>2102</v>
      </c>
      <c r="D24" s="978" t="s">
        <v>1817</v>
      </c>
      <c r="E24" s="978" t="s">
        <v>523</v>
      </c>
      <c r="F24" s="978" t="s">
        <v>150</v>
      </c>
      <c r="G24" s="979" t="s">
        <v>1766</v>
      </c>
      <c r="H24" s="980">
        <f>-100000+100000</f>
        <v>0</v>
      </c>
      <c r="I24" s="980"/>
      <c r="J24" s="980"/>
      <c r="K24" s="980"/>
      <c r="L24" s="980"/>
      <c r="M24" s="980"/>
      <c r="N24" s="980"/>
      <c r="O24" s="980"/>
      <c r="P24" s="981"/>
      <c r="Q24" s="1318"/>
      <c r="R24" s="980"/>
      <c r="S24" s="980"/>
      <c r="T24" s="980"/>
      <c r="U24" s="980"/>
      <c r="V24" s="980"/>
      <c r="W24" s="980"/>
      <c r="X24" s="981"/>
    </row>
    <row r="25" spans="1:24" ht="15" customHeight="1" x14ac:dyDescent="0.25">
      <c r="A25" s="2062" t="s">
        <v>234</v>
      </c>
      <c r="B25" s="2061" t="s">
        <v>268</v>
      </c>
      <c r="C25" s="2028" t="s">
        <v>2241</v>
      </c>
      <c r="D25" s="978" t="s">
        <v>1817</v>
      </c>
      <c r="E25" s="978" t="s">
        <v>2126</v>
      </c>
      <c r="F25" s="978" t="s">
        <v>65</v>
      </c>
      <c r="G25" s="979" t="s">
        <v>1752</v>
      </c>
      <c r="H25" s="980"/>
      <c r="I25" s="980"/>
      <c r="J25" s="980">
        <f>-787402-212598</f>
        <v>-1000000</v>
      </c>
      <c r="K25" s="980"/>
      <c r="L25" s="980"/>
      <c r="M25" s="980"/>
      <c r="N25" s="980"/>
      <c r="O25" s="980"/>
      <c r="P25" s="981"/>
      <c r="Q25" s="1318"/>
      <c r="R25" s="980"/>
      <c r="S25" s="980"/>
      <c r="T25" s="980"/>
      <c r="U25" s="980"/>
      <c r="V25" s="980"/>
      <c r="W25" s="980"/>
      <c r="X25" s="981"/>
    </row>
    <row r="26" spans="1:24" ht="15" customHeight="1" x14ac:dyDescent="0.25">
      <c r="A26" s="2062"/>
      <c r="B26" s="2061"/>
      <c r="C26" s="2028"/>
      <c r="D26" s="978" t="s">
        <v>1817</v>
      </c>
      <c r="E26" s="978" t="s">
        <v>73</v>
      </c>
      <c r="F26" s="978" t="s">
        <v>90</v>
      </c>
      <c r="G26" s="979" t="s">
        <v>1752</v>
      </c>
      <c r="H26" s="980"/>
      <c r="I26" s="980"/>
      <c r="J26" s="980">
        <f>-59534-16074</f>
        <v>-75608</v>
      </c>
      <c r="K26" s="980"/>
      <c r="L26" s="980"/>
      <c r="M26" s="980"/>
      <c r="N26" s="980"/>
      <c r="O26" s="980"/>
      <c r="P26" s="981"/>
      <c r="Q26" s="1318"/>
      <c r="R26" s="980"/>
      <c r="S26" s="980"/>
      <c r="T26" s="980"/>
      <c r="U26" s="980"/>
      <c r="V26" s="980"/>
      <c r="W26" s="980"/>
      <c r="X26" s="981"/>
    </row>
    <row r="27" spans="1:24" ht="15" customHeight="1" x14ac:dyDescent="0.25">
      <c r="A27" s="2062"/>
      <c r="B27" s="2061"/>
      <c r="C27" s="2028"/>
      <c r="D27" s="978" t="s">
        <v>1817</v>
      </c>
      <c r="E27" s="978" t="s">
        <v>1890</v>
      </c>
      <c r="F27" s="978" t="s">
        <v>152</v>
      </c>
      <c r="G27" s="979" t="s">
        <v>1754</v>
      </c>
      <c r="H27" s="980"/>
      <c r="I27" s="980"/>
      <c r="J27" s="980">
        <f>149330+234000+364773+103700+223805</f>
        <v>1075608</v>
      </c>
      <c r="K27" s="980"/>
      <c r="L27" s="980"/>
      <c r="M27" s="980"/>
      <c r="N27" s="980"/>
      <c r="O27" s="980"/>
      <c r="P27" s="981"/>
      <c r="Q27" s="1318"/>
      <c r="R27" s="980"/>
      <c r="S27" s="980"/>
      <c r="T27" s="980"/>
      <c r="U27" s="980"/>
      <c r="V27" s="980"/>
      <c r="W27" s="980"/>
      <c r="X27" s="981"/>
    </row>
    <row r="28" spans="1:24" ht="20.25" customHeight="1" x14ac:dyDescent="0.25">
      <c r="A28" s="1429"/>
      <c r="B28" s="1430"/>
      <c r="C28" s="982"/>
      <c r="D28" s="983"/>
      <c r="E28" s="983"/>
      <c r="F28" s="983"/>
      <c r="G28" s="984"/>
      <c r="H28" s="985"/>
      <c r="I28" s="985"/>
      <c r="J28" s="985"/>
      <c r="K28" s="985"/>
      <c r="L28" s="985"/>
      <c r="M28" s="985"/>
      <c r="N28" s="985"/>
      <c r="O28" s="985"/>
      <c r="P28" s="986"/>
      <c r="Q28" s="1319"/>
      <c r="R28" s="985"/>
      <c r="S28" s="985"/>
      <c r="T28" s="985"/>
      <c r="U28" s="985"/>
      <c r="V28" s="985"/>
      <c r="W28" s="985"/>
      <c r="X28" s="986"/>
    </row>
    <row r="29" spans="1:24" ht="18.75" x14ac:dyDescent="0.3">
      <c r="A29" s="2021" t="s">
        <v>1663</v>
      </c>
      <c r="B29" s="2022"/>
      <c r="C29" s="2022"/>
      <c r="D29" s="987"/>
      <c r="E29" s="956"/>
      <c r="F29" s="956"/>
      <c r="G29" s="956"/>
      <c r="H29" s="1595">
        <f t="shared" ref="H29:X29" si="0">SUM(H7:H28)</f>
        <v>7982849</v>
      </c>
      <c r="I29" s="1595">
        <f t="shared" si="0"/>
        <v>1057300</v>
      </c>
      <c r="J29" s="1595">
        <f t="shared" si="0"/>
        <v>542152</v>
      </c>
      <c r="K29" s="1595">
        <f t="shared" si="0"/>
        <v>0</v>
      </c>
      <c r="L29" s="1595">
        <f t="shared" si="0"/>
        <v>0</v>
      </c>
      <c r="M29" s="1595">
        <f t="shared" si="0"/>
        <v>0</v>
      </c>
      <c r="N29" s="1595">
        <f t="shared" si="0"/>
        <v>0</v>
      </c>
      <c r="O29" s="1595">
        <f t="shared" si="0"/>
        <v>1154400</v>
      </c>
      <c r="P29" s="1596">
        <f t="shared" si="0"/>
        <v>0</v>
      </c>
      <c r="Q29" s="1597">
        <f t="shared" si="0"/>
        <v>6385700</v>
      </c>
      <c r="R29" s="1595">
        <f t="shared" si="0"/>
        <v>0</v>
      </c>
      <c r="S29" s="1595">
        <f t="shared" si="0"/>
        <v>10000</v>
      </c>
      <c r="T29" s="1595">
        <f t="shared" si="0"/>
        <v>1</v>
      </c>
      <c r="U29" s="1595">
        <f t="shared" si="0"/>
        <v>0</v>
      </c>
      <c r="V29" s="1595">
        <f t="shared" si="0"/>
        <v>0</v>
      </c>
      <c r="W29" s="1595">
        <f t="shared" si="0"/>
        <v>1154400</v>
      </c>
      <c r="X29" s="1596">
        <f t="shared" si="0"/>
        <v>3186600</v>
      </c>
    </row>
    <row r="30" spans="1:24" ht="18.75" x14ac:dyDescent="0.3">
      <c r="A30" s="988"/>
      <c r="B30" s="988"/>
      <c r="C30" s="988"/>
      <c r="D30" s="989"/>
      <c r="E30" s="990"/>
      <c r="F30" s="990"/>
      <c r="G30" s="990"/>
      <c r="H30" s="936"/>
      <c r="I30" s="936"/>
      <c r="J30" s="936"/>
      <c r="K30" s="936"/>
      <c r="L30" s="936"/>
      <c r="M30" s="936"/>
      <c r="N30" s="936"/>
      <c r="O30" s="936"/>
      <c r="P30" s="936"/>
      <c r="Q30" s="936"/>
      <c r="R30" s="936"/>
      <c r="S30" s="936"/>
      <c r="T30" s="936"/>
      <c r="U30" s="936"/>
      <c r="V30" s="936"/>
      <c r="W30" s="936"/>
      <c r="X30" s="936"/>
    </row>
    <row r="31" spans="1:24" ht="21" customHeight="1" x14ac:dyDescent="0.25">
      <c r="A31" s="991"/>
      <c r="B31" s="991"/>
      <c r="C31" s="992"/>
      <c r="D31" s="993"/>
      <c r="E31" s="994"/>
      <c r="F31" s="994"/>
      <c r="G31" s="994"/>
      <c r="H31" s="936"/>
      <c r="I31" s="936"/>
      <c r="J31" s="936"/>
      <c r="K31" s="936"/>
      <c r="L31" s="936"/>
      <c r="M31" s="936"/>
      <c r="N31" s="936"/>
      <c r="O31" s="936"/>
      <c r="P31" s="936"/>
      <c r="Q31" s="936"/>
      <c r="R31" s="936"/>
      <c r="S31" s="936"/>
      <c r="T31" s="936"/>
      <c r="U31" s="936"/>
      <c r="V31" s="936"/>
      <c r="W31" s="936"/>
      <c r="X31" s="936"/>
    </row>
    <row r="32" spans="1:24" ht="21" customHeight="1" x14ac:dyDescent="0.25">
      <c r="A32" s="991"/>
      <c r="B32" s="991"/>
      <c r="C32" s="992"/>
      <c r="D32" s="993"/>
      <c r="E32" s="994"/>
      <c r="F32" s="994"/>
      <c r="G32" s="994"/>
      <c r="H32" s="936"/>
      <c r="I32" s="936"/>
      <c r="J32" s="936"/>
      <c r="K32" s="936"/>
      <c r="L32" s="936"/>
      <c r="M32" s="936"/>
      <c r="N32" s="936"/>
      <c r="O32" s="936"/>
      <c r="P32" s="936"/>
      <c r="Q32" s="936"/>
      <c r="R32" s="936"/>
      <c r="S32" s="936"/>
      <c r="T32" s="936"/>
      <c r="U32" s="936"/>
      <c r="V32" s="936"/>
      <c r="W32" s="936"/>
      <c r="X32" s="936"/>
    </row>
    <row r="33" spans="1:24" ht="21" customHeight="1" x14ac:dyDescent="0.25">
      <c r="H33" s="995"/>
      <c r="I33" s="2042" t="s">
        <v>1664</v>
      </c>
      <c r="J33" s="2042"/>
      <c r="K33" s="2042"/>
      <c r="L33" s="2042">
        <v>897605064</v>
      </c>
      <c r="M33" s="2042"/>
      <c r="N33" s="996"/>
      <c r="O33" s="996"/>
      <c r="P33" s="996"/>
      <c r="Q33" s="996"/>
      <c r="R33" s="2042" t="s">
        <v>1665</v>
      </c>
      <c r="S33" s="2042"/>
      <c r="T33" s="2042"/>
      <c r="U33" s="2042">
        <v>897605064</v>
      </c>
      <c r="V33" s="2042"/>
      <c r="W33" s="995"/>
      <c r="X33" s="995"/>
    </row>
    <row r="34" spans="1:24" ht="21" customHeight="1" x14ac:dyDescent="0.25">
      <c r="H34" s="995"/>
      <c r="I34" s="2042" t="s">
        <v>1666</v>
      </c>
      <c r="J34" s="2042"/>
      <c r="K34" s="2042"/>
      <c r="L34" s="2042">
        <f>SUM(H29:P29)</f>
        <v>10736701</v>
      </c>
      <c r="M34" s="2042"/>
      <c r="N34" s="996"/>
      <c r="O34" s="996"/>
      <c r="P34" s="996"/>
      <c r="Q34" s="996"/>
      <c r="R34" s="2042" t="s">
        <v>1666</v>
      </c>
      <c r="S34" s="2042"/>
      <c r="T34" s="2042"/>
      <c r="U34" s="2042">
        <f>SUM(Q29:X29)</f>
        <v>10736701</v>
      </c>
      <c r="V34" s="2042"/>
      <c r="W34" s="995"/>
      <c r="X34" s="995"/>
    </row>
    <row r="35" spans="1:24" ht="21" customHeight="1" x14ac:dyDescent="0.25">
      <c r="H35" s="995"/>
      <c r="I35" s="2042" t="s">
        <v>1512</v>
      </c>
      <c r="J35" s="2042"/>
      <c r="K35" s="2042"/>
      <c r="L35" s="2042">
        <f>+L33+L34</f>
        <v>908341765</v>
      </c>
      <c r="M35" s="2042"/>
      <c r="N35" s="996"/>
      <c r="O35" s="996"/>
      <c r="P35" s="996"/>
      <c r="Q35" s="996"/>
      <c r="R35" s="2042" t="s">
        <v>1512</v>
      </c>
      <c r="S35" s="2042"/>
      <c r="T35" s="2042"/>
      <c r="U35" s="2042">
        <f>+U33+U34</f>
        <v>908341765</v>
      </c>
      <c r="V35" s="2042"/>
      <c r="W35" s="995"/>
      <c r="X35" s="995"/>
    </row>
    <row r="36" spans="1:24" ht="21" customHeight="1" x14ac:dyDescent="0.25">
      <c r="H36" s="995"/>
      <c r="I36" s="1249"/>
      <c r="J36" s="1249"/>
      <c r="K36" s="1249"/>
      <c r="L36" s="1249"/>
      <c r="M36" s="1249"/>
      <c r="N36" s="996"/>
      <c r="O36" s="996"/>
      <c r="P36" s="996"/>
      <c r="Q36" s="996"/>
      <c r="R36" s="1249"/>
      <c r="S36" s="1249"/>
      <c r="T36" s="1249"/>
      <c r="U36" s="1249"/>
      <c r="V36" s="1249"/>
      <c r="W36" s="995"/>
      <c r="X36" s="995"/>
    </row>
    <row r="37" spans="1:24" ht="21" customHeight="1" x14ac:dyDescent="0.25">
      <c r="A37" s="991"/>
      <c r="B37" s="991"/>
      <c r="C37" s="992"/>
      <c r="D37" s="993"/>
      <c r="E37" s="994"/>
      <c r="F37" s="994"/>
      <c r="G37" s="994"/>
      <c r="H37" s="936"/>
      <c r="I37" s="936"/>
      <c r="J37" s="936"/>
      <c r="K37" s="936"/>
      <c r="L37" s="936"/>
      <c r="M37" s="936"/>
      <c r="N37" s="936"/>
      <c r="O37" s="936"/>
      <c r="P37" s="936"/>
      <c r="Q37" s="936"/>
      <c r="R37" s="936"/>
      <c r="S37" s="936"/>
      <c r="T37" s="936"/>
      <c r="U37" s="936"/>
      <c r="V37" s="936"/>
      <c r="W37" s="936"/>
      <c r="X37" s="936"/>
    </row>
    <row r="38" spans="1:24" ht="20.25" customHeight="1" x14ac:dyDescent="0.25">
      <c r="A38" s="2010" t="s">
        <v>2555</v>
      </c>
      <c r="B38" s="2010"/>
      <c r="C38" s="2010"/>
      <c r="D38" s="2010"/>
      <c r="E38" s="2010"/>
      <c r="F38" s="2010"/>
      <c r="G38" s="2010"/>
      <c r="H38" s="2010"/>
      <c r="I38" s="2010"/>
      <c r="J38" s="2010"/>
      <c r="K38" s="2010"/>
      <c r="L38" s="2010"/>
      <c r="M38" s="2010"/>
      <c r="N38" s="2010"/>
      <c r="O38" s="2010"/>
      <c r="P38" s="2010"/>
      <c r="Q38" s="2010"/>
      <c r="R38" s="2010"/>
      <c r="S38" s="2010"/>
      <c r="T38" s="2010"/>
      <c r="U38" s="2010"/>
      <c r="V38" s="2010"/>
      <c r="W38" s="2010"/>
      <c r="X38" s="2010"/>
    </row>
    <row r="39" spans="1:24" ht="20.25" customHeight="1" x14ac:dyDescent="0.25">
      <c r="A39" s="1246"/>
      <c r="B39" s="1246"/>
      <c r="C39" s="1246"/>
      <c r="D39" s="1246"/>
      <c r="E39" s="1246"/>
      <c r="F39" s="1246"/>
      <c r="G39" s="1246"/>
      <c r="H39" s="1246"/>
      <c r="I39" s="1246"/>
      <c r="J39" s="1246"/>
      <c r="K39" s="1246"/>
      <c r="L39" s="1246"/>
      <c r="M39" s="1246"/>
      <c r="N39" s="1246"/>
      <c r="O39" s="1246"/>
      <c r="P39" s="1246"/>
      <c r="Q39" s="1246"/>
      <c r="R39" s="1246"/>
      <c r="S39" s="1246"/>
      <c r="T39" s="1246"/>
      <c r="U39" s="1246"/>
      <c r="V39" s="1246"/>
      <c r="W39" s="1246"/>
      <c r="X39" s="1246"/>
    </row>
    <row r="40" spans="1:24" x14ac:dyDescent="0.25">
      <c r="A40" s="969"/>
      <c r="B40" s="969"/>
      <c r="C40" s="969"/>
      <c r="D40" s="970"/>
      <c r="E40" s="970"/>
      <c r="F40" s="970"/>
      <c r="G40" s="970"/>
      <c r="H40" s="970"/>
      <c r="I40" s="970"/>
      <c r="J40" s="970"/>
      <c r="K40" s="970"/>
      <c r="L40" s="970"/>
      <c r="M40" s="970"/>
      <c r="N40" s="970"/>
      <c r="O40" s="970"/>
      <c r="P40" s="970"/>
      <c r="Q40" s="970"/>
      <c r="R40" s="970"/>
      <c r="S40" s="970"/>
      <c r="T40" s="970"/>
      <c r="U40" s="970"/>
      <c r="V40" s="970"/>
      <c r="W40" s="970"/>
      <c r="X40" s="970"/>
    </row>
    <row r="41" spans="1:24" x14ac:dyDescent="0.25">
      <c r="A41" s="2055" t="s">
        <v>86</v>
      </c>
      <c r="B41" s="2055"/>
      <c r="C41" s="2055"/>
      <c r="D41" s="2055"/>
      <c r="E41" s="2055"/>
      <c r="F41" s="2055"/>
      <c r="G41" s="2055"/>
      <c r="H41" s="2055"/>
      <c r="I41" s="2055"/>
      <c r="J41" s="2055"/>
      <c r="K41" s="2055"/>
      <c r="L41" s="2055"/>
      <c r="M41" s="2055"/>
      <c r="N41" s="2055"/>
      <c r="O41" s="2055"/>
      <c r="P41" s="2055"/>
      <c r="Q41" s="2055"/>
      <c r="R41" s="2055"/>
      <c r="S41" s="2055"/>
      <c r="T41" s="2055"/>
      <c r="U41" s="2055"/>
      <c r="V41" s="2055"/>
      <c r="W41" s="2055"/>
      <c r="X41" s="2055"/>
    </row>
    <row r="42" spans="1:24" ht="15" customHeight="1" x14ac:dyDescent="0.25">
      <c r="Q42" s="968"/>
    </row>
    <row r="43" spans="1:24" ht="18" customHeight="1" x14ac:dyDescent="0.25">
      <c r="A43" s="2056" t="s">
        <v>37</v>
      </c>
      <c r="B43" s="1773" t="s">
        <v>1640</v>
      </c>
      <c r="C43" s="2058" t="s">
        <v>2</v>
      </c>
      <c r="D43" s="2037" t="s">
        <v>1641</v>
      </c>
      <c r="E43" s="2037" t="s">
        <v>116</v>
      </c>
      <c r="F43" s="2037" t="s">
        <v>1642</v>
      </c>
      <c r="G43" s="2037" t="s">
        <v>1643</v>
      </c>
      <c r="H43" s="2039" t="s">
        <v>1644</v>
      </c>
      <c r="I43" s="2039"/>
      <c r="J43" s="2039"/>
      <c r="K43" s="2039"/>
      <c r="L43" s="2039"/>
      <c r="M43" s="2039"/>
      <c r="N43" s="2039"/>
      <c r="O43" s="2039"/>
      <c r="P43" s="1496"/>
      <c r="Q43" s="2040" t="s">
        <v>1645</v>
      </c>
      <c r="R43" s="2039"/>
      <c r="S43" s="2039"/>
      <c r="T43" s="2039"/>
      <c r="U43" s="2039"/>
      <c r="V43" s="2039"/>
      <c r="W43" s="2039"/>
      <c r="X43" s="2041"/>
    </row>
    <row r="44" spans="1:24" ht="81.75" customHeight="1" x14ac:dyDescent="0.25">
      <c r="A44" s="2057"/>
      <c r="B44" s="1774"/>
      <c r="C44" s="2059"/>
      <c r="D44" s="2038"/>
      <c r="E44" s="2038"/>
      <c r="F44" s="2038"/>
      <c r="G44" s="2038"/>
      <c r="H44" s="941" t="s">
        <v>1667</v>
      </c>
      <c r="I44" s="941" t="s">
        <v>1668</v>
      </c>
      <c r="J44" s="941" t="s">
        <v>1669</v>
      </c>
      <c r="K44" s="941" t="s">
        <v>1670</v>
      </c>
      <c r="L44" s="941" t="s">
        <v>1671</v>
      </c>
      <c r="M44" s="941" t="s">
        <v>1672</v>
      </c>
      <c r="N44" s="941" t="s">
        <v>1673</v>
      </c>
      <c r="O44" s="941" t="s">
        <v>1653</v>
      </c>
      <c r="P44" s="944" t="s">
        <v>1654</v>
      </c>
      <c r="Q44" s="999" t="s">
        <v>1655</v>
      </c>
      <c r="R44" s="941" t="s">
        <v>1674</v>
      </c>
      <c r="S44" s="941" t="s">
        <v>1675</v>
      </c>
      <c r="T44" s="941" t="s">
        <v>1676</v>
      </c>
      <c r="U44" s="941" t="s">
        <v>1659</v>
      </c>
      <c r="V44" s="941" t="s">
        <v>1660</v>
      </c>
      <c r="W44" s="941" t="s">
        <v>1661</v>
      </c>
      <c r="X44" s="944" t="s">
        <v>1677</v>
      </c>
    </row>
    <row r="45" spans="1:24" ht="18" customHeight="1" x14ac:dyDescent="0.25">
      <c r="A45" s="2056" t="s">
        <v>235</v>
      </c>
      <c r="B45" s="2058" t="s">
        <v>2238</v>
      </c>
      <c r="C45" s="2060" t="s">
        <v>2226</v>
      </c>
      <c r="D45" s="974" t="s">
        <v>1817</v>
      </c>
      <c r="E45" s="974" t="s">
        <v>73</v>
      </c>
      <c r="F45" s="974" t="s">
        <v>90</v>
      </c>
      <c r="G45" s="975" t="s">
        <v>1766</v>
      </c>
      <c r="H45" s="949">
        <f>-5630000+5630000</f>
        <v>0</v>
      </c>
      <c r="I45" s="949"/>
      <c r="J45" s="949"/>
      <c r="K45" s="949"/>
      <c r="L45" s="949"/>
      <c r="M45" s="949"/>
      <c r="N45" s="949"/>
      <c r="O45" s="949"/>
      <c r="P45" s="976"/>
      <c r="Q45" s="1317"/>
      <c r="R45" s="949"/>
      <c r="S45" s="949"/>
      <c r="T45" s="949"/>
      <c r="U45" s="949"/>
      <c r="V45" s="949"/>
      <c r="W45" s="949"/>
      <c r="X45" s="976"/>
    </row>
    <row r="46" spans="1:24" ht="18" customHeight="1" x14ac:dyDescent="0.25">
      <c r="A46" s="2062"/>
      <c r="B46" s="2061"/>
      <c r="C46" s="2028"/>
      <c r="D46" s="978" t="s">
        <v>1817</v>
      </c>
      <c r="E46" s="978" t="s">
        <v>161</v>
      </c>
      <c r="F46" s="978" t="s">
        <v>131</v>
      </c>
      <c r="G46" s="979" t="s">
        <v>1766</v>
      </c>
      <c r="H46" s="980">
        <f>-510000+150000+360000</f>
        <v>0</v>
      </c>
      <c r="I46" s="980"/>
      <c r="J46" s="980"/>
      <c r="K46" s="980"/>
      <c r="L46" s="980"/>
      <c r="M46" s="980"/>
      <c r="N46" s="980"/>
      <c r="O46" s="980"/>
      <c r="P46" s="981"/>
      <c r="Q46" s="1318"/>
      <c r="R46" s="980"/>
      <c r="S46" s="980"/>
      <c r="T46" s="980"/>
      <c r="U46" s="980"/>
      <c r="V46" s="980"/>
      <c r="W46" s="980"/>
      <c r="X46" s="981"/>
    </row>
    <row r="47" spans="1:24" ht="18" customHeight="1" x14ac:dyDescent="0.25">
      <c r="A47" s="2062"/>
      <c r="B47" s="2061"/>
      <c r="C47" s="2028"/>
      <c r="D47" s="978" t="s">
        <v>1817</v>
      </c>
      <c r="E47" s="978" t="s">
        <v>523</v>
      </c>
      <c r="F47" s="978" t="s">
        <v>150</v>
      </c>
      <c r="G47" s="979" t="s">
        <v>1766</v>
      </c>
      <c r="H47" s="980">
        <f>-90038+90038</f>
        <v>0</v>
      </c>
      <c r="I47" s="980"/>
      <c r="J47" s="980"/>
      <c r="K47" s="980"/>
      <c r="L47" s="980"/>
      <c r="M47" s="980"/>
      <c r="N47" s="980"/>
      <c r="O47" s="980"/>
      <c r="P47" s="981"/>
      <c r="Q47" s="1318"/>
      <c r="R47" s="980"/>
      <c r="S47" s="980"/>
      <c r="T47" s="980"/>
      <c r="U47" s="980"/>
      <c r="V47" s="980"/>
      <c r="W47" s="980"/>
      <c r="X47" s="981"/>
    </row>
    <row r="48" spans="1:24" ht="18" customHeight="1" x14ac:dyDescent="0.25">
      <c r="A48" s="2062"/>
      <c r="B48" s="2061"/>
      <c r="C48" s="2028"/>
      <c r="D48" s="978" t="s">
        <v>1817</v>
      </c>
      <c r="E48" s="978" t="s">
        <v>648</v>
      </c>
      <c r="F48" s="978" t="s">
        <v>133</v>
      </c>
      <c r="G48" s="979" t="s">
        <v>1766</v>
      </c>
      <c r="H48" s="980">
        <f>-1763670+820000+942520+1150</f>
        <v>0</v>
      </c>
      <c r="I48" s="980"/>
      <c r="J48" s="980"/>
      <c r="K48" s="980"/>
      <c r="L48" s="980"/>
      <c r="M48" s="980"/>
      <c r="N48" s="980"/>
      <c r="O48" s="980"/>
      <c r="P48" s="981"/>
      <c r="Q48" s="1318"/>
      <c r="R48" s="980"/>
      <c r="S48" s="980"/>
      <c r="T48" s="980"/>
      <c r="U48" s="980"/>
      <c r="V48" s="980"/>
      <c r="W48" s="980"/>
      <c r="X48" s="981"/>
    </row>
    <row r="49" spans="1:24" ht="18" customHeight="1" x14ac:dyDescent="0.25">
      <c r="A49" s="2062"/>
      <c r="B49" s="2061"/>
      <c r="C49" s="2028"/>
      <c r="D49" s="978" t="s">
        <v>1817</v>
      </c>
      <c r="E49" s="978" t="s">
        <v>1890</v>
      </c>
      <c r="F49" s="978" t="s">
        <v>152</v>
      </c>
      <c r="G49" s="979" t="s">
        <v>1766</v>
      </c>
      <c r="H49" s="980">
        <f>-3300000+420000+2880000</f>
        <v>0</v>
      </c>
      <c r="I49" s="980"/>
      <c r="J49" s="980"/>
      <c r="K49" s="980"/>
      <c r="L49" s="980"/>
      <c r="M49" s="980"/>
      <c r="N49" s="980"/>
      <c r="O49" s="980"/>
      <c r="P49" s="981"/>
      <c r="Q49" s="1318"/>
      <c r="R49" s="980"/>
      <c r="S49" s="980"/>
      <c r="T49" s="980"/>
      <c r="U49" s="980"/>
      <c r="V49" s="980"/>
      <c r="W49" s="980"/>
      <c r="X49" s="981"/>
    </row>
    <row r="50" spans="1:24" ht="17.25" customHeight="1" x14ac:dyDescent="0.25">
      <c r="A50" s="2062" t="s">
        <v>236</v>
      </c>
      <c r="B50" s="2061" t="s">
        <v>2239</v>
      </c>
      <c r="C50" s="2028" t="s">
        <v>2240</v>
      </c>
      <c r="D50" s="978" t="s">
        <v>1817</v>
      </c>
      <c r="E50" s="978" t="s">
        <v>1297</v>
      </c>
      <c r="F50" s="978" t="s">
        <v>127</v>
      </c>
      <c r="G50" s="979" t="s">
        <v>1754</v>
      </c>
      <c r="H50" s="980"/>
      <c r="I50" s="980"/>
      <c r="J50" s="980"/>
      <c r="K50" s="980"/>
      <c r="L50" s="980"/>
      <c r="M50" s="980"/>
      <c r="N50" s="980"/>
      <c r="O50" s="980"/>
      <c r="P50" s="981"/>
      <c r="Q50" s="1318"/>
      <c r="R50" s="980"/>
      <c r="S50" s="980"/>
      <c r="T50" s="980"/>
      <c r="U50" s="980"/>
      <c r="V50" s="980"/>
      <c r="W50" s="980"/>
      <c r="X50" s="981">
        <v>169661</v>
      </c>
    </row>
    <row r="51" spans="1:24" ht="17.25" customHeight="1" x14ac:dyDescent="0.25">
      <c r="A51" s="2062"/>
      <c r="B51" s="2061"/>
      <c r="C51" s="2028"/>
      <c r="D51" s="978" t="s">
        <v>1817</v>
      </c>
      <c r="E51" s="978" t="s">
        <v>1890</v>
      </c>
      <c r="F51" s="978" t="s">
        <v>152</v>
      </c>
      <c r="G51" s="979" t="s">
        <v>1754</v>
      </c>
      <c r="H51" s="980"/>
      <c r="I51" s="980">
        <v>169661</v>
      </c>
      <c r="J51" s="980"/>
      <c r="K51" s="980"/>
      <c r="L51" s="980"/>
      <c r="M51" s="980"/>
      <c r="N51" s="980"/>
      <c r="O51" s="980"/>
      <c r="P51" s="981"/>
      <c r="Q51" s="1318"/>
      <c r="R51" s="980"/>
      <c r="S51" s="980"/>
      <c r="T51" s="980"/>
      <c r="U51" s="980"/>
      <c r="V51" s="980"/>
      <c r="W51" s="980"/>
      <c r="X51" s="981"/>
    </row>
    <row r="52" spans="1:24" ht="43.5" customHeight="1" x14ac:dyDescent="0.25">
      <c r="A52" s="1432" t="s">
        <v>237</v>
      </c>
      <c r="B52" s="1431" t="s">
        <v>273</v>
      </c>
      <c r="C52" s="977" t="s">
        <v>2314</v>
      </c>
      <c r="D52" s="978" t="s">
        <v>1817</v>
      </c>
      <c r="E52" s="978" t="s">
        <v>648</v>
      </c>
      <c r="F52" s="978" t="s">
        <v>133</v>
      </c>
      <c r="G52" s="979" t="s">
        <v>1754</v>
      </c>
      <c r="H52" s="980"/>
      <c r="I52" s="980"/>
      <c r="J52" s="980">
        <v>75000</v>
      </c>
      <c r="K52" s="980"/>
      <c r="L52" s="980"/>
      <c r="M52" s="980"/>
      <c r="N52" s="980"/>
      <c r="O52" s="980"/>
      <c r="P52" s="981"/>
      <c r="Q52" s="1318"/>
      <c r="R52" s="980"/>
      <c r="S52" s="980"/>
      <c r="T52" s="980"/>
      <c r="U52" s="980">
        <v>75000</v>
      </c>
      <c r="V52" s="980"/>
      <c r="W52" s="980"/>
      <c r="X52" s="981"/>
    </row>
    <row r="53" spans="1:24" ht="28.5" customHeight="1" x14ac:dyDescent="0.25">
      <c r="A53" s="1432" t="s">
        <v>238</v>
      </c>
      <c r="B53" s="1431" t="s">
        <v>274</v>
      </c>
      <c r="C53" s="977" t="s">
        <v>2316</v>
      </c>
      <c r="D53" s="978" t="s">
        <v>1817</v>
      </c>
      <c r="E53" s="978" t="s">
        <v>1890</v>
      </c>
      <c r="F53" s="978" t="s">
        <v>152</v>
      </c>
      <c r="G53" s="979" t="s">
        <v>1754</v>
      </c>
      <c r="H53" s="980"/>
      <c r="I53" s="980"/>
      <c r="J53" s="980">
        <v>223805</v>
      </c>
      <c r="K53" s="980"/>
      <c r="L53" s="980"/>
      <c r="M53" s="980"/>
      <c r="N53" s="980"/>
      <c r="O53" s="980"/>
      <c r="P53" s="981"/>
      <c r="Q53" s="1318">
        <v>223805</v>
      </c>
      <c r="R53" s="980"/>
      <c r="S53" s="980"/>
      <c r="T53" s="980"/>
      <c r="U53" s="980"/>
      <c r="V53" s="980"/>
      <c r="W53" s="980"/>
      <c r="X53" s="981"/>
    </row>
    <row r="54" spans="1:24" ht="29.25" customHeight="1" x14ac:dyDescent="0.25">
      <c r="A54" s="1432" t="s">
        <v>239</v>
      </c>
      <c r="B54" s="1431" t="s">
        <v>275</v>
      </c>
      <c r="C54" s="977" t="s">
        <v>2330</v>
      </c>
      <c r="D54" s="978" t="s">
        <v>1817</v>
      </c>
      <c r="E54" s="978" t="s">
        <v>1297</v>
      </c>
      <c r="F54" s="978" t="s">
        <v>127</v>
      </c>
      <c r="G54" s="979" t="s">
        <v>1754</v>
      </c>
      <c r="H54" s="980"/>
      <c r="I54" s="980"/>
      <c r="J54" s="980"/>
      <c r="K54" s="980"/>
      <c r="L54" s="980">
        <v>34588794</v>
      </c>
      <c r="M54" s="980"/>
      <c r="N54" s="980"/>
      <c r="O54" s="980"/>
      <c r="P54" s="981"/>
      <c r="Q54" s="1318"/>
      <c r="R54" s="980"/>
      <c r="S54" s="980"/>
      <c r="T54" s="980"/>
      <c r="U54" s="980"/>
      <c r="V54" s="980"/>
      <c r="W54" s="980"/>
      <c r="X54" s="981">
        <v>34588794</v>
      </c>
    </row>
    <row r="55" spans="1:24" ht="29.25" customHeight="1" x14ac:dyDescent="0.25">
      <c r="A55" s="1432" t="s">
        <v>266</v>
      </c>
      <c r="B55" s="1431" t="s">
        <v>276</v>
      </c>
      <c r="C55" s="977" t="s">
        <v>2259</v>
      </c>
      <c r="D55" s="978" t="s">
        <v>1817</v>
      </c>
      <c r="E55" s="978" t="s">
        <v>73</v>
      </c>
      <c r="F55" s="978" t="s">
        <v>90</v>
      </c>
      <c r="G55" s="979" t="s">
        <v>1754</v>
      </c>
      <c r="H55" s="980"/>
      <c r="I55" s="980"/>
      <c r="J55" s="980"/>
      <c r="K55" s="980"/>
      <c r="L55" s="980"/>
      <c r="M55" s="980"/>
      <c r="N55" s="980"/>
      <c r="O55" s="980">
        <v>470200</v>
      </c>
      <c r="P55" s="981"/>
      <c r="Q55" s="1318"/>
      <c r="R55" s="980"/>
      <c r="S55" s="980"/>
      <c r="T55" s="980"/>
      <c r="U55" s="980"/>
      <c r="V55" s="980"/>
      <c r="W55" s="980">
        <v>470200</v>
      </c>
      <c r="X55" s="981"/>
    </row>
    <row r="56" spans="1:24" ht="15" customHeight="1" x14ac:dyDescent="0.25">
      <c r="A56" s="2047" t="s">
        <v>267</v>
      </c>
      <c r="B56" s="2045" t="s">
        <v>277</v>
      </c>
      <c r="C56" s="2043" t="s">
        <v>2388</v>
      </c>
      <c r="D56" s="1368" t="s">
        <v>1817</v>
      </c>
      <c r="E56" s="1368" t="s">
        <v>1297</v>
      </c>
      <c r="F56" s="1368" t="s">
        <v>127</v>
      </c>
      <c r="G56" s="1373" t="s">
        <v>1754</v>
      </c>
      <c r="H56" s="1374"/>
      <c r="I56" s="1374"/>
      <c r="J56" s="1374"/>
      <c r="K56" s="1374"/>
      <c r="L56" s="1374"/>
      <c r="M56" s="1374"/>
      <c r="N56" s="1374"/>
      <c r="O56" s="1374"/>
      <c r="P56" s="1375"/>
      <c r="Q56" s="1376"/>
      <c r="R56" s="1374"/>
      <c r="S56" s="1374"/>
      <c r="T56" s="1374"/>
      <c r="U56" s="1374"/>
      <c r="V56" s="1374"/>
      <c r="W56" s="1374"/>
      <c r="X56" s="1375">
        <v>29159659</v>
      </c>
    </row>
    <row r="57" spans="1:24" ht="15" customHeight="1" x14ac:dyDescent="0.25">
      <c r="A57" s="2054"/>
      <c r="B57" s="2053"/>
      <c r="C57" s="2049"/>
      <c r="D57" s="1368" t="s">
        <v>1817</v>
      </c>
      <c r="E57" s="1368" t="s">
        <v>73</v>
      </c>
      <c r="F57" s="1368" t="s">
        <v>90</v>
      </c>
      <c r="G57" s="1373" t="s">
        <v>1754</v>
      </c>
      <c r="H57" s="1374">
        <v>17305008</v>
      </c>
      <c r="I57" s="1374">
        <v>2249651</v>
      </c>
      <c r="J57" s="1374"/>
      <c r="K57" s="1374"/>
      <c r="L57" s="1374"/>
      <c r="M57" s="1374"/>
      <c r="N57" s="1374"/>
      <c r="O57" s="1374"/>
      <c r="P57" s="1375"/>
      <c r="Q57" s="1376"/>
      <c r="R57" s="1374"/>
      <c r="S57" s="1374"/>
      <c r="T57" s="1374"/>
      <c r="U57" s="1374"/>
      <c r="V57" s="1374"/>
      <c r="W57" s="1374"/>
      <c r="X57" s="1375"/>
    </row>
    <row r="58" spans="1:24" ht="15" customHeight="1" x14ac:dyDescent="0.25">
      <c r="A58" s="2054"/>
      <c r="B58" s="2053"/>
      <c r="C58" s="2049"/>
      <c r="D58" s="1368" t="s">
        <v>1817</v>
      </c>
      <c r="E58" s="1368" t="s">
        <v>161</v>
      </c>
      <c r="F58" s="1368" t="s">
        <v>131</v>
      </c>
      <c r="G58" s="1373" t="s">
        <v>1754</v>
      </c>
      <c r="H58" s="1374">
        <v>3000000</v>
      </c>
      <c r="I58" s="1374">
        <v>390000</v>
      </c>
      <c r="J58" s="1374"/>
      <c r="K58" s="1374"/>
      <c r="L58" s="1374"/>
      <c r="M58" s="1374"/>
      <c r="N58" s="1374"/>
      <c r="O58" s="1374"/>
      <c r="P58" s="1375"/>
      <c r="Q58" s="1376"/>
      <c r="R58" s="1374"/>
      <c r="S58" s="1374"/>
      <c r="T58" s="1374"/>
      <c r="U58" s="1374"/>
      <c r="V58" s="1374"/>
      <c r="W58" s="1374"/>
      <c r="X58" s="1375"/>
    </row>
    <row r="59" spans="1:24" ht="15" customHeight="1" x14ac:dyDescent="0.25">
      <c r="A59" s="2054"/>
      <c r="B59" s="2053"/>
      <c r="C59" s="2049"/>
      <c r="D59" s="1368" t="s">
        <v>1817</v>
      </c>
      <c r="E59" s="1368" t="s">
        <v>523</v>
      </c>
      <c r="F59" s="1368" t="s">
        <v>150</v>
      </c>
      <c r="G59" s="1373" t="s">
        <v>1754</v>
      </c>
      <c r="H59" s="1374">
        <v>1000000</v>
      </c>
      <c r="I59" s="1374">
        <v>130000</v>
      </c>
      <c r="J59" s="1374"/>
      <c r="K59" s="1374"/>
      <c r="L59" s="1374"/>
      <c r="M59" s="1374"/>
      <c r="N59" s="1374"/>
      <c r="O59" s="1374"/>
      <c r="P59" s="1375"/>
      <c r="Q59" s="1376"/>
      <c r="R59" s="1374"/>
      <c r="S59" s="1374"/>
      <c r="T59" s="1374"/>
      <c r="U59" s="1374"/>
      <c r="V59" s="1374"/>
      <c r="W59" s="1374"/>
      <c r="X59" s="1375"/>
    </row>
    <row r="60" spans="1:24" ht="15" customHeight="1" x14ac:dyDescent="0.25">
      <c r="A60" s="2048"/>
      <c r="B60" s="2046"/>
      <c r="C60" s="2044"/>
      <c r="D60" s="1368" t="s">
        <v>1817</v>
      </c>
      <c r="E60" s="1368" t="s">
        <v>648</v>
      </c>
      <c r="F60" s="1368" t="s">
        <v>133</v>
      </c>
      <c r="G60" s="1373" t="s">
        <v>1754</v>
      </c>
      <c r="H60" s="1374">
        <v>4500000</v>
      </c>
      <c r="I60" s="1374">
        <v>585000</v>
      </c>
      <c r="J60" s="1374"/>
      <c r="K60" s="1374"/>
      <c r="L60" s="1374"/>
      <c r="M60" s="1374"/>
      <c r="N60" s="1374"/>
      <c r="O60" s="1374"/>
      <c r="P60" s="1375"/>
      <c r="Q60" s="1376"/>
      <c r="R60" s="1374"/>
      <c r="S60" s="1374"/>
      <c r="T60" s="1374"/>
      <c r="U60" s="1374"/>
      <c r="V60" s="1374"/>
      <c r="W60" s="1374"/>
      <c r="X60" s="1375"/>
    </row>
    <row r="61" spans="1:24" ht="18" customHeight="1" x14ac:dyDescent="0.25">
      <c r="A61" s="2047" t="s">
        <v>268</v>
      </c>
      <c r="B61" s="2045" t="s">
        <v>2421</v>
      </c>
      <c r="C61" s="2043" t="s">
        <v>2411</v>
      </c>
      <c r="D61" s="1368" t="s">
        <v>1817</v>
      </c>
      <c r="E61" s="1368" t="s">
        <v>73</v>
      </c>
      <c r="F61" s="1368" t="s">
        <v>90</v>
      </c>
      <c r="G61" s="1373" t="s">
        <v>1766</v>
      </c>
      <c r="H61" s="1374">
        <f>-300000+300000</f>
        <v>0</v>
      </c>
      <c r="I61" s="1374"/>
      <c r="J61" s="1374"/>
      <c r="K61" s="1374"/>
      <c r="L61" s="1374"/>
      <c r="M61" s="1374"/>
      <c r="N61" s="1374"/>
      <c r="O61" s="1374"/>
      <c r="P61" s="1375"/>
      <c r="Q61" s="1376"/>
      <c r="R61" s="1374"/>
      <c r="S61" s="1374"/>
      <c r="T61" s="1374"/>
      <c r="U61" s="1374"/>
      <c r="V61" s="1374"/>
      <c r="W61" s="1374"/>
      <c r="X61" s="1375"/>
    </row>
    <row r="62" spans="1:24" ht="18" customHeight="1" x14ac:dyDescent="0.25">
      <c r="A62" s="2048"/>
      <c r="B62" s="2046"/>
      <c r="C62" s="2044"/>
      <c r="D62" s="1368" t="s">
        <v>1817</v>
      </c>
      <c r="E62" s="1368" t="s">
        <v>648</v>
      </c>
      <c r="F62" s="1368" t="s">
        <v>133</v>
      </c>
      <c r="G62" s="1373" t="s">
        <v>1766</v>
      </c>
      <c r="H62" s="1374">
        <f>-1045300+300000+745300</f>
        <v>0</v>
      </c>
      <c r="I62" s="1374"/>
      <c r="J62" s="1374"/>
      <c r="K62" s="1374"/>
      <c r="L62" s="1374"/>
      <c r="M62" s="1374"/>
      <c r="N62" s="1374"/>
      <c r="O62" s="1374"/>
      <c r="P62" s="1375"/>
      <c r="Q62" s="1376"/>
      <c r="R62" s="1374"/>
      <c r="S62" s="1374"/>
      <c r="T62" s="1374"/>
      <c r="U62" s="1374"/>
      <c r="V62" s="1374"/>
      <c r="W62" s="1374"/>
      <c r="X62" s="1375"/>
    </row>
    <row r="63" spans="1:24" ht="30.75" customHeight="1" x14ac:dyDescent="0.25">
      <c r="A63" s="1432" t="s">
        <v>269</v>
      </c>
      <c r="B63" s="1431" t="s">
        <v>283</v>
      </c>
      <c r="C63" s="1425" t="s">
        <v>2458</v>
      </c>
      <c r="D63" s="1368" t="s">
        <v>1817</v>
      </c>
      <c r="E63" s="1368" t="s">
        <v>73</v>
      </c>
      <c r="F63" s="1368" t="s">
        <v>90</v>
      </c>
      <c r="G63" s="1373" t="s">
        <v>1754</v>
      </c>
      <c r="H63" s="1374"/>
      <c r="I63" s="1374"/>
      <c r="J63" s="1374">
        <v>21135</v>
      </c>
      <c r="K63" s="1374"/>
      <c r="L63" s="1374"/>
      <c r="M63" s="1374"/>
      <c r="N63" s="1374"/>
      <c r="O63" s="1374"/>
      <c r="P63" s="1375"/>
      <c r="Q63" s="1376"/>
      <c r="R63" s="1374"/>
      <c r="S63" s="1374"/>
      <c r="T63" s="1374">
        <v>21135</v>
      </c>
      <c r="U63" s="1374"/>
      <c r="V63" s="1374"/>
      <c r="W63" s="1374"/>
      <c r="X63" s="1375"/>
    </row>
    <row r="64" spans="1:24" ht="27.75" customHeight="1" x14ac:dyDescent="0.25">
      <c r="A64" s="1432" t="s">
        <v>270</v>
      </c>
      <c r="B64" s="1431" t="s">
        <v>284</v>
      </c>
      <c r="C64" s="1425" t="s">
        <v>2459</v>
      </c>
      <c r="D64" s="1368" t="s">
        <v>1817</v>
      </c>
      <c r="E64" s="1368" t="s">
        <v>161</v>
      </c>
      <c r="F64" s="1368" t="s">
        <v>131</v>
      </c>
      <c r="G64" s="1373" t="s">
        <v>1754</v>
      </c>
      <c r="H64" s="1374"/>
      <c r="I64" s="1374"/>
      <c r="J64" s="1374">
        <v>90000</v>
      </c>
      <c r="K64" s="1374"/>
      <c r="L64" s="1374"/>
      <c r="M64" s="1374"/>
      <c r="N64" s="1374"/>
      <c r="O64" s="1374"/>
      <c r="P64" s="1375"/>
      <c r="Q64" s="1376"/>
      <c r="R64" s="1374"/>
      <c r="S64" s="1374">
        <v>90000</v>
      </c>
      <c r="T64" s="1374"/>
      <c r="U64" s="1374"/>
      <c r="V64" s="1374"/>
      <c r="W64" s="1374"/>
      <c r="X64" s="1375"/>
    </row>
    <row r="65" spans="1:24" ht="42" customHeight="1" x14ac:dyDescent="0.25">
      <c r="A65" s="1428" t="s">
        <v>271</v>
      </c>
      <c r="B65" s="1427" t="s">
        <v>285</v>
      </c>
      <c r="C65" s="1426" t="s">
        <v>2517</v>
      </c>
      <c r="D65" s="1368" t="s">
        <v>1817</v>
      </c>
      <c r="E65" s="1368" t="s">
        <v>2518</v>
      </c>
      <c r="F65" s="1368" t="s">
        <v>481</v>
      </c>
      <c r="G65" s="1373" t="s">
        <v>1754</v>
      </c>
      <c r="H65" s="1374">
        <f>3552374+10507752</f>
        <v>14060126</v>
      </c>
      <c r="I65" s="1374">
        <v>1827816</v>
      </c>
      <c r="J65" s="1374">
        <f>748031+201969</f>
        <v>950000</v>
      </c>
      <c r="K65" s="1374"/>
      <c r="L65" s="1374"/>
      <c r="M65" s="1374"/>
      <c r="N65" s="1374"/>
      <c r="O65" s="1374"/>
      <c r="P65" s="1375"/>
      <c r="Q65" s="1376">
        <v>16837942</v>
      </c>
      <c r="R65" s="1374"/>
      <c r="S65" s="1374"/>
      <c r="T65" s="1374"/>
      <c r="U65" s="1374"/>
      <c r="V65" s="1374"/>
      <c r="W65" s="1374"/>
      <c r="X65" s="1375"/>
    </row>
    <row r="66" spans="1:24" ht="27.75" customHeight="1" x14ac:dyDescent="0.25">
      <c r="A66" s="1428" t="s">
        <v>272</v>
      </c>
      <c r="B66" s="1427" t="s">
        <v>286</v>
      </c>
      <c r="C66" s="1426" t="s">
        <v>2540</v>
      </c>
      <c r="D66" s="1368" t="s">
        <v>1817</v>
      </c>
      <c r="E66" s="1368" t="s">
        <v>73</v>
      </c>
      <c r="F66" s="1368" t="s">
        <v>90</v>
      </c>
      <c r="G66" s="1373" t="s">
        <v>1754</v>
      </c>
      <c r="H66" s="1374"/>
      <c r="I66" s="1374"/>
      <c r="J66" s="1374">
        <v>132</v>
      </c>
      <c r="K66" s="1374"/>
      <c r="L66" s="1374"/>
      <c r="M66" s="1374"/>
      <c r="N66" s="1374"/>
      <c r="O66" s="1374"/>
      <c r="P66" s="1375"/>
      <c r="Q66" s="1376"/>
      <c r="R66" s="1374"/>
      <c r="S66" s="1374"/>
      <c r="T66" s="1374">
        <v>132</v>
      </c>
      <c r="U66" s="1374"/>
      <c r="V66" s="1374"/>
      <c r="W66" s="1374"/>
      <c r="X66" s="1375"/>
    </row>
    <row r="67" spans="1:24" ht="20.25" customHeight="1" x14ac:dyDescent="0.25">
      <c r="A67" s="2047" t="s">
        <v>273</v>
      </c>
      <c r="B67" s="2045" t="s">
        <v>287</v>
      </c>
      <c r="C67" s="2043" t="s">
        <v>2715</v>
      </c>
      <c r="D67" s="1368" t="s">
        <v>1817</v>
      </c>
      <c r="E67" s="1368" t="s">
        <v>1297</v>
      </c>
      <c r="F67" s="1368" t="s">
        <v>127</v>
      </c>
      <c r="G67" s="1373" t="s">
        <v>1754</v>
      </c>
      <c r="H67" s="1374"/>
      <c r="I67" s="1374"/>
      <c r="J67" s="1374"/>
      <c r="K67" s="1374"/>
      <c r="L67" s="1374"/>
      <c r="M67" s="1374"/>
      <c r="N67" s="1374"/>
      <c r="O67" s="1374"/>
      <c r="P67" s="1375"/>
      <c r="Q67" s="1376"/>
      <c r="R67" s="1374"/>
      <c r="S67" s="1374"/>
      <c r="T67" s="1374"/>
      <c r="U67" s="1374"/>
      <c r="V67" s="1374"/>
      <c r="W67" s="1374"/>
      <c r="X67" s="1375">
        <v>2080500</v>
      </c>
    </row>
    <row r="68" spans="1:24" ht="20.25" customHeight="1" x14ac:dyDescent="0.25">
      <c r="A68" s="2048"/>
      <c r="B68" s="2046"/>
      <c r="C68" s="2044"/>
      <c r="D68" s="1368" t="s">
        <v>1817</v>
      </c>
      <c r="E68" s="1368" t="s">
        <v>73</v>
      </c>
      <c r="F68" s="1368" t="s">
        <v>90</v>
      </c>
      <c r="G68" s="1373" t="s">
        <v>1754</v>
      </c>
      <c r="H68" s="1374"/>
      <c r="I68" s="1374"/>
      <c r="J68" s="1374"/>
      <c r="K68" s="1374"/>
      <c r="L68" s="1374"/>
      <c r="M68" s="1374">
        <f>1638189+442311</f>
        <v>2080500</v>
      </c>
      <c r="N68" s="1374"/>
      <c r="O68" s="1374"/>
      <c r="P68" s="1375"/>
      <c r="Q68" s="1376"/>
      <c r="R68" s="1374"/>
      <c r="S68" s="1374"/>
      <c r="T68" s="1374"/>
      <c r="U68" s="1374"/>
      <c r="V68" s="1374"/>
      <c r="W68" s="1374"/>
      <c r="X68" s="1375"/>
    </row>
    <row r="69" spans="1:24" ht="21" customHeight="1" x14ac:dyDescent="0.25">
      <c r="A69" s="2047" t="s">
        <v>274</v>
      </c>
      <c r="B69" s="2045" t="s">
        <v>288</v>
      </c>
      <c r="C69" s="2043" t="s">
        <v>2714</v>
      </c>
      <c r="D69" s="1368" t="s">
        <v>1817</v>
      </c>
      <c r="E69" s="1368" t="s">
        <v>1297</v>
      </c>
      <c r="F69" s="1368" t="s">
        <v>127</v>
      </c>
      <c r="G69" s="1373" t="s">
        <v>1754</v>
      </c>
      <c r="H69" s="1374"/>
      <c r="I69" s="1374"/>
      <c r="J69" s="1374"/>
      <c r="K69" s="1374"/>
      <c r="L69" s="1374"/>
      <c r="M69" s="1374"/>
      <c r="N69" s="1374"/>
      <c r="O69" s="1374"/>
      <c r="P69" s="1375"/>
      <c r="Q69" s="1376"/>
      <c r="R69" s="1374"/>
      <c r="S69" s="1374"/>
      <c r="T69" s="1374"/>
      <c r="U69" s="1374"/>
      <c r="V69" s="1374"/>
      <c r="W69" s="1374"/>
      <c r="X69" s="1375">
        <v>660400</v>
      </c>
    </row>
    <row r="70" spans="1:24" ht="21" customHeight="1" x14ac:dyDescent="0.25">
      <c r="A70" s="2048"/>
      <c r="B70" s="2046"/>
      <c r="C70" s="2044"/>
      <c r="D70" s="1368" t="s">
        <v>1817</v>
      </c>
      <c r="E70" s="1368" t="s">
        <v>73</v>
      </c>
      <c r="F70" s="1368" t="s">
        <v>90</v>
      </c>
      <c r="G70" s="1373" t="s">
        <v>1754</v>
      </c>
      <c r="H70" s="1374"/>
      <c r="I70" s="1374"/>
      <c r="J70" s="1374">
        <f>520000+140400</f>
        <v>660400</v>
      </c>
      <c r="K70" s="1374"/>
      <c r="L70" s="1374"/>
      <c r="M70" s="1374"/>
      <c r="N70" s="1374"/>
      <c r="O70" s="1374"/>
      <c r="P70" s="1375"/>
      <c r="Q70" s="1376"/>
      <c r="R70" s="1374"/>
      <c r="S70" s="1374"/>
      <c r="T70" s="1374"/>
      <c r="U70" s="1374"/>
      <c r="V70" s="1374"/>
      <c r="W70" s="1374"/>
      <c r="X70" s="1375"/>
    </row>
    <row r="71" spans="1:24" ht="18" customHeight="1" x14ac:dyDescent="0.25">
      <c r="A71" s="2047" t="s">
        <v>275</v>
      </c>
      <c r="B71" s="2045" t="s">
        <v>2663</v>
      </c>
      <c r="C71" s="2043" t="s">
        <v>2616</v>
      </c>
      <c r="D71" s="1368" t="s">
        <v>1817</v>
      </c>
      <c r="E71" s="1368" t="s">
        <v>73</v>
      </c>
      <c r="F71" s="1368" t="s">
        <v>90</v>
      </c>
      <c r="G71" s="1373" t="s">
        <v>1766</v>
      </c>
      <c r="H71" s="1374">
        <f>-20500000+20500000</f>
        <v>0</v>
      </c>
      <c r="I71" s="1374"/>
      <c r="J71" s="1374"/>
      <c r="K71" s="1374"/>
      <c r="L71" s="1374"/>
      <c r="M71" s="1374"/>
      <c r="N71" s="1374"/>
      <c r="O71" s="1374"/>
      <c r="P71" s="1375"/>
      <c r="Q71" s="1376"/>
      <c r="R71" s="1374"/>
      <c r="S71" s="1374"/>
      <c r="T71" s="1374"/>
      <c r="U71" s="1374"/>
      <c r="V71" s="1374"/>
      <c r="W71" s="1374"/>
      <c r="X71" s="1375"/>
    </row>
    <row r="72" spans="1:24" ht="18" customHeight="1" x14ac:dyDescent="0.25">
      <c r="A72" s="2054"/>
      <c r="B72" s="2053"/>
      <c r="C72" s="2049"/>
      <c r="D72" s="1368" t="s">
        <v>1817</v>
      </c>
      <c r="E72" s="1368" t="s">
        <v>161</v>
      </c>
      <c r="F72" s="1368" t="s">
        <v>131</v>
      </c>
      <c r="G72" s="1373" t="s">
        <v>1766</v>
      </c>
      <c r="H72" s="1374">
        <f>-3000000+3000000</f>
        <v>0</v>
      </c>
      <c r="I72" s="1374"/>
      <c r="J72" s="1374"/>
      <c r="K72" s="1374"/>
      <c r="L72" s="1374"/>
      <c r="M72" s="1374"/>
      <c r="N72" s="1374"/>
      <c r="O72" s="1374"/>
      <c r="P72" s="1375"/>
      <c r="Q72" s="1376"/>
      <c r="R72" s="1374"/>
      <c r="S72" s="1374"/>
      <c r="T72" s="1374"/>
      <c r="U72" s="1374"/>
      <c r="V72" s="1374"/>
      <c r="W72" s="1374"/>
      <c r="X72" s="1375"/>
    </row>
    <row r="73" spans="1:24" ht="18" customHeight="1" x14ac:dyDescent="0.25">
      <c r="A73" s="2054"/>
      <c r="B73" s="2053"/>
      <c r="C73" s="2049"/>
      <c r="D73" s="1368" t="s">
        <v>1817</v>
      </c>
      <c r="E73" s="1368" t="s">
        <v>523</v>
      </c>
      <c r="F73" s="1368" t="s">
        <v>150</v>
      </c>
      <c r="G73" s="1373" t="s">
        <v>1766</v>
      </c>
      <c r="H73" s="1374">
        <f>-192967-1000000+1000000+192967</f>
        <v>0</v>
      </c>
      <c r="I73" s="1374"/>
      <c r="J73" s="1374"/>
      <c r="K73" s="1374"/>
      <c r="L73" s="1374"/>
      <c r="M73" s="1374"/>
      <c r="N73" s="1374"/>
      <c r="O73" s="1374"/>
      <c r="P73" s="1375"/>
      <c r="Q73" s="1376"/>
      <c r="R73" s="1374"/>
      <c r="S73" s="1374"/>
      <c r="T73" s="1374"/>
      <c r="U73" s="1374"/>
      <c r="V73" s="1374"/>
      <c r="W73" s="1374"/>
      <c r="X73" s="1375"/>
    </row>
    <row r="74" spans="1:24" ht="18" customHeight="1" x14ac:dyDescent="0.25">
      <c r="A74" s="2048"/>
      <c r="B74" s="2046"/>
      <c r="C74" s="2044"/>
      <c r="D74" s="1368" t="s">
        <v>1817</v>
      </c>
      <c r="E74" s="1368" t="s">
        <v>648</v>
      </c>
      <c r="F74" s="1368" t="s">
        <v>133</v>
      </c>
      <c r="G74" s="1373" t="s">
        <v>1766</v>
      </c>
      <c r="H74" s="1374">
        <f>-880292-4500000+4500000+2550+877742</f>
        <v>0</v>
      </c>
      <c r="I74" s="1374"/>
      <c r="J74" s="1374"/>
      <c r="K74" s="1374"/>
      <c r="L74" s="1374"/>
      <c r="M74" s="1374"/>
      <c r="N74" s="1374"/>
      <c r="O74" s="1374"/>
      <c r="P74" s="1375"/>
      <c r="Q74" s="1376"/>
      <c r="R74" s="1374"/>
      <c r="S74" s="1374"/>
      <c r="T74" s="1374"/>
      <c r="U74" s="1374"/>
      <c r="V74" s="1374"/>
      <c r="W74" s="1374"/>
      <c r="X74" s="1375"/>
    </row>
    <row r="75" spans="1:24" ht="29.25" customHeight="1" x14ac:dyDescent="0.25">
      <c r="A75" s="1428" t="s">
        <v>276</v>
      </c>
      <c r="B75" s="1427" t="s">
        <v>291</v>
      </c>
      <c r="C75" s="1426" t="s">
        <v>2664</v>
      </c>
      <c r="D75" s="1368" t="s">
        <v>1817</v>
      </c>
      <c r="E75" s="1368" t="s">
        <v>73</v>
      </c>
      <c r="F75" s="1368" t="s">
        <v>90</v>
      </c>
      <c r="G75" s="1373" t="s">
        <v>1766</v>
      </c>
      <c r="H75" s="1374"/>
      <c r="I75" s="1374"/>
      <c r="J75" s="1374">
        <f>-800000+800000</f>
        <v>0</v>
      </c>
      <c r="K75" s="1374"/>
      <c r="L75" s="1374"/>
      <c r="M75" s="1374"/>
      <c r="N75" s="1374"/>
      <c r="O75" s="1374"/>
      <c r="P75" s="1375"/>
      <c r="Q75" s="1376"/>
      <c r="R75" s="1374"/>
      <c r="S75" s="1374"/>
      <c r="T75" s="1374"/>
      <c r="U75" s="1374"/>
      <c r="V75" s="1374"/>
      <c r="W75" s="1374"/>
      <c r="X75" s="1375"/>
    </row>
    <row r="76" spans="1:24" ht="42.75" customHeight="1" x14ac:dyDescent="0.25">
      <c r="A76" s="1428" t="s">
        <v>277</v>
      </c>
      <c r="B76" s="1427" t="s">
        <v>292</v>
      </c>
      <c r="C76" s="1426" t="s">
        <v>2665</v>
      </c>
      <c r="D76" s="1368" t="s">
        <v>1817</v>
      </c>
      <c r="E76" s="1368" t="s">
        <v>1890</v>
      </c>
      <c r="F76" s="1368" t="s">
        <v>152</v>
      </c>
      <c r="G76" s="1373" t="s">
        <v>1766</v>
      </c>
      <c r="H76" s="1374"/>
      <c r="I76" s="1374"/>
      <c r="J76" s="1374">
        <f>-101600+80000+21600</f>
        <v>0</v>
      </c>
      <c r="K76" s="1374"/>
      <c r="L76" s="1374"/>
      <c r="M76" s="1374"/>
      <c r="N76" s="1374"/>
      <c r="O76" s="1374"/>
      <c r="P76" s="1375"/>
      <c r="Q76" s="1376"/>
      <c r="R76" s="1374"/>
      <c r="S76" s="1374"/>
      <c r="T76" s="1374"/>
      <c r="U76" s="1374"/>
      <c r="V76" s="1374"/>
      <c r="W76" s="1374"/>
      <c r="X76" s="1375"/>
    </row>
    <row r="77" spans="1:24" ht="32.25" customHeight="1" x14ac:dyDescent="0.25">
      <c r="A77" s="1428" t="s">
        <v>278</v>
      </c>
      <c r="B77" s="1427" t="s">
        <v>293</v>
      </c>
      <c r="C77" s="1426" t="s">
        <v>2259</v>
      </c>
      <c r="D77" s="1368" t="s">
        <v>1817</v>
      </c>
      <c r="E77" s="1368" t="s">
        <v>73</v>
      </c>
      <c r="F77" s="1368" t="s">
        <v>90</v>
      </c>
      <c r="G77" s="1373" t="s">
        <v>1754</v>
      </c>
      <c r="H77" s="1374"/>
      <c r="I77" s="1374"/>
      <c r="J77" s="1374"/>
      <c r="K77" s="1374"/>
      <c r="L77" s="1374"/>
      <c r="M77" s="1374"/>
      <c r="N77" s="1374"/>
      <c r="O77" s="1374">
        <v>135200</v>
      </c>
      <c r="P77" s="1375"/>
      <c r="Q77" s="1376"/>
      <c r="R77" s="1374"/>
      <c r="S77" s="1374"/>
      <c r="T77" s="1374"/>
      <c r="U77" s="1374"/>
      <c r="V77" s="1374"/>
      <c r="W77" s="1374">
        <v>135200</v>
      </c>
      <c r="X77" s="1375"/>
    </row>
    <row r="78" spans="1:24" ht="22.5" customHeight="1" x14ac:dyDescent="0.25">
      <c r="A78" s="1429"/>
      <c r="B78" s="1430"/>
      <c r="C78" s="982"/>
      <c r="D78" s="983"/>
      <c r="E78" s="983"/>
      <c r="F78" s="983"/>
      <c r="G78" s="984"/>
      <c r="H78" s="985"/>
      <c r="I78" s="985"/>
      <c r="J78" s="985"/>
      <c r="K78" s="985"/>
      <c r="L78" s="985"/>
      <c r="M78" s="985"/>
      <c r="N78" s="985"/>
      <c r="O78" s="985"/>
      <c r="P78" s="986"/>
      <c r="Q78" s="1319"/>
      <c r="R78" s="985"/>
      <c r="S78" s="985"/>
      <c r="T78" s="985"/>
      <c r="U78" s="985"/>
      <c r="V78" s="985"/>
      <c r="W78" s="985"/>
      <c r="X78" s="986"/>
    </row>
    <row r="79" spans="1:24" ht="18.75" x14ac:dyDescent="0.3">
      <c r="A79" s="2021" t="s">
        <v>1663</v>
      </c>
      <c r="B79" s="2022"/>
      <c r="C79" s="2022"/>
      <c r="D79" s="987"/>
      <c r="E79" s="956"/>
      <c r="F79" s="956"/>
      <c r="G79" s="956"/>
      <c r="H79" s="1595">
        <f t="shared" ref="H79:X79" si="1">SUM(H45:H78)+H29</f>
        <v>47847983</v>
      </c>
      <c r="I79" s="1595">
        <f t="shared" si="1"/>
        <v>6409428</v>
      </c>
      <c r="J79" s="1595">
        <f t="shared" si="1"/>
        <v>2562624</v>
      </c>
      <c r="K79" s="1595">
        <f t="shared" si="1"/>
        <v>0</v>
      </c>
      <c r="L79" s="1595">
        <f t="shared" si="1"/>
        <v>34588794</v>
      </c>
      <c r="M79" s="1595">
        <f t="shared" si="1"/>
        <v>2080500</v>
      </c>
      <c r="N79" s="1595">
        <f t="shared" si="1"/>
        <v>0</v>
      </c>
      <c r="O79" s="1595">
        <f t="shared" si="1"/>
        <v>1759800</v>
      </c>
      <c r="P79" s="1596">
        <f t="shared" si="1"/>
        <v>0</v>
      </c>
      <c r="Q79" s="1597">
        <f t="shared" si="1"/>
        <v>23447447</v>
      </c>
      <c r="R79" s="1595">
        <f t="shared" si="1"/>
        <v>0</v>
      </c>
      <c r="S79" s="1595">
        <f t="shared" si="1"/>
        <v>100000</v>
      </c>
      <c r="T79" s="1595">
        <f t="shared" si="1"/>
        <v>21268</v>
      </c>
      <c r="U79" s="1595">
        <f t="shared" si="1"/>
        <v>75000</v>
      </c>
      <c r="V79" s="1595">
        <f t="shared" si="1"/>
        <v>0</v>
      </c>
      <c r="W79" s="1595">
        <f t="shared" si="1"/>
        <v>1759800</v>
      </c>
      <c r="X79" s="1596">
        <f t="shared" si="1"/>
        <v>69845614</v>
      </c>
    </row>
    <row r="80" spans="1:24" ht="16.5" customHeight="1" x14ac:dyDescent="0.25">
      <c r="H80" s="936"/>
      <c r="I80" s="936"/>
      <c r="J80" s="936"/>
      <c r="K80" s="936"/>
      <c r="L80" s="936"/>
      <c r="M80" s="936"/>
      <c r="N80" s="936"/>
      <c r="O80" s="936"/>
      <c r="P80" s="936"/>
      <c r="Q80" s="936"/>
      <c r="R80" s="936"/>
      <c r="S80" s="936"/>
      <c r="T80" s="936"/>
      <c r="U80" s="936"/>
      <c r="V80" s="936"/>
      <c r="W80" s="936"/>
      <c r="X80" s="936"/>
    </row>
    <row r="81" spans="1:24" ht="20.25" customHeight="1" x14ac:dyDescent="0.25">
      <c r="H81" s="936"/>
      <c r="I81" s="936"/>
      <c r="J81" s="936"/>
      <c r="K81" s="936"/>
      <c r="L81" s="936"/>
      <c r="M81" s="936"/>
      <c r="N81" s="936"/>
      <c r="O81" s="936"/>
      <c r="P81" s="936"/>
      <c r="Q81" s="936"/>
      <c r="R81" s="936"/>
      <c r="S81" s="936"/>
      <c r="T81" s="936"/>
      <c r="U81" s="936"/>
      <c r="V81" s="936"/>
      <c r="W81" s="936"/>
      <c r="X81" s="936"/>
    </row>
    <row r="82" spans="1:24" x14ac:dyDescent="0.25">
      <c r="Q82" s="968"/>
    </row>
    <row r="83" spans="1:24" x14ac:dyDescent="0.25">
      <c r="Q83" s="968"/>
    </row>
    <row r="84" spans="1:24" ht="20.25" customHeight="1" x14ac:dyDescent="0.25">
      <c r="I84" s="2042" t="s">
        <v>1664</v>
      </c>
      <c r="J84" s="2042"/>
      <c r="K84" s="2042"/>
      <c r="L84" s="2042">
        <v>897605064</v>
      </c>
      <c r="M84" s="2042"/>
      <c r="N84" s="996"/>
      <c r="O84" s="996"/>
      <c r="P84" s="996"/>
      <c r="Q84" s="996"/>
      <c r="R84" s="2042" t="s">
        <v>1665</v>
      </c>
      <c r="S84" s="2042"/>
      <c r="T84" s="2042"/>
      <c r="U84" s="2042">
        <v>897605064</v>
      </c>
      <c r="V84" s="2042"/>
    </row>
    <row r="85" spans="1:24" ht="21" customHeight="1" x14ac:dyDescent="0.25">
      <c r="I85" s="2042" t="s">
        <v>1666</v>
      </c>
      <c r="J85" s="2042"/>
      <c r="K85" s="2042"/>
      <c r="L85" s="2042">
        <f>SUM(H79:P79)</f>
        <v>95249129</v>
      </c>
      <c r="M85" s="2042"/>
      <c r="N85" s="996"/>
      <c r="O85" s="996"/>
      <c r="P85" s="996"/>
      <c r="Q85" s="996"/>
      <c r="R85" s="2042" t="s">
        <v>1666</v>
      </c>
      <c r="S85" s="2042"/>
      <c r="T85" s="2042"/>
      <c r="U85" s="2042">
        <f>SUM(Q79:X79)</f>
        <v>95249129</v>
      </c>
      <c r="V85" s="2042"/>
    </row>
    <row r="86" spans="1:24" ht="21.75" customHeight="1" x14ac:dyDescent="0.25">
      <c r="I86" s="2042" t="s">
        <v>1512</v>
      </c>
      <c r="J86" s="2042"/>
      <c r="K86" s="2042"/>
      <c r="L86" s="2042">
        <f>+L84+L85</f>
        <v>992854193</v>
      </c>
      <c r="M86" s="2042"/>
      <c r="N86" s="996"/>
      <c r="O86" s="996"/>
      <c r="P86" s="996"/>
      <c r="Q86" s="996"/>
      <c r="R86" s="2042" t="s">
        <v>1512</v>
      </c>
      <c r="S86" s="2042"/>
      <c r="T86" s="2042"/>
      <c r="U86" s="2042">
        <f>+U84+U85</f>
        <v>992854193</v>
      </c>
      <c r="V86" s="2042"/>
    </row>
    <row r="87" spans="1:24" x14ac:dyDescent="0.25">
      <c r="Q87" s="968"/>
    </row>
    <row r="88" spans="1:24" x14ac:dyDescent="0.25">
      <c r="Q88" s="968"/>
    </row>
    <row r="89" spans="1:24" x14ac:dyDescent="0.25">
      <c r="Q89" s="968"/>
    </row>
    <row r="90" spans="1:24" ht="15.75" x14ac:dyDescent="0.25">
      <c r="A90" s="2010" t="s">
        <v>2861</v>
      </c>
      <c r="B90" s="2010"/>
      <c r="C90" s="2010"/>
      <c r="D90" s="2010"/>
      <c r="E90" s="2010"/>
      <c r="F90" s="2010"/>
      <c r="G90" s="2010"/>
      <c r="H90" s="2010"/>
      <c r="I90" s="2010"/>
      <c r="J90" s="2010"/>
      <c r="K90" s="2010"/>
      <c r="L90" s="2010"/>
      <c r="M90" s="2010"/>
      <c r="N90" s="2010"/>
      <c r="O90" s="2010"/>
      <c r="P90" s="2010"/>
      <c r="Q90" s="2010"/>
      <c r="R90" s="2010"/>
      <c r="S90" s="2010"/>
      <c r="T90" s="2010"/>
      <c r="U90" s="2010"/>
      <c r="V90" s="2010"/>
      <c r="W90" s="2010"/>
      <c r="X90" s="2010"/>
    </row>
    <row r="91" spans="1:24" ht="15.75" x14ac:dyDescent="0.25">
      <c r="A91" s="1246"/>
      <c r="B91" s="1246"/>
      <c r="C91" s="1246"/>
      <c r="D91" s="1246"/>
      <c r="E91" s="1246"/>
      <c r="F91" s="1246"/>
      <c r="G91" s="1246"/>
      <c r="H91" s="1246"/>
      <c r="I91" s="1246"/>
      <c r="J91" s="1246"/>
      <c r="K91" s="1246"/>
      <c r="L91" s="1246"/>
      <c r="M91" s="1246"/>
      <c r="N91" s="1246"/>
      <c r="O91" s="1246"/>
      <c r="P91" s="1246"/>
      <c r="Q91" s="1246"/>
      <c r="R91" s="1246"/>
      <c r="S91" s="1246"/>
      <c r="T91" s="1246"/>
      <c r="U91" s="1246"/>
      <c r="V91" s="1246"/>
      <c r="W91" s="1246"/>
      <c r="X91" s="1246"/>
    </row>
    <row r="92" spans="1:24" x14ac:dyDescent="0.25">
      <c r="A92" s="969"/>
      <c r="B92" s="969"/>
      <c r="C92" s="969"/>
      <c r="D92" s="970"/>
      <c r="E92" s="970"/>
      <c r="F92" s="970"/>
      <c r="G92" s="970"/>
      <c r="H92" s="970"/>
      <c r="I92" s="970"/>
      <c r="J92" s="970"/>
      <c r="K92" s="970"/>
      <c r="L92" s="970"/>
      <c r="M92" s="970"/>
      <c r="N92" s="970"/>
      <c r="O92" s="970"/>
      <c r="P92" s="970"/>
      <c r="Q92" s="970"/>
      <c r="R92" s="970"/>
      <c r="S92" s="970"/>
      <c r="T92" s="970"/>
      <c r="U92" s="970"/>
      <c r="V92" s="970"/>
      <c r="W92" s="970"/>
      <c r="X92" s="970"/>
    </row>
    <row r="93" spans="1:24" x14ac:dyDescent="0.25">
      <c r="A93" s="2055" t="s">
        <v>86</v>
      </c>
      <c r="B93" s="2055"/>
      <c r="C93" s="2055"/>
      <c r="D93" s="2055"/>
      <c r="E93" s="2055"/>
      <c r="F93" s="2055"/>
      <c r="G93" s="2055"/>
      <c r="H93" s="2055"/>
      <c r="I93" s="2055"/>
      <c r="J93" s="2055"/>
      <c r="K93" s="2055"/>
      <c r="L93" s="2055"/>
      <c r="M93" s="2055"/>
      <c r="N93" s="2055"/>
      <c r="O93" s="2055"/>
      <c r="P93" s="2055"/>
      <c r="Q93" s="2055"/>
      <c r="R93" s="2055"/>
      <c r="S93" s="2055"/>
      <c r="T93" s="2055"/>
      <c r="U93" s="2055"/>
      <c r="V93" s="2055"/>
      <c r="W93" s="2055"/>
      <c r="X93" s="2055"/>
    </row>
    <row r="94" spans="1:24" x14ac:dyDescent="0.25">
      <c r="Q94" s="968"/>
    </row>
    <row r="95" spans="1:24" ht="15.75" customHeight="1" x14ac:dyDescent="0.25">
      <c r="A95" s="2056" t="s">
        <v>37</v>
      </c>
      <c r="B95" s="1773" t="s">
        <v>1640</v>
      </c>
      <c r="C95" s="2058" t="s">
        <v>2</v>
      </c>
      <c r="D95" s="2037" t="s">
        <v>1641</v>
      </c>
      <c r="E95" s="2037" t="s">
        <v>116</v>
      </c>
      <c r="F95" s="2037" t="s">
        <v>1642</v>
      </c>
      <c r="G95" s="2037" t="s">
        <v>1643</v>
      </c>
      <c r="H95" s="2039" t="s">
        <v>1644</v>
      </c>
      <c r="I95" s="2039"/>
      <c r="J95" s="2039"/>
      <c r="K95" s="2039"/>
      <c r="L95" s="2039"/>
      <c r="M95" s="2039"/>
      <c r="N95" s="2039"/>
      <c r="O95" s="2039"/>
      <c r="P95" s="1496"/>
      <c r="Q95" s="2040" t="s">
        <v>1645</v>
      </c>
      <c r="R95" s="2039"/>
      <c r="S95" s="2039"/>
      <c r="T95" s="2039"/>
      <c r="U95" s="2039"/>
      <c r="V95" s="2039"/>
      <c r="W95" s="2039"/>
      <c r="X95" s="2041"/>
    </row>
    <row r="96" spans="1:24" ht="82.5" customHeight="1" x14ac:dyDescent="0.25">
      <c r="A96" s="2057"/>
      <c r="B96" s="1774"/>
      <c r="C96" s="2059"/>
      <c r="D96" s="2038"/>
      <c r="E96" s="2038"/>
      <c r="F96" s="2038"/>
      <c r="G96" s="2038"/>
      <c r="H96" s="941" t="s">
        <v>1667</v>
      </c>
      <c r="I96" s="941" t="s">
        <v>1668</v>
      </c>
      <c r="J96" s="941" t="s">
        <v>1669</v>
      </c>
      <c r="K96" s="941" t="s">
        <v>1670</v>
      </c>
      <c r="L96" s="941" t="s">
        <v>1671</v>
      </c>
      <c r="M96" s="941" t="s">
        <v>1672</v>
      </c>
      <c r="N96" s="941" t="s">
        <v>1673</v>
      </c>
      <c r="O96" s="941" t="s">
        <v>1653</v>
      </c>
      <c r="P96" s="944" t="s">
        <v>1654</v>
      </c>
      <c r="Q96" s="999" t="s">
        <v>1655</v>
      </c>
      <c r="R96" s="941" t="s">
        <v>1674</v>
      </c>
      <c r="S96" s="941" t="s">
        <v>1675</v>
      </c>
      <c r="T96" s="941" t="s">
        <v>1676</v>
      </c>
      <c r="U96" s="941" t="s">
        <v>1659</v>
      </c>
      <c r="V96" s="941" t="s">
        <v>1660</v>
      </c>
      <c r="W96" s="941" t="s">
        <v>1661</v>
      </c>
      <c r="X96" s="944" t="s">
        <v>1677</v>
      </c>
    </row>
    <row r="97" spans="1:24" ht="17.25" customHeight="1" x14ac:dyDescent="0.25">
      <c r="A97" s="2052" t="s">
        <v>282</v>
      </c>
      <c r="B97" s="2051" t="s">
        <v>294</v>
      </c>
      <c r="C97" s="2050" t="s">
        <v>2783</v>
      </c>
      <c r="D97" s="974" t="s">
        <v>1817</v>
      </c>
      <c r="E97" s="974" t="s">
        <v>73</v>
      </c>
      <c r="F97" s="974" t="s">
        <v>90</v>
      </c>
      <c r="G97" s="975" t="s">
        <v>1766</v>
      </c>
      <c r="H97" s="949">
        <f>-300000+300000</f>
        <v>0</v>
      </c>
      <c r="I97" s="949"/>
      <c r="J97" s="949"/>
      <c r="K97" s="949"/>
      <c r="L97" s="949"/>
      <c r="M97" s="949"/>
      <c r="N97" s="949"/>
      <c r="O97" s="949"/>
      <c r="P97" s="976"/>
      <c r="Q97" s="1448"/>
      <c r="R97" s="949"/>
      <c r="S97" s="949"/>
      <c r="T97" s="949"/>
      <c r="U97" s="949"/>
      <c r="V97" s="949"/>
      <c r="W97" s="949"/>
      <c r="X97" s="976"/>
    </row>
    <row r="98" spans="1:24" ht="17.25" customHeight="1" x14ac:dyDescent="0.25">
      <c r="A98" s="2048"/>
      <c r="B98" s="2046"/>
      <c r="C98" s="2044"/>
      <c r="D98" s="978" t="s">
        <v>1817</v>
      </c>
      <c r="E98" s="978" t="s">
        <v>648</v>
      </c>
      <c r="F98" s="978" t="s">
        <v>133</v>
      </c>
      <c r="G98" s="979" t="s">
        <v>1766</v>
      </c>
      <c r="H98" s="980">
        <f>-667000+667000</f>
        <v>0</v>
      </c>
      <c r="I98" s="980"/>
      <c r="J98" s="980"/>
      <c r="K98" s="980"/>
      <c r="L98" s="980"/>
      <c r="M98" s="980"/>
      <c r="N98" s="980"/>
      <c r="O98" s="980"/>
      <c r="P98" s="981"/>
      <c r="Q98" s="1449"/>
      <c r="R98" s="980"/>
      <c r="S98" s="980"/>
      <c r="T98" s="980"/>
      <c r="U98" s="980"/>
      <c r="V98" s="980"/>
      <c r="W98" s="980"/>
      <c r="X98" s="981"/>
    </row>
    <row r="99" spans="1:24" ht="18" customHeight="1" x14ac:dyDescent="0.25">
      <c r="A99" s="2047" t="s">
        <v>283</v>
      </c>
      <c r="B99" s="2045" t="s">
        <v>295</v>
      </c>
      <c r="C99" s="2043" t="s">
        <v>2787</v>
      </c>
      <c r="D99" s="978" t="s">
        <v>1817</v>
      </c>
      <c r="E99" s="978" t="s">
        <v>1297</v>
      </c>
      <c r="F99" s="978" t="s">
        <v>127</v>
      </c>
      <c r="G99" s="979" t="s">
        <v>1754</v>
      </c>
      <c r="H99" s="980"/>
      <c r="I99" s="980"/>
      <c r="J99" s="980"/>
      <c r="K99" s="980"/>
      <c r="L99" s="980"/>
      <c r="M99" s="980"/>
      <c r="N99" s="980"/>
      <c r="O99" s="980"/>
      <c r="P99" s="981"/>
      <c r="Q99" s="1449"/>
      <c r="R99" s="980"/>
      <c r="S99" s="980"/>
      <c r="T99" s="980"/>
      <c r="U99" s="980"/>
      <c r="V99" s="980"/>
      <c r="W99" s="980"/>
      <c r="X99" s="981">
        <v>11724</v>
      </c>
    </row>
    <row r="100" spans="1:24" ht="18" customHeight="1" x14ac:dyDescent="0.25">
      <c r="A100" s="2048"/>
      <c r="B100" s="2046"/>
      <c r="C100" s="2044"/>
      <c r="D100" s="978" t="s">
        <v>1817</v>
      </c>
      <c r="E100" s="978" t="s">
        <v>73</v>
      </c>
      <c r="F100" s="978" t="s">
        <v>90</v>
      </c>
      <c r="G100" s="979" t="s">
        <v>1754</v>
      </c>
      <c r="H100" s="980"/>
      <c r="I100" s="980"/>
      <c r="J100" s="980">
        <f>9231+2493</f>
        <v>11724</v>
      </c>
      <c r="K100" s="980"/>
      <c r="L100" s="980"/>
      <c r="M100" s="980"/>
      <c r="N100" s="980"/>
      <c r="O100" s="980"/>
      <c r="P100" s="981"/>
      <c r="Q100" s="1449"/>
      <c r="R100" s="980"/>
      <c r="S100" s="980"/>
      <c r="T100" s="980"/>
      <c r="U100" s="980"/>
      <c r="V100" s="980"/>
      <c r="W100" s="980"/>
      <c r="X100" s="981"/>
    </row>
    <row r="101" spans="1:24" x14ac:dyDescent="0.25">
      <c r="A101" s="2047" t="s">
        <v>284</v>
      </c>
      <c r="B101" s="2045" t="s">
        <v>296</v>
      </c>
      <c r="C101" s="2043" t="s">
        <v>2787</v>
      </c>
      <c r="D101" s="978" t="s">
        <v>1817</v>
      </c>
      <c r="E101" s="978" t="s">
        <v>1297</v>
      </c>
      <c r="F101" s="978" t="s">
        <v>127</v>
      </c>
      <c r="G101" s="979" t="s">
        <v>1754</v>
      </c>
      <c r="H101" s="980"/>
      <c r="I101" s="980"/>
      <c r="J101" s="980"/>
      <c r="K101" s="980"/>
      <c r="L101" s="980"/>
      <c r="M101" s="980"/>
      <c r="N101" s="980"/>
      <c r="O101" s="980"/>
      <c r="P101" s="981"/>
      <c r="Q101" s="1449"/>
      <c r="R101" s="980"/>
      <c r="S101" s="980"/>
      <c r="T101" s="980"/>
      <c r="U101" s="980"/>
      <c r="V101" s="980"/>
      <c r="W101" s="980"/>
      <c r="X101" s="981">
        <v>31950</v>
      </c>
    </row>
    <row r="102" spans="1:24" x14ac:dyDescent="0.25">
      <c r="A102" s="2048"/>
      <c r="B102" s="2046"/>
      <c r="C102" s="2044"/>
      <c r="D102" s="978" t="s">
        <v>1817</v>
      </c>
      <c r="E102" s="978" t="s">
        <v>73</v>
      </c>
      <c r="F102" s="978" t="s">
        <v>90</v>
      </c>
      <c r="G102" s="979" t="s">
        <v>1754</v>
      </c>
      <c r="H102" s="980"/>
      <c r="I102" s="980"/>
      <c r="J102" s="980">
        <f>25157+6793</f>
        <v>31950</v>
      </c>
      <c r="K102" s="980"/>
      <c r="L102" s="980"/>
      <c r="M102" s="980"/>
      <c r="N102" s="980"/>
      <c r="O102" s="980"/>
      <c r="P102" s="981"/>
      <c r="Q102" s="1449"/>
      <c r="R102" s="980"/>
      <c r="S102" s="980"/>
      <c r="T102" s="980"/>
      <c r="U102" s="980"/>
      <c r="V102" s="980"/>
      <c r="W102" s="980"/>
      <c r="X102" s="981"/>
    </row>
    <row r="103" spans="1:24" ht="28.5" customHeight="1" x14ac:dyDescent="0.25">
      <c r="A103" s="1432" t="s">
        <v>285</v>
      </c>
      <c r="B103" s="1431" t="s">
        <v>297</v>
      </c>
      <c r="C103" s="1491" t="s">
        <v>2788</v>
      </c>
      <c r="D103" s="978" t="s">
        <v>1817</v>
      </c>
      <c r="E103" s="978" t="s">
        <v>73</v>
      </c>
      <c r="F103" s="978" t="s">
        <v>90</v>
      </c>
      <c r="G103" s="979" t="s">
        <v>1766</v>
      </c>
      <c r="H103" s="980"/>
      <c r="I103" s="980"/>
      <c r="J103" s="980">
        <f>-2945039-795161</f>
        <v>-3740200</v>
      </c>
      <c r="K103" s="980"/>
      <c r="L103" s="980"/>
      <c r="M103" s="980"/>
      <c r="N103" s="980"/>
      <c r="O103" s="980">
        <v>3740200</v>
      </c>
      <c r="P103" s="981"/>
      <c r="Q103" s="1449"/>
      <c r="R103" s="980"/>
      <c r="S103" s="980"/>
      <c r="T103" s="980"/>
      <c r="U103" s="980"/>
      <c r="V103" s="980"/>
      <c r="W103" s="980"/>
      <c r="X103" s="981"/>
    </row>
    <row r="104" spans="1:24" ht="28.5" customHeight="1" x14ac:dyDescent="0.25">
      <c r="A104" s="1432" t="s">
        <v>286</v>
      </c>
      <c r="B104" s="1431" t="s">
        <v>298</v>
      </c>
      <c r="C104" s="1491" t="s">
        <v>2789</v>
      </c>
      <c r="D104" s="978" t="s">
        <v>1817</v>
      </c>
      <c r="E104" s="978" t="s">
        <v>648</v>
      </c>
      <c r="F104" s="978" t="s">
        <v>133</v>
      </c>
      <c r="G104" s="979" t="s">
        <v>1766</v>
      </c>
      <c r="H104" s="980"/>
      <c r="I104" s="980"/>
      <c r="J104" s="980">
        <f>-200000+200000</f>
        <v>0</v>
      </c>
      <c r="K104" s="980"/>
      <c r="L104" s="980"/>
      <c r="M104" s="980"/>
      <c r="N104" s="980"/>
      <c r="O104" s="980"/>
      <c r="P104" s="981"/>
      <c r="Q104" s="1449"/>
      <c r="R104" s="980"/>
      <c r="S104" s="980"/>
      <c r="T104" s="980"/>
      <c r="U104" s="980"/>
      <c r="V104" s="980"/>
      <c r="W104" s="980"/>
      <c r="X104" s="981"/>
    </row>
    <row r="105" spans="1:24" ht="20.25" customHeight="1" x14ac:dyDescent="0.25">
      <c r="A105" s="2047" t="s">
        <v>287</v>
      </c>
      <c r="B105" s="2045" t="s">
        <v>299</v>
      </c>
      <c r="C105" s="2043" t="s">
        <v>2831</v>
      </c>
      <c r="D105" s="978" t="s">
        <v>1817</v>
      </c>
      <c r="E105" s="978" t="s">
        <v>1297</v>
      </c>
      <c r="F105" s="978" t="s">
        <v>127</v>
      </c>
      <c r="G105" s="979" t="s">
        <v>1754</v>
      </c>
      <c r="H105" s="980"/>
      <c r="I105" s="980"/>
      <c r="J105" s="980"/>
      <c r="K105" s="980"/>
      <c r="L105" s="980"/>
      <c r="M105" s="980"/>
      <c r="N105" s="980"/>
      <c r="O105" s="980"/>
      <c r="P105" s="981"/>
      <c r="Q105" s="1449"/>
      <c r="R105" s="980"/>
      <c r="S105" s="980"/>
      <c r="T105" s="980"/>
      <c r="U105" s="980"/>
      <c r="V105" s="980"/>
      <c r="W105" s="980"/>
      <c r="X105" s="981">
        <v>328499</v>
      </c>
    </row>
    <row r="106" spans="1:24" ht="20.25" customHeight="1" x14ac:dyDescent="0.25">
      <c r="A106" s="2048"/>
      <c r="B106" s="2046"/>
      <c r="C106" s="2044"/>
      <c r="D106" s="978" t="s">
        <v>1817</v>
      </c>
      <c r="E106" s="978" t="s">
        <v>73</v>
      </c>
      <c r="F106" s="978" t="s">
        <v>90</v>
      </c>
      <c r="G106" s="979" t="s">
        <v>1754</v>
      </c>
      <c r="H106" s="980"/>
      <c r="I106" s="980"/>
      <c r="J106" s="980">
        <f>258661+69838</f>
        <v>328499</v>
      </c>
      <c r="K106" s="980"/>
      <c r="L106" s="980"/>
      <c r="M106" s="980"/>
      <c r="N106" s="980"/>
      <c r="O106" s="980"/>
      <c r="P106" s="981"/>
      <c r="Q106" s="1449"/>
      <c r="R106" s="980"/>
      <c r="S106" s="980"/>
      <c r="T106" s="980"/>
      <c r="U106" s="980"/>
      <c r="V106" s="980"/>
      <c r="W106" s="980"/>
      <c r="X106" s="981"/>
    </row>
    <row r="107" spans="1:24" ht="30.75" customHeight="1" x14ac:dyDescent="0.25">
      <c r="A107" s="1493" t="s">
        <v>288</v>
      </c>
      <c r="B107" s="1492" t="s">
        <v>300</v>
      </c>
      <c r="C107" s="1491" t="s">
        <v>2856</v>
      </c>
      <c r="D107" s="978" t="s">
        <v>1817</v>
      </c>
      <c r="E107" s="978" t="s">
        <v>523</v>
      </c>
      <c r="F107" s="978" t="s">
        <v>150</v>
      </c>
      <c r="G107" s="979" t="s">
        <v>1766</v>
      </c>
      <c r="H107" s="980"/>
      <c r="I107" s="980"/>
      <c r="J107" s="980"/>
      <c r="K107" s="980"/>
      <c r="L107" s="980"/>
      <c r="M107" s="980">
        <f>-70850+70850</f>
        <v>0</v>
      </c>
      <c r="N107" s="980"/>
      <c r="O107" s="980"/>
      <c r="P107" s="981"/>
      <c r="Q107" s="1449"/>
      <c r="R107" s="980"/>
      <c r="S107" s="980"/>
      <c r="T107" s="980"/>
      <c r="U107" s="980"/>
      <c r="V107" s="980"/>
      <c r="W107" s="980"/>
      <c r="X107" s="981"/>
    </row>
    <row r="108" spans="1:24" ht="31.5" customHeight="1" x14ac:dyDescent="0.25">
      <c r="A108" s="1493" t="s">
        <v>289</v>
      </c>
      <c r="B108" s="1492" t="s">
        <v>759</v>
      </c>
      <c r="C108" s="1491" t="s">
        <v>2857</v>
      </c>
      <c r="D108" s="978" t="s">
        <v>1817</v>
      </c>
      <c r="E108" s="978" t="s">
        <v>73</v>
      </c>
      <c r="F108" s="978" t="s">
        <v>2858</v>
      </c>
      <c r="G108" s="979" t="s">
        <v>1754</v>
      </c>
      <c r="H108" s="980"/>
      <c r="I108" s="980"/>
      <c r="J108" s="980">
        <v>2</v>
      </c>
      <c r="K108" s="980"/>
      <c r="L108" s="980"/>
      <c r="M108" s="980"/>
      <c r="N108" s="980"/>
      <c r="O108" s="980"/>
      <c r="P108" s="981"/>
      <c r="Q108" s="1449"/>
      <c r="R108" s="980"/>
      <c r="S108" s="980"/>
      <c r="T108" s="980">
        <v>2</v>
      </c>
      <c r="U108" s="980"/>
      <c r="V108" s="980"/>
      <c r="W108" s="980"/>
      <c r="X108" s="981"/>
    </row>
    <row r="109" spans="1:24" ht="31.5" customHeight="1" x14ac:dyDescent="0.25">
      <c r="A109" s="1493" t="s">
        <v>290</v>
      </c>
      <c r="B109" s="1492" t="s">
        <v>301</v>
      </c>
      <c r="C109" s="1491" t="s">
        <v>2913</v>
      </c>
      <c r="D109" s="978" t="s">
        <v>1817</v>
      </c>
      <c r="E109" s="978" t="s">
        <v>648</v>
      </c>
      <c r="F109" s="978" t="s">
        <v>133</v>
      </c>
      <c r="G109" s="979" t="s">
        <v>1766</v>
      </c>
      <c r="H109" s="980"/>
      <c r="I109" s="980"/>
      <c r="J109" s="980">
        <f>-800000+800000</f>
        <v>0</v>
      </c>
      <c r="K109" s="980"/>
      <c r="L109" s="980"/>
      <c r="M109" s="980"/>
      <c r="N109" s="980"/>
      <c r="O109" s="980"/>
      <c r="P109" s="981"/>
      <c r="Q109" s="1449"/>
      <c r="R109" s="980"/>
      <c r="S109" s="980"/>
      <c r="T109" s="980"/>
      <c r="U109" s="980"/>
      <c r="V109" s="980"/>
      <c r="W109" s="980"/>
      <c r="X109" s="981"/>
    </row>
    <row r="110" spans="1:24" ht="20.25" customHeight="1" x14ac:dyDescent="0.25">
      <c r="A110" s="2047" t="s">
        <v>291</v>
      </c>
      <c r="B110" s="2045" t="s">
        <v>760</v>
      </c>
      <c r="C110" s="2043" t="s">
        <v>2876</v>
      </c>
      <c r="D110" s="978" t="s">
        <v>1817</v>
      </c>
      <c r="E110" s="978" t="s">
        <v>73</v>
      </c>
      <c r="F110" s="978" t="s">
        <v>90</v>
      </c>
      <c r="G110" s="979" t="s">
        <v>1766</v>
      </c>
      <c r="H110" s="980">
        <f>-300000+300000</f>
        <v>0</v>
      </c>
      <c r="I110" s="980"/>
      <c r="J110" s="980"/>
      <c r="K110" s="980"/>
      <c r="L110" s="980"/>
      <c r="M110" s="980"/>
      <c r="N110" s="980"/>
      <c r="O110" s="980"/>
      <c r="P110" s="981"/>
      <c r="Q110" s="1449"/>
      <c r="R110" s="980"/>
      <c r="S110" s="980"/>
      <c r="T110" s="980"/>
      <c r="U110" s="980"/>
      <c r="V110" s="980"/>
      <c r="W110" s="980"/>
      <c r="X110" s="981"/>
    </row>
    <row r="111" spans="1:24" ht="20.25" customHeight="1" x14ac:dyDescent="0.25">
      <c r="A111" s="2048"/>
      <c r="B111" s="2046"/>
      <c r="C111" s="2044"/>
      <c r="D111" s="978" t="s">
        <v>1817</v>
      </c>
      <c r="E111" s="978" t="s">
        <v>648</v>
      </c>
      <c r="F111" s="978" t="s">
        <v>133</v>
      </c>
      <c r="G111" s="979" t="s">
        <v>1766</v>
      </c>
      <c r="H111" s="980">
        <f>-704053+704053</f>
        <v>0</v>
      </c>
      <c r="I111" s="980"/>
      <c r="J111" s="980"/>
      <c r="K111" s="980"/>
      <c r="L111" s="980"/>
      <c r="M111" s="980"/>
      <c r="N111" s="980"/>
      <c r="O111" s="980"/>
      <c r="P111" s="981"/>
      <c r="Q111" s="1449"/>
      <c r="R111" s="980"/>
      <c r="S111" s="980"/>
      <c r="T111" s="980"/>
      <c r="U111" s="980"/>
      <c r="V111" s="980"/>
      <c r="W111" s="980"/>
      <c r="X111" s="981"/>
    </row>
    <row r="112" spans="1:24" ht="19.5" customHeight="1" x14ac:dyDescent="0.25">
      <c r="A112" s="2047" t="s">
        <v>292</v>
      </c>
      <c r="B112" s="2045" t="s">
        <v>302</v>
      </c>
      <c r="C112" s="2043" t="s">
        <v>2918</v>
      </c>
      <c r="D112" s="978" t="s">
        <v>1817</v>
      </c>
      <c r="E112" s="978" t="s">
        <v>1297</v>
      </c>
      <c r="F112" s="978" t="s">
        <v>127</v>
      </c>
      <c r="G112" s="979" t="s">
        <v>1754</v>
      </c>
      <c r="H112" s="980"/>
      <c r="I112" s="980"/>
      <c r="J112" s="980"/>
      <c r="K112" s="980"/>
      <c r="L112" s="980"/>
      <c r="M112" s="980"/>
      <c r="N112" s="980"/>
      <c r="O112" s="980"/>
      <c r="P112" s="981"/>
      <c r="Q112" s="1449"/>
      <c r="R112" s="980"/>
      <c r="S112" s="980"/>
      <c r="T112" s="980"/>
      <c r="U112" s="980"/>
      <c r="V112" s="980"/>
      <c r="W112" s="980"/>
      <c r="X112" s="981">
        <v>381000</v>
      </c>
    </row>
    <row r="113" spans="1:24" ht="19.5" customHeight="1" x14ac:dyDescent="0.25">
      <c r="A113" s="2048"/>
      <c r="B113" s="2046"/>
      <c r="C113" s="2044"/>
      <c r="D113" s="978" t="s">
        <v>1817</v>
      </c>
      <c r="E113" s="978" t="s">
        <v>73</v>
      </c>
      <c r="F113" s="978" t="s">
        <v>90</v>
      </c>
      <c r="G113" s="979" t="s">
        <v>1754</v>
      </c>
      <c r="H113" s="980"/>
      <c r="I113" s="980"/>
      <c r="J113" s="980">
        <f>300000+81000</f>
        <v>381000</v>
      </c>
      <c r="K113" s="980"/>
      <c r="L113" s="980"/>
      <c r="M113" s="980"/>
      <c r="N113" s="980"/>
      <c r="O113" s="980"/>
      <c r="P113" s="981"/>
      <c r="Q113" s="1449"/>
      <c r="R113" s="980"/>
      <c r="S113" s="980"/>
      <c r="T113" s="980"/>
      <c r="U113" s="980"/>
      <c r="V113" s="980"/>
      <c r="W113" s="980"/>
      <c r="X113" s="981"/>
    </row>
    <row r="114" spans="1:24" ht="20.25" customHeight="1" x14ac:dyDescent="0.25">
      <c r="A114" s="2047" t="s">
        <v>293</v>
      </c>
      <c r="B114" s="2045" t="s">
        <v>303</v>
      </c>
      <c r="C114" s="2043" t="s">
        <v>2919</v>
      </c>
      <c r="D114" s="978" t="s">
        <v>1817</v>
      </c>
      <c r="E114" s="978" t="s">
        <v>1297</v>
      </c>
      <c r="F114" s="978" t="s">
        <v>127</v>
      </c>
      <c r="G114" s="979" t="s">
        <v>1754</v>
      </c>
      <c r="H114" s="980"/>
      <c r="I114" s="980"/>
      <c r="J114" s="980"/>
      <c r="K114" s="980"/>
      <c r="L114" s="980"/>
      <c r="M114" s="980"/>
      <c r="N114" s="980"/>
      <c r="O114" s="980"/>
      <c r="P114" s="981"/>
      <c r="Q114" s="1449"/>
      <c r="R114" s="980"/>
      <c r="S114" s="980"/>
      <c r="T114" s="980"/>
      <c r="U114" s="980"/>
      <c r="V114" s="980"/>
      <c r="W114" s="980"/>
      <c r="X114" s="981">
        <v>909320</v>
      </c>
    </row>
    <row r="115" spans="1:24" ht="20.25" customHeight="1" x14ac:dyDescent="0.25">
      <c r="A115" s="2048"/>
      <c r="B115" s="2046"/>
      <c r="C115" s="2044"/>
      <c r="D115" s="978" t="s">
        <v>1817</v>
      </c>
      <c r="E115" s="978" t="s">
        <v>73</v>
      </c>
      <c r="F115" s="978" t="s">
        <v>90</v>
      </c>
      <c r="G115" s="979" t="s">
        <v>1754</v>
      </c>
      <c r="H115" s="980"/>
      <c r="I115" s="980"/>
      <c r="J115" s="980">
        <f>716000+193320</f>
        <v>909320</v>
      </c>
      <c r="K115" s="980"/>
      <c r="L115" s="980"/>
      <c r="M115" s="980"/>
      <c r="N115" s="980"/>
      <c r="O115" s="980"/>
      <c r="P115" s="981"/>
      <c r="Q115" s="1449"/>
      <c r="R115" s="980"/>
      <c r="S115" s="980"/>
      <c r="T115" s="980"/>
      <c r="U115" s="980"/>
      <c r="V115" s="980"/>
      <c r="W115" s="980"/>
      <c r="X115" s="981"/>
    </row>
    <row r="116" spans="1:24" ht="20.25" customHeight="1" x14ac:dyDescent="0.25">
      <c r="A116" s="2047" t="s">
        <v>294</v>
      </c>
      <c r="B116" s="2045" t="s">
        <v>304</v>
      </c>
      <c r="C116" s="2043" t="s">
        <v>2952</v>
      </c>
      <c r="D116" s="978" t="s">
        <v>1817</v>
      </c>
      <c r="E116" s="978" t="s">
        <v>1297</v>
      </c>
      <c r="F116" s="978" t="s">
        <v>127</v>
      </c>
      <c r="G116" s="979" t="s">
        <v>1754</v>
      </c>
      <c r="H116" s="980"/>
      <c r="I116" s="980"/>
      <c r="J116" s="980"/>
      <c r="K116" s="980"/>
      <c r="L116" s="980"/>
      <c r="M116" s="980"/>
      <c r="N116" s="980"/>
      <c r="O116" s="980"/>
      <c r="P116" s="981"/>
      <c r="Q116" s="1449"/>
      <c r="R116" s="980"/>
      <c r="S116" s="980"/>
      <c r="T116" s="980"/>
      <c r="U116" s="980"/>
      <c r="V116" s="980"/>
      <c r="W116" s="980"/>
      <c r="X116" s="981">
        <v>1085850</v>
      </c>
    </row>
    <row r="117" spans="1:24" ht="20.25" customHeight="1" x14ac:dyDescent="0.25">
      <c r="A117" s="2048"/>
      <c r="B117" s="2046"/>
      <c r="C117" s="2044"/>
      <c r="D117" s="978" t="s">
        <v>1817</v>
      </c>
      <c r="E117" s="978" t="s">
        <v>648</v>
      </c>
      <c r="F117" s="978" t="s">
        <v>133</v>
      </c>
      <c r="G117" s="979" t="s">
        <v>1754</v>
      </c>
      <c r="H117" s="980"/>
      <c r="I117" s="980"/>
      <c r="J117" s="980">
        <f>855000+230850</f>
        <v>1085850</v>
      </c>
      <c r="K117" s="980"/>
      <c r="L117" s="980"/>
      <c r="M117" s="980"/>
      <c r="N117" s="980"/>
      <c r="O117" s="980"/>
      <c r="P117" s="981"/>
      <c r="Q117" s="1449"/>
      <c r="R117" s="980"/>
      <c r="S117" s="980"/>
      <c r="T117" s="980"/>
      <c r="U117" s="980"/>
      <c r="V117" s="980"/>
      <c r="W117" s="980"/>
      <c r="X117" s="981"/>
    </row>
    <row r="118" spans="1:24" ht="21" customHeight="1" x14ac:dyDescent="0.25">
      <c r="A118" s="2047" t="s">
        <v>295</v>
      </c>
      <c r="B118" s="2045" t="s">
        <v>305</v>
      </c>
      <c r="C118" s="2043" t="s">
        <v>3004</v>
      </c>
      <c r="D118" s="978" t="s">
        <v>1817</v>
      </c>
      <c r="E118" s="978" t="s">
        <v>73</v>
      </c>
      <c r="F118" s="978" t="s">
        <v>90</v>
      </c>
      <c r="G118" s="979" t="s">
        <v>1752</v>
      </c>
      <c r="H118" s="980"/>
      <c r="I118" s="980"/>
      <c r="J118" s="980"/>
      <c r="K118" s="980"/>
      <c r="L118" s="980"/>
      <c r="M118" s="980">
        <f>-3304414-735823</f>
        <v>-4040237</v>
      </c>
      <c r="N118" s="980"/>
      <c r="O118" s="980"/>
      <c r="P118" s="981"/>
      <c r="Q118" s="1449"/>
      <c r="R118" s="980"/>
      <c r="S118" s="980"/>
      <c r="T118" s="980"/>
      <c r="U118" s="980"/>
      <c r="V118" s="980"/>
      <c r="W118" s="980"/>
      <c r="X118" s="981"/>
    </row>
    <row r="119" spans="1:24" ht="21" customHeight="1" x14ac:dyDescent="0.25">
      <c r="A119" s="2048"/>
      <c r="B119" s="2046"/>
      <c r="C119" s="2044"/>
      <c r="D119" s="978" t="s">
        <v>1817</v>
      </c>
      <c r="E119" s="978" t="s">
        <v>523</v>
      </c>
      <c r="F119" s="978" t="s">
        <v>150</v>
      </c>
      <c r="G119" s="979" t="s">
        <v>1754</v>
      </c>
      <c r="H119" s="980"/>
      <c r="I119" s="980"/>
      <c r="J119" s="980"/>
      <c r="K119" s="980"/>
      <c r="L119" s="980"/>
      <c r="M119" s="980">
        <f>3304414+735823</f>
        <v>4040237</v>
      </c>
      <c r="N119" s="980"/>
      <c r="O119" s="980"/>
      <c r="P119" s="981"/>
      <c r="Q119" s="1449"/>
      <c r="R119" s="980"/>
      <c r="S119" s="980"/>
      <c r="T119" s="980"/>
      <c r="U119" s="980"/>
      <c r="V119" s="980"/>
      <c r="W119" s="980"/>
      <c r="X119" s="981"/>
    </row>
    <row r="120" spans="1:24" ht="27.75" customHeight="1" x14ac:dyDescent="0.25">
      <c r="A120" s="1493" t="s">
        <v>296</v>
      </c>
      <c r="B120" s="1492" t="s">
        <v>306</v>
      </c>
      <c r="C120" s="1491" t="s">
        <v>2259</v>
      </c>
      <c r="D120" s="978" t="s">
        <v>1817</v>
      </c>
      <c r="E120" s="978" t="s">
        <v>73</v>
      </c>
      <c r="F120" s="978" t="s">
        <v>90</v>
      </c>
      <c r="G120" s="979" t="s">
        <v>1754</v>
      </c>
      <c r="H120" s="980"/>
      <c r="I120" s="980"/>
      <c r="J120" s="980"/>
      <c r="K120" s="980"/>
      <c r="L120" s="980"/>
      <c r="M120" s="980">
        <f>160472+43328</f>
        <v>203800</v>
      </c>
      <c r="N120" s="980"/>
      <c r="O120" s="980"/>
      <c r="P120" s="981"/>
      <c r="Q120" s="1449"/>
      <c r="R120" s="980"/>
      <c r="S120" s="980"/>
      <c r="T120" s="980"/>
      <c r="U120" s="980"/>
      <c r="V120" s="980"/>
      <c r="W120" s="980">
        <v>203800</v>
      </c>
      <c r="X120" s="981"/>
    </row>
    <row r="121" spans="1:24" ht="27.75" customHeight="1" x14ac:dyDescent="0.25">
      <c r="A121" s="1493" t="s">
        <v>297</v>
      </c>
      <c r="B121" s="1492" t="s">
        <v>307</v>
      </c>
      <c r="C121" s="1491" t="s">
        <v>3020</v>
      </c>
      <c r="D121" s="978" t="s">
        <v>1817</v>
      </c>
      <c r="E121" s="978" t="s">
        <v>161</v>
      </c>
      <c r="F121" s="978" t="s">
        <v>131</v>
      </c>
      <c r="G121" s="979" t="s">
        <v>1766</v>
      </c>
      <c r="H121" s="980"/>
      <c r="I121" s="980"/>
      <c r="J121" s="980">
        <f>-500000-500000+1000000</f>
        <v>0</v>
      </c>
      <c r="K121" s="980"/>
      <c r="L121" s="980"/>
      <c r="M121" s="980"/>
      <c r="N121" s="980"/>
      <c r="O121" s="980"/>
      <c r="P121" s="981"/>
      <c r="Q121" s="1449"/>
      <c r="R121" s="980"/>
      <c r="S121" s="980"/>
      <c r="T121" s="980"/>
      <c r="U121" s="980"/>
      <c r="V121" s="980"/>
      <c r="W121" s="980"/>
      <c r="X121" s="981"/>
    </row>
    <row r="122" spans="1:24" x14ac:dyDescent="0.25">
      <c r="A122" s="1432"/>
      <c r="B122" s="1431"/>
      <c r="C122" s="977"/>
      <c r="D122" s="978"/>
      <c r="E122" s="978"/>
      <c r="F122" s="978"/>
      <c r="G122" s="979"/>
      <c r="H122" s="980"/>
      <c r="I122" s="980"/>
      <c r="J122" s="980"/>
      <c r="K122" s="980"/>
      <c r="L122" s="980"/>
      <c r="M122" s="980"/>
      <c r="N122" s="980"/>
      <c r="O122" s="980"/>
      <c r="P122" s="981"/>
      <c r="Q122" s="1449"/>
      <c r="R122" s="980"/>
      <c r="S122" s="980"/>
      <c r="T122" s="980"/>
      <c r="U122" s="980"/>
      <c r="V122" s="980"/>
      <c r="W122" s="980"/>
      <c r="X122" s="981"/>
    </row>
    <row r="123" spans="1:24" ht="18.75" x14ac:dyDescent="0.3">
      <c r="A123" s="2021" t="s">
        <v>1663</v>
      </c>
      <c r="B123" s="2022"/>
      <c r="C123" s="2022"/>
      <c r="D123" s="987"/>
      <c r="E123" s="956"/>
      <c r="F123" s="956"/>
      <c r="G123" s="956"/>
      <c r="H123" s="1595">
        <f t="shared" ref="H123:X123" si="2">SUM(H97:H122)+H79</f>
        <v>47847983</v>
      </c>
      <c r="I123" s="1595">
        <f t="shared" si="2"/>
        <v>6409428</v>
      </c>
      <c r="J123" s="1595">
        <f t="shared" si="2"/>
        <v>1570769</v>
      </c>
      <c r="K123" s="1595">
        <f t="shared" si="2"/>
        <v>0</v>
      </c>
      <c r="L123" s="1595">
        <f t="shared" si="2"/>
        <v>34588794</v>
      </c>
      <c r="M123" s="1595">
        <f t="shared" si="2"/>
        <v>2284300</v>
      </c>
      <c r="N123" s="1595">
        <f t="shared" si="2"/>
        <v>0</v>
      </c>
      <c r="O123" s="1595">
        <f t="shared" si="2"/>
        <v>5500000</v>
      </c>
      <c r="P123" s="1596">
        <f t="shared" si="2"/>
        <v>0</v>
      </c>
      <c r="Q123" s="1597">
        <f t="shared" si="2"/>
        <v>23447447</v>
      </c>
      <c r="R123" s="1595">
        <f t="shared" si="2"/>
        <v>0</v>
      </c>
      <c r="S123" s="1595">
        <f t="shared" si="2"/>
        <v>100000</v>
      </c>
      <c r="T123" s="1595">
        <f t="shared" si="2"/>
        <v>21270</v>
      </c>
      <c r="U123" s="1595">
        <f t="shared" si="2"/>
        <v>75000</v>
      </c>
      <c r="V123" s="1595">
        <f t="shared" si="2"/>
        <v>0</v>
      </c>
      <c r="W123" s="1595">
        <f t="shared" si="2"/>
        <v>1963600</v>
      </c>
      <c r="X123" s="1596">
        <f t="shared" si="2"/>
        <v>72593957</v>
      </c>
    </row>
    <row r="124" spans="1:24" ht="16.5" customHeight="1" x14ac:dyDescent="0.25">
      <c r="H124" s="936"/>
      <c r="I124" s="936"/>
      <c r="J124" s="936"/>
      <c r="K124" s="936"/>
      <c r="L124" s="936"/>
      <c r="M124" s="936"/>
      <c r="N124" s="936"/>
      <c r="O124" s="936"/>
      <c r="P124" s="936"/>
      <c r="Q124" s="936"/>
      <c r="R124" s="936"/>
      <c r="S124" s="936"/>
      <c r="T124" s="936"/>
      <c r="U124" s="936"/>
      <c r="V124" s="936"/>
      <c r="W124" s="936"/>
      <c r="X124" s="936"/>
    </row>
    <row r="125" spans="1:24" ht="17.25" customHeight="1" x14ac:dyDescent="0.25">
      <c r="H125" s="936"/>
      <c r="I125" s="936"/>
      <c r="J125" s="936"/>
      <c r="K125" s="936"/>
      <c r="L125" s="936"/>
      <c r="M125" s="936"/>
      <c r="N125" s="936"/>
      <c r="O125" s="936"/>
      <c r="P125" s="936"/>
      <c r="Q125" s="936"/>
      <c r="R125" s="936"/>
      <c r="S125" s="936"/>
      <c r="T125" s="936"/>
      <c r="U125" s="936"/>
      <c r="V125" s="936"/>
      <c r="W125" s="936"/>
      <c r="X125" s="936"/>
    </row>
    <row r="126" spans="1:24" x14ac:dyDescent="0.25">
      <c r="Q126" s="968"/>
    </row>
    <row r="127" spans="1:24" x14ac:dyDescent="0.25">
      <c r="Q127" s="968"/>
    </row>
    <row r="128" spans="1:24" ht="21.75" customHeight="1" x14ac:dyDescent="0.25">
      <c r="I128" s="2042" t="s">
        <v>1664</v>
      </c>
      <c r="J128" s="2042"/>
      <c r="K128" s="2042"/>
      <c r="L128" s="2042">
        <v>897605064</v>
      </c>
      <c r="M128" s="2042"/>
      <c r="N128" s="996"/>
      <c r="O128" s="996"/>
      <c r="P128" s="996"/>
      <c r="Q128" s="996"/>
      <c r="R128" s="2042" t="s">
        <v>1665</v>
      </c>
      <c r="S128" s="2042"/>
      <c r="T128" s="2042"/>
      <c r="U128" s="2042">
        <v>897605064</v>
      </c>
      <c r="V128" s="2042"/>
    </row>
    <row r="129" spans="1:24" ht="21" customHeight="1" x14ac:dyDescent="0.25">
      <c r="I129" s="2042" t="s">
        <v>1666</v>
      </c>
      <c r="J129" s="2042"/>
      <c r="K129" s="2042"/>
      <c r="L129" s="2042">
        <f>SUM(H123:P123)</f>
        <v>98201274</v>
      </c>
      <c r="M129" s="2042"/>
      <c r="N129" s="996"/>
      <c r="O129" s="996"/>
      <c r="P129" s="996"/>
      <c r="Q129" s="996"/>
      <c r="R129" s="2042" t="s">
        <v>1666</v>
      </c>
      <c r="S129" s="2042"/>
      <c r="T129" s="2042"/>
      <c r="U129" s="2042">
        <f>SUM(Q123:X123)</f>
        <v>98201274</v>
      </c>
      <c r="V129" s="2042"/>
    </row>
    <row r="130" spans="1:24" ht="22.5" customHeight="1" x14ac:dyDescent="0.25">
      <c r="I130" s="2042" t="s">
        <v>1512</v>
      </c>
      <c r="J130" s="2042"/>
      <c r="K130" s="2042"/>
      <c r="L130" s="2042">
        <f>+L128+L129</f>
        <v>995806338</v>
      </c>
      <c r="M130" s="2042"/>
      <c r="N130" s="996"/>
      <c r="O130" s="996"/>
      <c r="P130" s="996"/>
      <c r="Q130" s="996"/>
      <c r="R130" s="2042" t="s">
        <v>1512</v>
      </c>
      <c r="S130" s="2042"/>
      <c r="T130" s="2042"/>
      <c r="U130" s="2042">
        <f>+U128+U129</f>
        <v>995806338</v>
      </c>
      <c r="V130" s="2042"/>
    </row>
    <row r="131" spans="1:24" x14ac:dyDescent="0.25">
      <c r="Q131" s="968"/>
    </row>
    <row r="132" spans="1:24" x14ac:dyDescent="0.25">
      <c r="Q132" s="968"/>
    </row>
    <row r="133" spans="1:24" x14ac:dyDescent="0.25">
      <c r="Q133" s="968"/>
    </row>
    <row r="134" spans="1:24" x14ac:dyDescent="0.25">
      <c r="Q134" s="968"/>
    </row>
    <row r="135" spans="1:24" ht="15.75" x14ac:dyDescent="0.25">
      <c r="A135" s="2010" t="s">
        <v>3372</v>
      </c>
      <c r="B135" s="2010"/>
      <c r="C135" s="2010"/>
      <c r="D135" s="2010"/>
      <c r="E135" s="2010"/>
      <c r="F135" s="2010"/>
      <c r="G135" s="2010"/>
      <c r="H135" s="2010"/>
      <c r="I135" s="2010"/>
      <c r="J135" s="2010"/>
      <c r="K135" s="2010"/>
      <c r="L135" s="2010"/>
      <c r="M135" s="2010"/>
      <c r="N135" s="2010"/>
      <c r="O135" s="2010"/>
      <c r="P135" s="2010"/>
      <c r="Q135" s="2010"/>
      <c r="R135" s="2010"/>
      <c r="S135" s="2010"/>
      <c r="T135" s="2010"/>
      <c r="U135" s="2010"/>
      <c r="V135" s="2010"/>
      <c r="W135" s="2010"/>
      <c r="X135" s="2010"/>
    </row>
    <row r="136" spans="1:24" ht="15.75" x14ac:dyDescent="0.25">
      <c r="A136" s="1246"/>
      <c r="B136" s="1246"/>
      <c r="C136" s="1246"/>
      <c r="D136" s="1246"/>
      <c r="E136" s="1246"/>
      <c r="F136" s="1246"/>
      <c r="G136" s="1246"/>
      <c r="H136" s="1246"/>
      <c r="I136" s="1246"/>
      <c r="J136" s="1246"/>
      <c r="K136" s="1246"/>
      <c r="L136" s="1246"/>
      <c r="M136" s="1246"/>
      <c r="N136" s="1246"/>
      <c r="O136" s="1246"/>
      <c r="P136" s="1246"/>
      <c r="Q136" s="1246"/>
      <c r="R136" s="1246"/>
      <c r="S136" s="1246"/>
      <c r="T136" s="1246"/>
      <c r="U136" s="1246"/>
      <c r="V136" s="1246"/>
      <c r="W136" s="1246"/>
      <c r="X136" s="1246"/>
    </row>
    <row r="137" spans="1:24" x14ac:dyDescent="0.25">
      <c r="A137" s="969"/>
      <c r="B137" s="969"/>
      <c r="C137" s="969"/>
      <c r="D137" s="970"/>
      <c r="E137" s="970"/>
      <c r="F137" s="970"/>
      <c r="G137" s="970"/>
      <c r="H137" s="970"/>
      <c r="I137" s="970"/>
      <c r="J137" s="970"/>
      <c r="K137" s="970"/>
      <c r="L137" s="970"/>
      <c r="M137" s="970"/>
      <c r="N137" s="970"/>
      <c r="O137" s="970"/>
      <c r="P137" s="970"/>
      <c r="Q137" s="970"/>
      <c r="R137" s="970"/>
      <c r="S137" s="970"/>
      <c r="T137" s="970"/>
      <c r="U137" s="970"/>
      <c r="V137" s="970"/>
      <c r="W137" s="970"/>
      <c r="X137" s="970"/>
    </row>
    <row r="138" spans="1:24" x14ac:dyDescent="0.25">
      <c r="A138" s="2055" t="s">
        <v>86</v>
      </c>
      <c r="B138" s="2055"/>
      <c r="C138" s="2055"/>
      <c r="D138" s="2055"/>
      <c r="E138" s="2055"/>
      <c r="F138" s="2055"/>
      <c r="G138" s="2055"/>
      <c r="H138" s="2055"/>
      <c r="I138" s="2055"/>
      <c r="J138" s="2055"/>
      <c r="K138" s="2055"/>
      <c r="L138" s="2055"/>
      <c r="M138" s="2055"/>
      <c r="N138" s="2055"/>
      <c r="O138" s="2055"/>
      <c r="P138" s="2055"/>
      <c r="Q138" s="2055"/>
      <c r="R138" s="2055"/>
      <c r="S138" s="2055"/>
      <c r="T138" s="2055"/>
      <c r="U138" s="2055"/>
      <c r="V138" s="2055"/>
      <c r="W138" s="2055"/>
      <c r="X138" s="2055"/>
    </row>
    <row r="139" spans="1:24" ht="19.5" customHeight="1" x14ac:dyDescent="0.25">
      <c r="Q139" s="968"/>
    </row>
    <row r="140" spans="1:24" ht="15" customHeight="1" x14ac:dyDescent="0.25">
      <c r="A140" s="2056" t="s">
        <v>37</v>
      </c>
      <c r="B140" s="1773" t="s">
        <v>1640</v>
      </c>
      <c r="C140" s="2058" t="s">
        <v>2</v>
      </c>
      <c r="D140" s="2037" t="s">
        <v>1641</v>
      </c>
      <c r="E140" s="2037" t="s">
        <v>116</v>
      </c>
      <c r="F140" s="2037" t="s">
        <v>1642</v>
      </c>
      <c r="G140" s="2037" t="s">
        <v>1643</v>
      </c>
      <c r="H140" s="2039" t="s">
        <v>1644</v>
      </c>
      <c r="I140" s="2039"/>
      <c r="J140" s="2039"/>
      <c r="K140" s="2039"/>
      <c r="L140" s="2039"/>
      <c r="M140" s="2039"/>
      <c r="N140" s="2039"/>
      <c r="O140" s="2039"/>
      <c r="P140" s="1496"/>
      <c r="Q140" s="2040" t="s">
        <v>1645</v>
      </c>
      <c r="R140" s="2039"/>
      <c r="S140" s="2039"/>
      <c r="T140" s="2039"/>
      <c r="U140" s="2039"/>
      <c r="V140" s="2039"/>
      <c r="W140" s="2039"/>
      <c r="X140" s="2041"/>
    </row>
    <row r="141" spans="1:24" ht="81.75" customHeight="1" x14ac:dyDescent="0.25">
      <c r="A141" s="2057"/>
      <c r="B141" s="1774"/>
      <c r="C141" s="2059"/>
      <c r="D141" s="2038"/>
      <c r="E141" s="2038"/>
      <c r="F141" s="2038"/>
      <c r="G141" s="2038"/>
      <c r="H141" s="941" t="s">
        <v>1667</v>
      </c>
      <c r="I141" s="941" t="s">
        <v>1668</v>
      </c>
      <c r="J141" s="941" t="s">
        <v>1669</v>
      </c>
      <c r="K141" s="941" t="s">
        <v>1670</v>
      </c>
      <c r="L141" s="941" t="s">
        <v>1671</v>
      </c>
      <c r="M141" s="941" t="s">
        <v>1672</v>
      </c>
      <c r="N141" s="941" t="s">
        <v>1673</v>
      </c>
      <c r="O141" s="941" t="s">
        <v>1653</v>
      </c>
      <c r="P141" s="944" t="s">
        <v>1654</v>
      </c>
      <c r="Q141" s="999" t="s">
        <v>1655</v>
      </c>
      <c r="R141" s="941" t="s">
        <v>1674</v>
      </c>
      <c r="S141" s="941" t="s">
        <v>1675</v>
      </c>
      <c r="T141" s="941" t="s">
        <v>1676</v>
      </c>
      <c r="U141" s="941" t="s">
        <v>1659</v>
      </c>
      <c r="V141" s="941" t="s">
        <v>1660</v>
      </c>
      <c r="W141" s="941" t="s">
        <v>1661</v>
      </c>
      <c r="X141" s="944" t="s">
        <v>1677</v>
      </c>
    </row>
    <row r="142" spans="1:24" ht="21" customHeight="1" x14ac:dyDescent="0.25">
      <c r="A142" s="2052" t="s">
        <v>298</v>
      </c>
      <c r="B142" s="2051" t="s">
        <v>308</v>
      </c>
      <c r="C142" s="2050" t="s">
        <v>3057</v>
      </c>
      <c r="D142" s="974" t="s">
        <v>1817</v>
      </c>
      <c r="E142" s="974" t="s">
        <v>1297</v>
      </c>
      <c r="F142" s="974" t="s">
        <v>127</v>
      </c>
      <c r="G142" s="975" t="s">
        <v>1754</v>
      </c>
      <c r="H142" s="949"/>
      <c r="I142" s="949"/>
      <c r="J142" s="949"/>
      <c r="K142" s="949"/>
      <c r="L142" s="949"/>
      <c r="M142" s="949"/>
      <c r="N142" s="949"/>
      <c r="O142" s="949"/>
      <c r="P142" s="976"/>
      <c r="Q142" s="1448"/>
      <c r="R142" s="949"/>
      <c r="S142" s="949"/>
      <c r="T142" s="949"/>
      <c r="U142" s="949"/>
      <c r="V142" s="949"/>
      <c r="W142" s="949"/>
      <c r="X142" s="976">
        <v>196977</v>
      </c>
    </row>
    <row r="143" spans="1:24" ht="21" customHeight="1" x14ac:dyDescent="0.25">
      <c r="A143" s="2048"/>
      <c r="B143" s="2046"/>
      <c r="C143" s="2044"/>
      <c r="D143" s="978" t="s">
        <v>1817</v>
      </c>
      <c r="E143" s="978" t="s">
        <v>73</v>
      </c>
      <c r="F143" s="978" t="s">
        <v>90</v>
      </c>
      <c r="G143" s="979" t="s">
        <v>1754</v>
      </c>
      <c r="H143" s="980"/>
      <c r="I143" s="980"/>
      <c r="J143" s="980">
        <f>155100+41877</f>
        <v>196977</v>
      </c>
      <c r="K143" s="980"/>
      <c r="L143" s="980"/>
      <c r="M143" s="980"/>
      <c r="N143" s="980"/>
      <c r="O143" s="980"/>
      <c r="P143" s="981"/>
      <c r="Q143" s="1449"/>
      <c r="R143" s="980"/>
      <c r="S143" s="980"/>
      <c r="T143" s="980"/>
      <c r="U143" s="980"/>
      <c r="V143" s="980"/>
      <c r="W143" s="980"/>
      <c r="X143" s="981"/>
    </row>
    <row r="144" spans="1:24" ht="23.25" customHeight="1" x14ac:dyDescent="0.25">
      <c r="A144" s="2047" t="s">
        <v>299</v>
      </c>
      <c r="B144" s="2045" t="s">
        <v>309</v>
      </c>
      <c r="C144" s="2043" t="s">
        <v>3105</v>
      </c>
      <c r="D144" s="978" t="s">
        <v>1817</v>
      </c>
      <c r="E144" s="978" t="s">
        <v>1297</v>
      </c>
      <c r="F144" s="978" t="s">
        <v>127</v>
      </c>
      <c r="G144" s="979" t="s">
        <v>1754</v>
      </c>
      <c r="H144" s="980"/>
      <c r="I144" s="980"/>
      <c r="J144" s="980"/>
      <c r="K144" s="980"/>
      <c r="L144" s="980"/>
      <c r="M144" s="980"/>
      <c r="N144" s="980"/>
      <c r="O144" s="980"/>
      <c r="P144" s="981"/>
      <c r="Q144" s="1449"/>
      <c r="R144" s="980"/>
      <c r="S144" s="980"/>
      <c r="T144" s="980"/>
      <c r="U144" s="980"/>
      <c r="V144" s="980"/>
      <c r="W144" s="980"/>
      <c r="X144" s="981">
        <v>164999</v>
      </c>
    </row>
    <row r="145" spans="1:24" ht="23.25" customHeight="1" x14ac:dyDescent="0.25">
      <c r="A145" s="2048"/>
      <c r="B145" s="2046"/>
      <c r="C145" s="2044"/>
      <c r="D145" s="978" t="s">
        <v>1817</v>
      </c>
      <c r="E145" s="978" t="s">
        <v>73</v>
      </c>
      <c r="F145" s="978" t="s">
        <v>90</v>
      </c>
      <c r="G145" s="979" t="s">
        <v>1754</v>
      </c>
      <c r="H145" s="980"/>
      <c r="I145" s="980"/>
      <c r="J145" s="980">
        <f>129920+35079</f>
        <v>164999</v>
      </c>
      <c r="K145" s="980"/>
      <c r="L145" s="980"/>
      <c r="M145" s="980"/>
      <c r="N145" s="980"/>
      <c r="O145" s="980"/>
      <c r="P145" s="981"/>
      <c r="Q145" s="1449"/>
      <c r="R145" s="980"/>
      <c r="S145" s="980"/>
      <c r="T145" s="980"/>
      <c r="U145" s="980"/>
      <c r="V145" s="980"/>
      <c r="W145" s="980"/>
      <c r="X145" s="981"/>
    </row>
    <row r="146" spans="1:24" ht="23.25" customHeight="1" x14ac:dyDescent="0.25">
      <c r="A146" s="2047" t="s">
        <v>300</v>
      </c>
      <c r="B146" s="2045" t="s">
        <v>310</v>
      </c>
      <c r="C146" s="2043" t="s">
        <v>3105</v>
      </c>
      <c r="D146" s="978" t="s">
        <v>1817</v>
      </c>
      <c r="E146" s="978" t="s">
        <v>1297</v>
      </c>
      <c r="F146" s="978" t="s">
        <v>127</v>
      </c>
      <c r="G146" s="979" t="s">
        <v>1754</v>
      </c>
      <c r="H146" s="980"/>
      <c r="I146" s="980"/>
      <c r="J146" s="980"/>
      <c r="K146" s="980"/>
      <c r="L146" s="980"/>
      <c r="M146" s="980"/>
      <c r="N146" s="980"/>
      <c r="O146" s="980"/>
      <c r="P146" s="981"/>
      <c r="Q146" s="1449"/>
      <c r="R146" s="980"/>
      <c r="S146" s="980"/>
      <c r="T146" s="980"/>
      <c r="U146" s="980"/>
      <c r="V146" s="980"/>
      <c r="W146" s="980"/>
      <c r="X146" s="981">
        <v>174225</v>
      </c>
    </row>
    <row r="147" spans="1:24" ht="23.25" customHeight="1" x14ac:dyDescent="0.25">
      <c r="A147" s="2048"/>
      <c r="B147" s="2046"/>
      <c r="C147" s="2044"/>
      <c r="D147" s="978" t="s">
        <v>1817</v>
      </c>
      <c r="E147" s="978" t="s">
        <v>73</v>
      </c>
      <c r="F147" s="978" t="s">
        <v>90</v>
      </c>
      <c r="G147" s="979" t="s">
        <v>1754</v>
      </c>
      <c r="H147" s="980"/>
      <c r="I147" s="980"/>
      <c r="J147" s="980">
        <f>137185+37040</f>
        <v>174225</v>
      </c>
      <c r="K147" s="980"/>
      <c r="L147" s="980"/>
      <c r="M147" s="980"/>
      <c r="N147" s="980"/>
      <c r="O147" s="980"/>
      <c r="P147" s="981"/>
      <c r="Q147" s="1449"/>
      <c r="R147" s="980"/>
      <c r="S147" s="980"/>
      <c r="T147" s="980"/>
      <c r="U147" s="980"/>
      <c r="V147" s="980"/>
      <c r="W147" s="980"/>
      <c r="X147" s="981"/>
    </row>
    <row r="148" spans="1:24" ht="27.75" customHeight="1" x14ac:dyDescent="0.25">
      <c r="A148" s="1493" t="s">
        <v>759</v>
      </c>
      <c r="B148" s="1492" t="s">
        <v>311</v>
      </c>
      <c r="C148" s="1491" t="s">
        <v>3106</v>
      </c>
      <c r="D148" s="978" t="s">
        <v>1817</v>
      </c>
      <c r="E148" s="978" t="s">
        <v>73</v>
      </c>
      <c r="F148" s="978" t="s">
        <v>90</v>
      </c>
      <c r="G148" s="979" t="s">
        <v>1766</v>
      </c>
      <c r="H148" s="980"/>
      <c r="I148" s="980"/>
      <c r="J148" s="980">
        <f>-300000+300000</f>
        <v>0</v>
      </c>
      <c r="K148" s="980"/>
      <c r="L148" s="980"/>
      <c r="M148" s="980"/>
      <c r="N148" s="980"/>
      <c r="O148" s="980"/>
      <c r="P148" s="981"/>
      <c r="Q148" s="1449"/>
      <c r="R148" s="980"/>
      <c r="S148" s="980"/>
      <c r="T148" s="980"/>
      <c r="U148" s="980"/>
      <c r="V148" s="980"/>
      <c r="W148" s="980"/>
      <c r="X148" s="981"/>
    </row>
    <row r="149" spans="1:24" ht="18" customHeight="1" x14ac:dyDescent="0.25">
      <c r="A149" s="2047" t="s">
        <v>301</v>
      </c>
      <c r="B149" s="2045" t="s">
        <v>312</v>
      </c>
      <c r="C149" s="2043" t="s">
        <v>3086</v>
      </c>
      <c r="D149" s="978" t="s">
        <v>1817</v>
      </c>
      <c r="E149" s="978" t="s">
        <v>73</v>
      </c>
      <c r="F149" s="978" t="s">
        <v>90</v>
      </c>
      <c r="G149" s="979" t="s">
        <v>1766</v>
      </c>
      <c r="H149" s="980">
        <f>-35844992-20305008+56150000</f>
        <v>0</v>
      </c>
      <c r="I149" s="980"/>
      <c r="J149" s="980"/>
      <c r="K149" s="980"/>
      <c r="L149" s="980"/>
      <c r="M149" s="980"/>
      <c r="N149" s="980"/>
      <c r="O149" s="980"/>
      <c r="P149" s="981"/>
      <c r="Q149" s="1449"/>
      <c r="R149" s="980"/>
      <c r="S149" s="980"/>
      <c r="T149" s="980"/>
      <c r="U149" s="980"/>
      <c r="V149" s="980"/>
      <c r="W149" s="980"/>
      <c r="X149" s="981"/>
    </row>
    <row r="150" spans="1:24" ht="18" customHeight="1" x14ac:dyDescent="0.25">
      <c r="A150" s="2054"/>
      <c r="B150" s="2053"/>
      <c r="C150" s="2049"/>
      <c r="D150" s="978" t="s">
        <v>1817</v>
      </c>
      <c r="E150" s="978" t="s">
        <v>161</v>
      </c>
      <c r="F150" s="978" t="s">
        <v>131</v>
      </c>
      <c r="G150" s="979" t="s">
        <v>1766</v>
      </c>
      <c r="H150" s="980">
        <f>-2600000-4500000+7000000+100000</f>
        <v>0</v>
      </c>
      <c r="I150" s="980"/>
      <c r="J150" s="980"/>
      <c r="K150" s="980"/>
      <c r="L150" s="980"/>
      <c r="M150" s="980"/>
      <c r="N150" s="980"/>
      <c r="O150" s="980"/>
      <c r="P150" s="981"/>
      <c r="Q150" s="1449"/>
      <c r="R150" s="980"/>
      <c r="S150" s="980"/>
      <c r="T150" s="980"/>
      <c r="U150" s="980"/>
      <c r="V150" s="980"/>
      <c r="W150" s="980"/>
      <c r="X150" s="981"/>
    </row>
    <row r="151" spans="1:24" ht="18" customHeight="1" x14ac:dyDescent="0.25">
      <c r="A151" s="2054"/>
      <c r="B151" s="2053"/>
      <c r="C151" s="2049"/>
      <c r="D151" s="978" t="s">
        <v>1817</v>
      </c>
      <c r="E151" s="978" t="s">
        <v>523</v>
      </c>
      <c r="F151" s="978" t="s">
        <v>150</v>
      </c>
      <c r="G151" s="979" t="s">
        <v>1766</v>
      </c>
      <c r="H151" s="980">
        <f>-1000000-1000000+2000000-623911+600000+23911</f>
        <v>0</v>
      </c>
      <c r="I151" s="980"/>
      <c r="J151" s="980"/>
      <c r="K151" s="980"/>
      <c r="L151" s="980"/>
      <c r="M151" s="980"/>
      <c r="N151" s="980"/>
      <c r="O151" s="980"/>
      <c r="P151" s="981"/>
      <c r="Q151" s="1449"/>
      <c r="R151" s="980"/>
      <c r="S151" s="980"/>
      <c r="T151" s="980"/>
      <c r="U151" s="980"/>
      <c r="V151" s="980"/>
      <c r="W151" s="980"/>
      <c r="X151" s="981"/>
    </row>
    <row r="152" spans="1:24" ht="18" customHeight="1" x14ac:dyDescent="0.25">
      <c r="A152" s="2048"/>
      <c r="B152" s="2046"/>
      <c r="C152" s="2044"/>
      <c r="D152" s="978" t="s">
        <v>1817</v>
      </c>
      <c r="E152" s="978" t="s">
        <v>648</v>
      </c>
      <c r="F152" s="978" t="s">
        <v>133</v>
      </c>
      <c r="G152" s="979" t="s">
        <v>1766</v>
      </c>
      <c r="H152" s="980">
        <f>-5115763-7000000+11150000+965763</f>
        <v>0</v>
      </c>
      <c r="I152" s="980"/>
      <c r="J152" s="980"/>
      <c r="K152" s="980"/>
      <c r="L152" s="980"/>
      <c r="M152" s="980"/>
      <c r="N152" s="980"/>
      <c r="O152" s="980"/>
      <c r="P152" s="981"/>
      <c r="Q152" s="1449"/>
      <c r="R152" s="980"/>
      <c r="S152" s="980"/>
      <c r="T152" s="980"/>
      <c r="U152" s="980"/>
      <c r="V152" s="980"/>
      <c r="W152" s="980"/>
      <c r="X152" s="981"/>
    </row>
    <row r="153" spans="1:24" ht="19.5" customHeight="1" x14ac:dyDescent="0.25">
      <c r="A153" s="2047" t="s">
        <v>760</v>
      </c>
      <c r="B153" s="2045" t="s">
        <v>313</v>
      </c>
      <c r="C153" s="2043" t="s">
        <v>3110</v>
      </c>
      <c r="D153" s="978" t="s">
        <v>1817</v>
      </c>
      <c r="E153" s="978" t="s">
        <v>1297</v>
      </c>
      <c r="F153" s="978" t="s">
        <v>127</v>
      </c>
      <c r="G153" s="979" t="s">
        <v>1754</v>
      </c>
      <c r="H153" s="980"/>
      <c r="I153" s="980"/>
      <c r="J153" s="980"/>
      <c r="K153" s="980"/>
      <c r="L153" s="980"/>
      <c r="M153" s="980"/>
      <c r="N153" s="980"/>
      <c r="O153" s="980"/>
      <c r="P153" s="981"/>
      <c r="Q153" s="1449"/>
      <c r="R153" s="980"/>
      <c r="S153" s="980"/>
      <c r="T153" s="980"/>
      <c r="U153" s="980"/>
      <c r="V153" s="980"/>
      <c r="W153" s="980"/>
      <c r="X153" s="981">
        <v>682101</v>
      </c>
    </row>
    <row r="154" spans="1:24" ht="19.5" customHeight="1" x14ac:dyDescent="0.25">
      <c r="A154" s="2048"/>
      <c r="B154" s="2046"/>
      <c r="C154" s="2044"/>
      <c r="D154" s="978" t="s">
        <v>1817</v>
      </c>
      <c r="E154" s="978" t="s">
        <v>73</v>
      </c>
      <c r="F154" s="978" t="s">
        <v>90</v>
      </c>
      <c r="G154" s="979" t="s">
        <v>1754</v>
      </c>
      <c r="H154" s="980"/>
      <c r="I154" s="980"/>
      <c r="J154" s="980">
        <f>537087+145014</f>
        <v>682101</v>
      </c>
      <c r="K154" s="980"/>
      <c r="L154" s="980"/>
      <c r="M154" s="980"/>
      <c r="N154" s="980"/>
      <c r="O154" s="980"/>
      <c r="P154" s="981"/>
      <c r="Q154" s="1449"/>
      <c r="R154" s="980"/>
      <c r="S154" s="980"/>
      <c r="T154" s="980"/>
      <c r="U154" s="980"/>
      <c r="V154" s="980"/>
      <c r="W154" s="980"/>
      <c r="X154" s="981"/>
    </row>
    <row r="155" spans="1:24" ht="20.25" customHeight="1" x14ac:dyDescent="0.25">
      <c r="A155" s="2047" t="s">
        <v>302</v>
      </c>
      <c r="B155" s="2045" t="s">
        <v>314</v>
      </c>
      <c r="C155" s="2043" t="s">
        <v>3116</v>
      </c>
      <c r="D155" s="978" t="s">
        <v>1817</v>
      </c>
      <c r="E155" s="978" t="s">
        <v>1297</v>
      </c>
      <c r="F155" s="978" t="s">
        <v>127</v>
      </c>
      <c r="G155" s="979" t="s">
        <v>1754</v>
      </c>
      <c r="H155" s="980"/>
      <c r="I155" s="980"/>
      <c r="J155" s="980"/>
      <c r="K155" s="980"/>
      <c r="L155" s="980"/>
      <c r="M155" s="980"/>
      <c r="N155" s="980"/>
      <c r="O155" s="980"/>
      <c r="P155" s="981"/>
      <c r="Q155" s="1449"/>
      <c r="R155" s="980"/>
      <c r="S155" s="980"/>
      <c r="T155" s="980"/>
      <c r="U155" s="980"/>
      <c r="V155" s="980"/>
      <c r="W155" s="980"/>
      <c r="X155" s="981">
        <v>14962632</v>
      </c>
    </row>
    <row r="156" spans="1:24" ht="20.25" customHeight="1" x14ac:dyDescent="0.25">
      <c r="A156" s="2048"/>
      <c r="B156" s="2046"/>
      <c r="C156" s="2044"/>
      <c r="D156" s="978" t="s">
        <v>1817</v>
      </c>
      <c r="E156" s="978" t="s">
        <v>73</v>
      </c>
      <c r="F156" s="978" t="s">
        <v>90</v>
      </c>
      <c r="G156" s="979" t="s">
        <v>1754</v>
      </c>
      <c r="H156" s="980"/>
      <c r="I156" s="980"/>
      <c r="J156" s="980"/>
      <c r="K156" s="980"/>
      <c r="L156" s="980"/>
      <c r="M156" s="980">
        <f>11781600+3181032</f>
        <v>14962632</v>
      </c>
      <c r="N156" s="980"/>
      <c r="O156" s="980"/>
      <c r="P156" s="981"/>
      <c r="Q156" s="1449"/>
      <c r="R156" s="980"/>
      <c r="S156" s="980"/>
      <c r="T156" s="980"/>
      <c r="U156" s="980"/>
      <c r="V156" s="980"/>
      <c r="W156" s="980"/>
      <c r="X156" s="981"/>
    </row>
    <row r="157" spans="1:24" ht="26.25" customHeight="1" x14ac:dyDescent="0.25">
      <c r="A157" s="1493" t="s">
        <v>303</v>
      </c>
      <c r="B157" s="1492" t="s">
        <v>315</v>
      </c>
      <c r="C157" s="1491" t="s">
        <v>3144</v>
      </c>
      <c r="D157" s="978" t="s">
        <v>1817</v>
      </c>
      <c r="E157" s="978" t="s">
        <v>648</v>
      </c>
      <c r="F157" s="978" t="s">
        <v>133</v>
      </c>
      <c r="G157" s="979" t="s">
        <v>1766</v>
      </c>
      <c r="H157" s="980">
        <f>-20000+20000</f>
        <v>0</v>
      </c>
      <c r="I157" s="980"/>
      <c r="J157" s="980"/>
      <c r="K157" s="980"/>
      <c r="L157" s="980"/>
      <c r="M157" s="980"/>
      <c r="N157" s="980"/>
      <c r="O157" s="980"/>
      <c r="P157" s="981"/>
      <c r="Q157" s="1449"/>
      <c r="R157" s="980"/>
      <c r="S157" s="980"/>
      <c r="T157" s="980"/>
      <c r="U157" s="980"/>
      <c r="V157" s="980"/>
      <c r="W157" s="980"/>
      <c r="X157" s="981"/>
    </row>
    <row r="158" spans="1:24" ht="19.5" customHeight="1" x14ac:dyDescent="0.25">
      <c r="A158" s="2047" t="s">
        <v>304</v>
      </c>
      <c r="B158" s="2045" t="s">
        <v>761</v>
      </c>
      <c r="C158" s="2043" t="s">
        <v>3153</v>
      </c>
      <c r="D158" s="978" t="s">
        <v>1817</v>
      </c>
      <c r="E158" s="978" t="s">
        <v>73</v>
      </c>
      <c r="F158" s="978" t="s">
        <v>90</v>
      </c>
      <c r="G158" s="979" t="s">
        <v>1766</v>
      </c>
      <c r="H158" s="980"/>
      <c r="I158" s="980"/>
      <c r="J158" s="980">
        <f>-400000+400000</f>
        <v>0</v>
      </c>
      <c r="K158" s="980"/>
      <c r="L158" s="980"/>
      <c r="M158" s="980"/>
      <c r="N158" s="980"/>
      <c r="O158" s="980"/>
      <c r="P158" s="981"/>
      <c r="Q158" s="1449"/>
      <c r="R158" s="980"/>
      <c r="S158" s="980"/>
      <c r="T158" s="980"/>
      <c r="U158" s="980"/>
      <c r="V158" s="980"/>
      <c r="W158" s="980"/>
      <c r="X158" s="981"/>
    </row>
    <row r="159" spans="1:24" ht="19.5" customHeight="1" x14ac:dyDescent="0.25">
      <c r="A159" s="2048"/>
      <c r="B159" s="2046"/>
      <c r="C159" s="2044"/>
      <c r="D159" s="978" t="s">
        <v>1817</v>
      </c>
      <c r="E159" s="978" t="s">
        <v>523</v>
      </c>
      <c r="F159" s="978" t="s">
        <v>150</v>
      </c>
      <c r="G159" s="979" t="s">
        <v>1766</v>
      </c>
      <c r="H159" s="980"/>
      <c r="I159" s="980"/>
      <c r="J159" s="980">
        <f>-400000+400000</f>
        <v>0</v>
      </c>
      <c r="K159" s="980"/>
      <c r="L159" s="980"/>
      <c r="M159" s="980"/>
      <c r="N159" s="980"/>
      <c r="O159" s="980"/>
      <c r="P159" s="981"/>
      <c r="Q159" s="1449"/>
      <c r="R159" s="980"/>
      <c r="S159" s="980"/>
      <c r="T159" s="980"/>
      <c r="U159" s="980"/>
      <c r="V159" s="980"/>
      <c r="W159" s="980"/>
      <c r="X159" s="981"/>
    </row>
    <row r="160" spans="1:24" ht="30.75" customHeight="1" x14ac:dyDescent="0.25">
      <c r="A160" s="1493" t="s">
        <v>305</v>
      </c>
      <c r="B160" s="1492" t="s">
        <v>316</v>
      </c>
      <c r="C160" s="1491" t="s">
        <v>3154</v>
      </c>
      <c r="D160" s="978" t="s">
        <v>1817</v>
      </c>
      <c r="E160" s="978" t="s">
        <v>648</v>
      </c>
      <c r="F160" s="978" t="s">
        <v>133</v>
      </c>
      <c r="G160" s="979" t="s">
        <v>1754</v>
      </c>
      <c r="H160" s="980"/>
      <c r="I160" s="980"/>
      <c r="J160" s="980">
        <v>65250</v>
      </c>
      <c r="K160" s="980"/>
      <c r="L160" s="980"/>
      <c r="M160" s="980"/>
      <c r="N160" s="980"/>
      <c r="O160" s="980"/>
      <c r="P160" s="981"/>
      <c r="Q160" s="1449"/>
      <c r="R160" s="980"/>
      <c r="S160" s="980"/>
      <c r="T160" s="980">
        <v>65250</v>
      </c>
      <c r="U160" s="980"/>
      <c r="V160" s="980"/>
      <c r="W160" s="980"/>
      <c r="X160" s="981"/>
    </row>
    <row r="161" spans="1:24" ht="30.75" customHeight="1" x14ac:dyDescent="0.25">
      <c r="A161" s="1493" t="s">
        <v>306</v>
      </c>
      <c r="B161" s="1492" t="s">
        <v>317</v>
      </c>
      <c r="C161" s="1491" t="s">
        <v>3162</v>
      </c>
      <c r="D161" s="978" t="s">
        <v>1817</v>
      </c>
      <c r="E161" s="978" t="s">
        <v>648</v>
      </c>
      <c r="F161" s="978" t="s">
        <v>133</v>
      </c>
      <c r="G161" s="979" t="s">
        <v>1766</v>
      </c>
      <c r="H161" s="980"/>
      <c r="I161" s="980"/>
      <c r="J161" s="980">
        <f>-200000+200000</f>
        <v>0</v>
      </c>
      <c r="K161" s="980"/>
      <c r="L161" s="980"/>
      <c r="M161" s="980"/>
      <c r="N161" s="980"/>
      <c r="O161" s="980"/>
      <c r="P161" s="981"/>
      <c r="Q161" s="1449"/>
      <c r="R161" s="980"/>
      <c r="S161" s="980"/>
      <c r="T161" s="980"/>
      <c r="U161" s="980"/>
      <c r="V161" s="980"/>
      <c r="W161" s="980"/>
      <c r="X161" s="981"/>
    </row>
    <row r="162" spans="1:24" ht="18" customHeight="1" x14ac:dyDescent="0.25">
      <c r="A162" s="2047" t="s">
        <v>307</v>
      </c>
      <c r="B162" s="2045" t="s">
        <v>762</v>
      </c>
      <c r="C162" s="2043" t="s">
        <v>3178</v>
      </c>
      <c r="D162" s="978" t="s">
        <v>1817</v>
      </c>
      <c r="E162" s="978" t="s">
        <v>1297</v>
      </c>
      <c r="F162" s="978" t="s">
        <v>127</v>
      </c>
      <c r="G162" s="979" t="s">
        <v>1754</v>
      </c>
      <c r="H162" s="980"/>
      <c r="I162" s="980"/>
      <c r="J162" s="980"/>
      <c r="K162" s="980"/>
      <c r="L162" s="980"/>
      <c r="M162" s="980"/>
      <c r="N162" s="980"/>
      <c r="O162" s="980"/>
      <c r="P162" s="981"/>
      <c r="Q162" s="1449"/>
      <c r="R162" s="980"/>
      <c r="S162" s="980"/>
      <c r="T162" s="980"/>
      <c r="U162" s="980"/>
      <c r="V162" s="980"/>
      <c r="W162" s="980"/>
      <c r="X162" s="981">
        <v>13560000</v>
      </c>
    </row>
    <row r="163" spans="1:24" ht="18" customHeight="1" x14ac:dyDescent="0.25">
      <c r="A163" s="2054"/>
      <c r="B163" s="2053"/>
      <c r="C163" s="2049"/>
      <c r="D163" s="978" t="s">
        <v>1817</v>
      </c>
      <c r="E163" s="978" t="s">
        <v>73</v>
      </c>
      <c r="F163" s="978" t="s">
        <v>90</v>
      </c>
      <c r="G163" s="979" t="s">
        <v>1754</v>
      </c>
      <c r="H163" s="980">
        <v>11400000</v>
      </c>
      <c r="I163" s="980">
        <v>1482000</v>
      </c>
      <c r="J163" s="980"/>
      <c r="K163" s="980"/>
      <c r="L163" s="980"/>
      <c r="M163" s="980"/>
      <c r="N163" s="980"/>
      <c r="O163" s="980"/>
      <c r="P163" s="981"/>
      <c r="Q163" s="1449"/>
      <c r="R163" s="980"/>
      <c r="S163" s="980"/>
      <c r="T163" s="980"/>
      <c r="U163" s="980"/>
      <c r="V163" s="980"/>
      <c r="W163" s="980"/>
      <c r="X163" s="981"/>
    </row>
    <row r="164" spans="1:24" ht="18" customHeight="1" x14ac:dyDescent="0.25">
      <c r="A164" s="2048"/>
      <c r="B164" s="2046"/>
      <c r="C164" s="2044"/>
      <c r="D164" s="978" t="s">
        <v>1817</v>
      </c>
      <c r="E164" s="978" t="s">
        <v>161</v>
      </c>
      <c r="F164" s="978" t="s">
        <v>131</v>
      </c>
      <c r="G164" s="979" t="s">
        <v>1754</v>
      </c>
      <c r="H164" s="980">
        <v>600000</v>
      </c>
      <c r="I164" s="980">
        <v>78000</v>
      </c>
      <c r="J164" s="980"/>
      <c r="K164" s="980"/>
      <c r="L164" s="980"/>
      <c r="M164" s="980"/>
      <c r="N164" s="980"/>
      <c r="O164" s="980"/>
      <c r="P164" s="981"/>
      <c r="Q164" s="1449"/>
      <c r="R164" s="980"/>
      <c r="S164" s="980"/>
      <c r="T164" s="980"/>
      <c r="U164" s="980"/>
      <c r="V164" s="980"/>
      <c r="W164" s="980"/>
      <c r="X164" s="981"/>
    </row>
    <row r="165" spans="1:24" ht="20.25" customHeight="1" x14ac:dyDescent="0.25">
      <c r="A165" s="2047" t="s">
        <v>308</v>
      </c>
      <c r="B165" s="2045" t="s">
        <v>763</v>
      </c>
      <c r="C165" s="2043" t="s">
        <v>3241</v>
      </c>
      <c r="D165" s="978" t="s">
        <v>1817</v>
      </c>
      <c r="E165" s="978" t="s">
        <v>73</v>
      </c>
      <c r="F165" s="978" t="s">
        <v>90</v>
      </c>
      <c r="G165" s="979" t="s">
        <v>1752</v>
      </c>
      <c r="H165" s="980">
        <v>-495000</v>
      </c>
      <c r="I165" s="980">
        <v>-37146</v>
      </c>
      <c r="J165" s="980"/>
      <c r="K165" s="980"/>
      <c r="L165" s="980"/>
      <c r="M165" s="980"/>
      <c r="N165" s="980"/>
      <c r="O165" s="980"/>
      <c r="P165" s="981"/>
      <c r="Q165" s="1449"/>
      <c r="R165" s="980"/>
      <c r="S165" s="980"/>
      <c r="T165" s="980"/>
      <c r="U165" s="980"/>
      <c r="V165" s="980"/>
      <c r="W165" s="980"/>
      <c r="X165" s="981"/>
    </row>
    <row r="166" spans="1:24" ht="20.25" customHeight="1" x14ac:dyDescent="0.25">
      <c r="A166" s="2054"/>
      <c r="B166" s="2053"/>
      <c r="C166" s="2049"/>
      <c r="D166" s="978" t="s">
        <v>1817</v>
      </c>
      <c r="E166" s="978" t="s">
        <v>523</v>
      </c>
      <c r="F166" s="978" t="s">
        <v>150</v>
      </c>
      <c r="G166" s="979" t="s">
        <v>1754</v>
      </c>
      <c r="H166" s="980">
        <f>300000+195000</f>
        <v>495000</v>
      </c>
      <c r="I166" s="980">
        <v>37146</v>
      </c>
      <c r="J166" s="980"/>
      <c r="K166" s="980"/>
      <c r="L166" s="980"/>
      <c r="M166" s="980"/>
      <c r="N166" s="980"/>
      <c r="O166" s="980"/>
      <c r="P166" s="981"/>
      <c r="Q166" s="1449"/>
      <c r="R166" s="980"/>
      <c r="S166" s="980"/>
      <c r="T166" s="980"/>
      <c r="U166" s="980"/>
      <c r="V166" s="980"/>
      <c r="W166" s="980"/>
      <c r="X166" s="981"/>
    </row>
    <row r="167" spans="1:24" ht="20.25" customHeight="1" x14ac:dyDescent="0.25">
      <c r="A167" s="2048"/>
      <c r="B167" s="2046"/>
      <c r="C167" s="2044"/>
      <c r="D167" s="978" t="s">
        <v>1817</v>
      </c>
      <c r="E167" s="978" t="s">
        <v>648</v>
      </c>
      <c r="F167" s="978" t="s">
        <v>133</v>
      </c>
      <c r="G167" s="979" t="s">
        <v>1766</v>
      </c>
      <c r="H167" s="980">
        <f>-713836+713836</f>
        <v>0</v>
      </c>
      <c r="I167" s="980"/>
      <c r="J167" s="980"/>
      <c r="K167" s="980"/>
      <c r="L167" s="980"/>
      <c r="M167" s="980"/>
      <c r="N167" s="980"/>
      <c r="O167" s="980"/>
      <c r="P167" s="981"/>
      <c r="Q167" s="1449"/>
      <c r="R167" s="980"/>
      <c r="S167" s="980"/>
      <c r="T167" s="980"/>
      <c r="U167" s="980"/>
      <c r="V167" s="980"/>
      <c r="W167" s="980"/>
      <c r="X167" s="981"/>
    </row>
    <row r="168" spans="1:24" ht="30.75" customHeight="1" x14ac:dyDescent="0.25">
      <c r="A168" s="1493" t="s">
        <v>309</v>
      </c>
      <c r="B168" s="1492" t="s">
        <v>155</v>
      </c>
      <c r="C168" s="1491" t="s">
        <v>3340</v>
      </c>
      <c r="D168" s="978" t="s">
        <v>1817</v>
      </c>
      <c r="E168" s="978" t="s">
        <v>161</v>
      </c>
      <c r="F168" s="978" t="s">
        <v>131</v>
      </c>
      <c r="G168" s="979" t="s">
        <v>1766</v>
      </c>
      <c r="H168" s="980"/>
      <c r="I168" s="980"/>
      <c r="J168" s="980">
        <f>-1050000+50000+1000000</f>
        <v>0</v>
      </c>
      <c r="K168" s="980"/>
      <c r="L168" s="980"/>
      <c r="M168" s="980"/>
      <c r="N168" s="980"/>
      <c r="O168" s="980"/>
      <c r="P168" s="981"/>
      <c r="Q168" s="1449"/>
      <c r="R168" s="980"/>
      <c r="S168" s="980"/>
      <c r="T168" s="980"/>
      <c r="U168" s="980"/>
      <c r="V168" s="980"/>
      <c r="W168" s="980"/>
      <c r="X168" s="981"/>
    </row>
    <row r="169" spans="1:24" ht="30.75" customHeight="1" x14ac:dyDescent="0.25">
      <c r="A169" s="1493" t="s">
        <v>310</v>
      </c>
      <c r="B169" s="1492" t="s">
        <v>3357</v>
      </c>
      <c r="C169" s="1491" t="s">
        <v>3358</v>
      </c>
      <c r="D169" s="978" t="s">
        <v>1817</v>
      </c>
      <c r="E169" s="978" t="s">
        <v>73</v>
      </c>
      <c r="F169" s="978" t="s">
        <v>90</v>
      </c>
      <c r="G169" s="979" t="s">
        <v>1754</v>
      </c>
      <c r="H169" s="980"/>
      <c r="I169" s="980"/>
      <c r="J169" s="980"/>
      <c r="K169" s="980"/>
      <c r="L169" s="980"/>
      <c r="M169" s="980">
        <f>10000+15000</f>
        <v>25000</v>
      </c>
      <c r="N169" s="980"/>
      <c r="O169" s="980"/>
      <c r="P169" s="981"/>
      <c r="Q169" s="1449"/>
      <c r="R169" s="980"/>
      <c r="S169" s="980"/>
      <c r="T169" s="980"/>
      <c r="U169" s="980">
        <v>25000</v>
      </c>
      <c r="V169" s="980"/>
      <c r="W169" s="980"/>
      <c r="X169" s="981"/>
    </row>
    <row r="170" spans="1:24" ht="30.75" customHeight="1" x14ac:dyDescent="0.25">
      <c r="A170" s="1493" t="s">
        <v>311</v>
      </c>
      <c r="B170" s="1492" t="s">
        <v>765</v>
      </c>
      <c r="C170" s="1491" t="s">
        <v>3360</v>
      </c>
      <c r="D170" s="978" t="s">
        <v>1817</v>
      </c>
      <c r="E170" s="978" t="s">
        <v>523</v>
      </c>
      <c r="F170" s="978" t="s">
        <v>150</v>
      </c>
      <c r="G170" s="979" t="s">
        <v>1754</v>
      </c>
      <c r="H170" s="980"/>
      <c r="I170" s="980"/>
      <c r="J170" s="980">
        <v>500000</v>
      </c>
      <c r="K170" s="980"/>
      <c r="L170" s="980"/>
      <c r="M170" s="980"/>
      <c r="N170" s="980"/>
      <c r="O170" s="980"/>
      <c r="P170" s="981"/>
      <c r="Q170" s="1449"/>
      <c r="R170" s="980"/>
      <c r="S170" s="980">
        <v>500000</v>
      </c>
      <c r="T170" s="980"/>
      <c r="U170" s="980"/>
      <c r="V170" s="980"/>
      <c r="W170" s="980"/>
      <c r="X170" s="981"/>
    </row>
    <row r="171" spans="1:24" ht="30" customHeight="1" x14ac:dyDescent="0.25">
      <c r="A171" s="1493" t="s">
        <v>312</v>
      </c>
      <c r="B171" s="1492" t="s">
        <v>319</v>
      </c>
      <c r="C171" s="1491" t="s">
        <v>3361</v>
      </c>
      <c r="D171" s="978" t="s">
        <v>1817</v>
      </c>
      <c r="E171" s="978" t="s">
        <v>648</v>
      </c>
      <c r="F171" s="978" t="s">
        <v>133</v>
      </c>
      <c r="G171" s="979" t="s">
        <v>1754</v>
      </c>
      <c r="H171" s="980"/>
      <c r="I171" s="980"/>
      <c r="J171" s="980">
        <v>37388</v>
      </c>
      <c r="K171" s="980"/>
      <c r="L171" s="980"/>
      <c r="M171" s="980"/>
      <c r="N171" s="980"/>
      <c r="O171" s="980"/>
      <c r="P171" s="981"/>
      <c r="Q171" s="1449"/>
      <c r="R171" s="980"/>
      <c r="S171" s="980"/>
      <c r="T171" s="980">
        <v>37388</v>
      </c>
      <c r="U171" s="980"/>
      <c r="V171" s="980"/>
      <c r="W171" s="980"/>
      <c r="X171" s="981"/>
    </row>
    <row r="172" spans="1:24" ht="20.25" customHeight="1" x14ac:dyDescent="0.25">
      <c r="A172" s="2047" t="s">
        <v>313</v>
      </c>
      <c r="B172" s="2045" t="s">
        <v>3376</v>
      </c>
      <c r="C172" s="2043" t="s">
        <v>3374</v>
      </c>
      <c r="D172" s="978" t="s">
        <v>1817</v>
      </c>
      <c r="E172" s="978" t="s">
        <v>73</v>
      </c>
      <c r="F172" s="978" t="s">
        <v>90</v>
      </c>
      <c r="G172" s="979" t="s">
        <v>1766</v>
      </c>
      <c r="H172" s="980">
        <f>-8947183+7800000</f>
        <v>-1147183</v>
      </c>
      <c r="I172" s="980">
        <v>-151450</v>
      </c>
      <c r="J172" s="980"/>
      <c r="K172" s="980"/>
      <c r="L172" s="980"/>
      <c r="M172" s="980"/>
      <c r="N172" s="980"/>
      <c r="O172" s="980"/>
      <c r="P172" s="981"/>
      <c r="Q172" s="1449"/>
      <c r="R172" s="980"/>
      <c r="S172" s="980"/>
      <c r="T172" s="980"/>
      <c r="U172" s="980"/>
      <c r="V172" s="980"/>
      <c r="W172" s="980"/>
      <c r="X172" s="981"/>
    </row>
    <row r="173" spans="1:24" ht="20.25" customHeight="1" x14ac:dyDescent="0.25">
      <c r="A173" s="2054"/>
      <c r="B173" s="2053"/>
      <c r="C173" s="2049"/>
      <c r="D173" s="978" t="s">
        <v>1817</v>
      </c>
      <c r="E173" s="978" t="s">
        <v>161</v>
      </c>
      <c r="F173" s="978" t="s">
        <v>131</v>
      </c>
      <c r="G173" s="979" t="s">
        <v>1766</v>
      </c>
      <c r="H173" s="980">
        <f>-666667+600000+66667</f>
        <v>0</v>
      </c>
      <c r="I173" s="980"/>
      <c r="J173" s="980"/>
      <c r="K173" s="980"/>
      <c r="L173" s="980"/>
      <c r="M173" s="980"/>
      <c r="N173" s="980"/>
      <c r="O173" s="980"/>
      <c r="P173" s="981"/>
      <c r="Q173" s="1449"/>
      <c r="R173" s="980"/>
      <c r="S173" s="980"/>
      <c r="T173" s="980"/>
      <c r="U173" s="980"/>
      <c r="V173" s="980"/>
      <c r="W173" s="980"/>
      <c r="X173" s="981"/>
    </row>
    <row r="174" spans="1:24" ht="20.25" customHeight="1" x14ac:dyDescent="0.25">
      <c r="A174" s="2054"/>
      <c r="B174" s="2053"/>
      <c r="C174" s="2049"/>
      <c r="D174" s="978" t="s">
        <v>1817</v>
      </c>
      <c r="E174" s="978" t="s">
        <v>523</v>
      </c>
      <c r="F174" s="978" t="s">
        <v>150</v>
      </c>
      <c r="G174" s="979" t="s">
        <v>1754</v>
      </c>
      <c r="H174" s="980">
        <f>1057183+90000</f>
        <v>1147183</v>
      </c>
      <c r="I174" s="980">
        <v>151450</v>
      </c>
      <c r="J174" s="980"/>
      <c r="K174" s="980"/>
      <c r="L174" s="980"/>
      <c r="M174" s="980"/>
      <c r="N174" s="980"/>
      <c r="O174" s="980"/>
      <c r="P174" s="981"/>
      <c r="Q174" s="1449"/>
      <c r="R174" s="980"/>
      <c r="S174" s="980"/>
      <c r="T174" s="980"/>
      <c r="U174" s="980"/>
      <c r="V174" s="980"/>
      <c r="W174" s="980"/>
      <c r="X174" s="981"/>
    </row>
    <row r="175" spans="1:24" ht="20.25" customHeight="1" x14ac:dyDescent="0.25">
      <c r="A175" s="2048"/>
      <c r="B175" s="2046"/>
      <c r="C175" s="2044"/>
      <c r="D175" s="978" t="s">
        <v>1817</v>
      </c>
      <c r="E175" s="978" t="s">
        <v>1297</v>
      </c>
      <c r="F175" s="978" t="s">
        <v>133</v>
      </c>
      <c r="G175" s="979" t="s">
        <v>1766</v>
      </c>
      <c r="H175" s="980">
        <f>-542300+542300</f>
        <v>0</v>
      </c>
      <c r="I175" s="980"/>
      <c r="J175" s="980"/>
      <c r="K175" s="980"/>
      <c r="L175" s="980"/>
      <c r="M175" s="980"/>
      <c r="N175" s="980"/>
      <c r="O175" s="980"/>
      <c r="P175" s="981"/>
      <c r="Q175" s="1449"/>
      <c r="R175" s="980"/>
      <c r="S175" s="980"/>
      <c r="T175" s="980"/>
      <c r="U175" s="980"/>
      <c r="V175" s="980"/>
      <c r="W175" s="980"/>
      <c r="X175" s="981"/>
    </row>
    <row r="176" spans="1:24" ht="21.75" customHeight="1" x14ac:dyDescent="0.25">
      <c r="A176" s="2047" t="s">
        <v>314</v>
      </c>
      <c r="B176" s="2045" t="s">
        <v>194</v>
      </c>
      <c r="C176" s="2043" t="s">
        <v>3445</v>
      </c>
      <c r="D176" s="978" t="s">
        <v>1817</v>
      </c>
      <c r="E176" s="978" t="s">
        <v>1297</v>
      </c>
      <c r="F176" s="978" t="s">
        <v>127</v>
      </c>
      <c r="G176" s="979" t="s">
        <v>1754</v>
      </c>
      <c r="H176" s="980"/>
      <c r="I176" s="980"/>
      <c r="J176" s="980"/>
      <c r="K176" s="980"/>
      <c r="L176" s="980"/>
      <c r="M176" s="980"/>
      <c r="N176" s="980"/>
      <c r="O176" s="980"/>
      <c r="P176" s="981"/>
      <c r="Q176" s="1449"/>
      <c r="R176" s="980"/>
      <c r="S176" s="980"/>
      <c r="T176" s="980"/>
      <c r="U176" s="980"/>
      <c r="V176" s="980"/>
      <c r="W176" s="980"/>
      <c r="X176" s="981">
        <v>1920000</v>
      </c>
    </row>
    <row r="177" spans="1:24" ht="21.75" customHeight="1" x14ac:dyDescent="0.25">
      <c r="A177" s="2048"/>
      <c r="B177" s="2046"/>
      <c r="C177" s="2044"/>
      <c r="D177" s="978" t="s">
        <v>1817</v>
      </c>
      <c r="E177" s="978" t="s">
        <v>73</v>
      </c>
      <c r="F177" s="978" t="s">
        <v>90</v>
      </c>
      <c r="G177" s="979" t="s">
        <v>1754</v>
      </c>
      <c r="H177" s="980"/>
      <c r="I177" s="980"/>
      <c r="J177" s="980">
        <f>1511811+408189</f>
        <v>1920000</v>
      </c>
      <c r="K177" s="980"/>
      <c r="L177" s="980"/>
      <c r="M177" s="980"/>
      <c r="N177" s="980"/>
      <c r="O177" s="980"/>
      <c r="P177" s="981"/>
      <c r="Q177" s="1449"/>
      <c r="R177" s="980"/>
      <c r="S177" s="980"/>
      <c r="T177" s="980"/>
      <c r="U177" s="980"/>
      <c r="V177" s="980"/>
      <c r="W177" s="980"/>
      <c r="X177" s="981"/>
    </row>
    <row r="178" spans="1:24" ht="54" customHeight="1" x14ac:dyDescent="0.25">
      <c r="A178" s="1493" t="s">
        <v>315</v>
      </c>
      <c r="B178" s="1492" t="s">
        <v>195</v>
      </c>
      <c r="C178" s="1491" t="s">
        <v>3490</v>
      </c>
      <c r="D178" s="978" t="s">
        <v>1817</v>
      </c>
      <c r="E178" s="978" t="s">
        <v>73</v>
      </c>
      <c r="F178" s="978" t="s">
        <v>90</v>
      </c>
      <c r="G178" s="979" t="s">
        <v>1766</v>
      </c>
      <c r="H178" s="980"/>
      <c r="I178" s="980"/>
      <c r="J178" s="980">
        <f>-750000+500000+100000+150000</f>
        <v>0</v>
      </c>
      <c r="K178" s="980"/>
      <c r="L178" s="980"/>
      <c r="M178" s="980"/>
      <c r="N178" s="980"/>
      <c r="O178" s="980"/>
      <c r="P178" s="981"/>
      <c r="Q178" s="1449"/>
      <c r="R178" s="980"/>
      <c r="S178" s="980"/>
      <c r="T178" s="980"/>
      <c r="U178" s="980"/>
      <c r="V178" s="980"/>
      <c r="W178" s="980"/>
      <c r="X178" s="981"/>
    </row>
    <row r="179" spans="1:24" ht="29.25" customHeight="1" x14ac:dyDescent="0.25">
      <c r="A179" s="1493" t="s">
        <v>761</v>
      </c>
      <c r="B179" s="1492" t="s">
        <v>196</v>
      </c>
      <c r="C179" s="1491" t="s">
        <v>3491</v>
      </c>
      <c r="D179" s="978" t="s">
        <v>1817</v>
      </c>
      <c r="E179" s="978" t="s">
        <v>523</v>
      </c>
      <c r="F179" s="978" t="s">
        <v>150</v>
      </c>
      <c r="G179" s="979" t="s">
        <v>1766</v>
      </c>
      <c r="H179" s="980"/>
      <c r="I179" s="980"/>
      <c r="J179" s="980"/>
      <c r="K179" s="980"/>
      <c r="L179" s="980"/>
      <c r="M179" s="980">
        <f>-11980+9433+2547</f>
        <v>0</v>
      </c>
      <c r="N179" s="980"/>
      <c r="O179" s="980"/>
      <c r="P179" s="981"/>
      <c r="Q179" s="1449"/>
      <c r="R179" s="980"/>
      <c r="S179" s="980"/>
      <c r="T179" s="980"/>
      <c r="U179" s="980"/>
      <c r="V179" s="980"/>
      <c r="W179" s="980"/>
      <c r="X179" s="981"/>
    </row>
    <row r="180" spans="1:24" ht="18.75" customHeight="1" x14ac:dyDescent="0.25">
      <c r="A180" s="2047" t="s">
        <v>316</v>
      </c>
      <c r="B180" s="2045" t="s">
        <v>197</v>
      </c>
      <c r="C180" s="2043" t="s">
        <v>3492</v>
      </c>
      <c r="D180" s="978" t="s">
        <v>1817</v>
      </c>
      <c r="E180" s="978" t="s">
        <v>73</v>
      </c>
      <c r="F180" s="978" t="s">
        <v>90</v>
      </c>
      <c r="G180" s="979" t="s">
        <v>1754</v>
      </c>
      <c r="H180" s="980"/>
      <c r="I180" s="980"/>
      <c r="J180" s="980">
        <v>143064</v>
      </c>
      <c r="K180" s="980"/>
      <c r="L180" s="980"/>
      <c r="M180" s="980"/>
      <c r="N180" s="980"/>
      <c r="O180" s="980"/>
      <c r="P180" s="981"/>
      <c r="Q180" s="1449"/>
      <c r="R180" s="980"/>
      <c r="S180" s="980"/>
      <c r="T180" s="980">
        <v>143064</v>
      </c>
      <c r="U180" s="980"/>
      <c r="V180" s="980"/>
      <c r="W180" s="980"/>
      <c r="X180" s="981"/>
    </row>
    <row r="181" spans="1:24" ht="18.75" customHeight="1" x14ac:dyDescent="0.25">
      <c r="A181" s="2054"/>
      <c r="B181" s="2053"/>
      <c r="C181" s="2049"/>
      <c r="D181" s="978" t="s">
        <v>1817</v>
      </c>
      <c r="E181" s="978" t="s">
        <v>161</v>
      </c>
      <c r="F181" s="978" t="s">
        <v>131</v>
      </c>
      <c r="G181" s="979" t="s">
        <v>1754</v>
      </c>
      <c r="H181" s="980"/>
      <c r="I181" s="980"/>
      <c r="J181" s="980">
        <v>8622</v>
      </c>
      <c r="K181" s="980"/>
      <c r="L181" s="980"/>
      <c r="M181" s="980"/>
      <c r="N181" s="980"/>
      <c r="O181" s="980"/>
      <c r="P181" s="981"/>
      <c r="Q181" s="1449"/>
      <c r="R181" s="980"/>
      <c r="S181" s="980"/>
      <c r="T181" s="980">
        <v>8622</v>
      </c>
      <c r="U181" s="980"/>
      <c r="V181" s="980"/>
      <c r="W181" s="980"/>
      <c r="X181" s="981"/>
    </row>
    <row r="182" spans="1:24" ht="18.75" customHeight="1" x14ac:dyDescent="0.25">
      <c r="A182" s="2054"/>
      <c r="B182" s="2053"/>
      <c r="C182" s="2049"/>
      <c r="D182" s="978" t="s">
        <v>1817</v>
      </c>
      <c r="E182" s="978" t="s">
        <v>523</v>
      </c>
      <c r="F182" s="978" t="s">
        <v>150</v>
      </c>
      <c r="G182" s="979" t="s">
        <v>1754</v>
      </c>
      <c r="H182" s="980"/>
      <c r="I182" s="980"/>
      <c r="J182" s="980">
        <v>2156</v>
      </c>
      <c r="K182" s="980"/>
      <c r="L182" s="980"/>
      <c r="M182" s="980"/>
      <c r="N182" s="980"/>
      <c r="O182" s="980"/>
      <c r="P182" s="981"/>
      <c r="Q182" s="1449"/>
      <c r="R182" s="980"/>
      <c r="S182" s="980"/>
      <c r="T182" s="980">
        <v>2156</v>
      </c>
      <c r="U182" s="980"/>
      <c r="V182" s="980"/>
      <c r="W182" s="980"/>
      <c r="X182" s="981"/>
    </row>
    <row r="183" spans="1:24" ht="18.75" customHeight="1" x14ac:dyDescent="0.25">
      <c r="A183" s="2048"/>
      <c r="B183" s="2046"/>
      <c r="C183" s="2044"/>
      <c r="D183" s="978" t="s">
        <v>1817</v>
      </c>
      <c r="E183" s="978" t="s">
        <v>648</v>
      </c>
      <c r="F183" s="978" t="s">
        <v>133</v>
      </c>
      <c r="G183" s="979" t="s">
        <v>1754</v>
      </c>
      <c r="H183" s="980"/>
      <c r="I183" s="980"/>
      <c r="J183" s="980">
        <v>108342</v>
      </c>
      <c r="K183" s="980"/>
      <c r="L183" s="980"/>
      <c r="M183" s="980"/>
      <c r="N183" s="980"/>
      <c r="O183" s="980"/>
      <c r="P183" s="981"/>
      <c r="Q183" s="1449"/>
      <c r="R183" s="980"/>
      <c r="S183" s="980"/>
      <c r="T183" s="980">
        <v>108342</v>
      </c>
      <c r="U183" s="980"/>
      <c r="V183" s="980"/>
      <c r="W183" s="980"/>
      <c r="X183" s="981"/>
    </row>
    <row r="184" spans="1:24" ht="27.75" customHeight="1" x14ac:dyDescent="0.25">
      <c r="A184" s="1493" t="s">
        <v>317</v>
      </c>
      <c r="B184" s="1492" t="s">
        <v>198</v>
      </c>
      <c r="C184" s="1491" t="s">
        <v>3493</v>
      </c>
      <c r="D184" s="978" t="s">
        <v>1817</v>
      </c>
      <c r="E184" s="978" t="s">
        <v>73</v>
      </c>
      <c r="F184" s="978" t="s">
        <v>90</v>
      </c>
      <c r="G184" s="979" t="s">
        <v>1754</v>
      </c>
      <c r="H184" s="980"/>
      <c r="I184" s="980"/>
      <c r="J184" s="980"/>
      <c r="K184" s="980"/>
      <c r="L184" s="980"/>
      <c r="M184" s="980">
        <v>5000</v>
      </c>
      <c r="N184" s="980"/>
      <c r="O184" s="980"/>
      <c r="P184" s="981"/>
      <c r="Q184" s="1449"/>
      <c r="R184" s="980"/>
      <c r="S184" s="980"/>
      <c r="T184" s="980"/>
      <c r="U184" s="980">
        <v>5000</v>
      </c>
      <c r="V184" s="980"/>
      <c r="W184" s="980"/>
      <c r="X184" s="981"/>
    </row>
    <row r="185" spans="1:24" ht="29.25" customHeight="1" x14ac:dyDescent="0.25">
      <c r="A185" s="1493" t="s">
        <v>762</v>
      </c>
      <c r="B185" s="1492" t="s">
        <v>199</v>
      </c>
      <c r="C185" s="1491" t="s">
        <v>2357</v>
      </c>
      <c r="D185" s="978" t="s">
        <v>1817</v>
      </c>
      <c r="E185" s="978" t="s">
        <v>73</v>
      </c>
      <c r="F185" s="978" t="s">
        <v>866</v>
      </c>
      <c r="G185" s="979" t="s">
        <v>1754</v>
      </c>
      <c r="H185" s="980"/>
      <c r="I185" s="980"/>
      <c r="J185" s="980">
        <v>97788</v>
      </c>
      <c r="K185" s="980"/>
      <c r="L185" s="980"/>
      <c r="M185" s="980"/>
      <c r="N185" s="980"/>
      <c r="O185" s="980"/>
      <c r="P185" s="981"/>
      <c r="Q185" s="1449"/>
      <c r="R185" s="980"/>
      <c r="S185" s="980"/>
      <c r="T185" s="980">
        <v>97788</v>
      </c>
      <c r="U185" s="980"/>
      <c r="V185" s="980"/>
      <c r="W185" s="980"/>
      <c r="X185" s="981"/>
    </row>
    <row r="186" spans="1:24" ht="41.25" customHeight="1" x14ac:dyDescent="0.25">
      <c r="A186" s="1493" t="s">
        <v>763</v>
      </c>
      <c r="B186" s="1492" t="s">
        <v>200</v>
      </c>
      <c r="C186" s="1491" t="s">
        <v>3495</v>
      </c>
      <c r="D186" s="978" t="s">
        <v>1817</v>
      </c>
      <c r="E186" s="978" t="s">
        <v>2518</v>
      </c>
      <c r="F186" s="978" t="s">
        <v>481</v>
      </c>
      <c r="G186" s="979" t="s">
        <v>1754</v>
      </c>
      <c r="H186" s="980">
        <v>1831486</v>
      </c>
      <c r="I186" s="980">
        <v>238093</v>
      </c>
      <c r="J186" s="980"/>
      <c r="K186" s="980"/>
      <c r="L186" s="980"/>
      <c r="M186" s="980"/>
      <c r="N186" s="980"/>
      <c r="O186" s="980"/>
      <c r="P186" s="981"/>
      <c r="Q186" s="1449">
        <v>2069579</v>
      </c>
      <c r="R186" s="980"/>
      <c r="S186" s="980"/>
      <c r="T186" s="980"/>
      <c r="U186" s="980"/>
      <c r="V186" s="980"/>
      <c r="W186" s="980"/>
      <c r="X186" s="981"/>
    </row>
    <row r="187" spans="1:24" ht="33" customHeight="1" x14ac:dyDescent="0.25">
      <c r="A187" s="1493" t="s">
        <v>155</v>
      </c>
      <c r="B187" s="1492" t="s">
        <v>201</v>
      </c>
      <c r="C187" s="1491" t="s">
        <v>3514</v>
      </c>
      <c r="D187" s="978" t="s">
        <v>1817</v>
      </c>
      <c r="E187" s="978" t="s">
        <v>161</v>
      </c>
      <c r="F187" s="978" t="s">
        <v>131</v>
      </c>
      <c r="G187" s="979" t="s">
        <v>1766</v>
      </c>
      <c r="H187" s="980"/>
      <c r="I187" s="980"/>
      <c r="J187" s="980">
        <f>-276975+276975</f>
        <v>0</v>
      </c>
      <c r="K187" s="980"/>
      <c r="L187" s="980"/>
      <c r="M187" s="980"/>
      <c r="N187" s="980"/>
      <c r="O187" s="980"/>
      <c r="P187" s="981"/>
      <c r="Q187" s="1449"/>
      <c r="R187" s="980"/>
      <c r="S187" s="980"/>
      <c r="T187" s="980"/>
      <c r="U187" s="980"/>
      <c r="V187" s="980"/>
      <c r="W187" s="980"/>
      <c r="X187" s="981"/>
    </row>
    <row r="188" spans="1:24" ht="20.25" customHeight="1" x14ac:dyDescent="0.25">
      <c r="A188" s="2047" t="s">
        <v>318</v>
      </c>
      <c r="B188" s="2045" t="s">
        <v>202</v>
      </c>
      <c r="C188" s="2043" t="s">
        <v>3528</v>
      </c>
      <c r="D188" s="978" t="s">
        <v>1817</v>
      </c>
      <c r="E188" s="978" t="s">
        <v>73</v>
      </c>
      <c r="F188" s="978" t="s">
        <v>90</v>
      </c>
      <c r="G188" s="979" t="s">
        <v>1766</v>
      </c>
      <c r="H188" s="980">
        <f>-5613541+5326541+287000</f>
        <v>0</v>
      </c>
      <c r="I188" s="980"/>
      <c r="J188" s="980"/>
      <c r="K188" s="980"/>
      <c r="L188" s="980"/>
      <c r="M188" s="980"/>
      <c r="N188" s="980"/>
      <c r="O188" s="980"/>
      <c r="P188" s="981"/>
      <c r="Q188" s="1449"/>
      <c r="R188" s="980"/>
      <c r="S188" s="980"/>
      <c r="T188" s="980"/>
      <c r="U188" s="980"/>
      <c r="V188" s="980"/>
      <c r="W188" s="980"/>
      <c r="X188" s="981"/>
    </row>
    <row r="189" spans="1:24" ht="20.25" customHeight="1" x14ac:dyDescent="0.25">
      <c r="A189" s="2048"/>
      <c r="B189" s="2046"/>
      <c r="C189" s="2044"/>
      <c r="D189" s="978" t="s">
        <v>1817</v>
      </c>
      <c r="E189" s="978" t="s">
        <v>648</v>
      </c>
      <c r="F189" s="978" t="s">
        <v>133</v>
      </c>
      <c r="G189" s="979" t="s">
        <v>1766</v>
      </c>
      <c r="H189" s="980">
        <f>-300000+300000</f>
        <v>0</v>
      </c>
      <c r="I189" s="980"/>
      <c r="J189" s="980"/>
      <c r="K189" s="980"/>
      <c r="L189" s="980"/>
      <c r="M189" s="980"/>
      <c r="N189" s="980"/>
      <c r="O189" s="980"/>
      <c r="P189" s="981"/>
      <c r="Q189" s="1449"/>
      <c r="R189" s="980"/>
      <c r="S189" s="980"/>
      <c r="T189" s="980"/>
      <c r="U189" s="980"/>
      <c r="V189" s="980"/>
      <c r="W189" s="980"/>
      <c r="X189" s="981"/>
    </row>
    <row r="190" spans="1:24" ht="18" customHeight="1" x14ac:dyDescent="0.25">
      <c r="A190" s="2047" t="s">
        <v>764</v>
      </c>
      <c r="B190" s="2045" t="s">
        <v>203</v>
      </c>
      <c r="C190" s="2043" t="s">
        <v>3528</v>
      </c>
      <c r="D190" s="978" t="s">
        <v>1817</v>
      </c>
      <c r="E190" s="978" t="s">
        <v>73</v>
      </c>
      <c r="F190" s="978" t="s">
        <v>90</v>
      </c>
      <c r="G190" s="979" t="s">
        <v>1766</v>
      </c>
      <c r="H190" s="980">
        <f>-111680+111680</f>
        <v>0</v>
      </c>
      <c r="I190" s="980"/>
      <c r="J190" s="980"/>
      <c r="K190" s="980"/>
      <c r="L190" s="980"/>
      <c r="M190" s="980"/>
      <c r="N190" s="980"/>
      <c r="O190" s="980"/>
      <c r="P190" s="981"/>
      <c r="Q190" s="1449"/>
      <c r="R190" s="980"/>
      <c r="S190" s="980"/>
      <c r="T190" s="980"/>
      <c r="U190" s="980"/>
      <c r="V190" s="980"/>
      <c r="W190" s="980"/>
      <c r="X190" s="981"/>
    </row>
    <row r="191" spans="1:24" ht="18" customHeight="1" x14ac:dyDescent="0.25">
      <c r="A191" s="2048"/>
      <c r="B191" s="2046"/>
      <c r="C191" s="2044"/>
      <c r="D191" s="978" t="s">
        <v>1817</v>
      </c>
      <c r="E191" s="978" t="s">
        <v>648</v>
      </c>
      <c r="F191" s="978" t="s">
        <v>133</v>
      </c>
      <c r="G191" s="979" t="s">
        <v>1766</v>
      </c>
      <c r="H191" s="980">
        <f>-23039+23039</f>
        <v>0</v>
      </c>
      <c r="I191" s="980"/>
      <c r="J191" s="980"/>
      <c r="K191" s="980"/>
      <c r="L191" s="980"/>
      <c r="M191" s="980"/>
      <c r="N191" s="980"/>
      <c r="O191" s="980"/>
      <c r="P191" s="981"/>
      <c r="Q191" s="1449"/>
      <c r="R191" s="980"/>
      <c r="S191" s="980"/>
      <c r="T191" s="980"/>
      <c r="U191" s="980"/>
      <c r="V191" s="980"/>
      <c r="W191" s="980"/>
      <c r="X191" s="981"/>
    </row>
    <row r="192" spans="1:24" ht="18" customHeight="1" x14ac:dyDescent="0.25">
      <c r="A192" s="2047" t="s">
        <v>765</v>
      </c>
      <c r="B192" s="2063" t="s">
        <v>3539</v>
      </c>
      <c r="C192" s="2043" t="s">
        <v>3537</v>
      </c>
      <c r="D192" s="978" t="s">
        <v>1817</v>
      </c>
      <c r="E192" s="978" t="s">
        <v>523</v>
      </c>
      <c r="F192" s="978" t="s">
        <v>150</v>
      </c>
      <c r="G192" s="979" t="s">
        <v>1752</v>
      </c>
      <c r="H192" s="980"/>
      <c r="I192" s="980"/>
      <c r="J192" s="980">
        <v>-470000</v>
      </c>
      <c r="K192" s="980"/>
      <c r="L192" s="980"/>
      <c r="M192" s="980"/>
      <c r="N192" s="980"/>
      <c r="O192" s="980"/>
      <c r="P192" s="981"/>
      <c r="Q192" s="1449"/>
      <c r="R192" s="980"/>
      <c r="S192" s="980">
        <v>-470000</v>
      </c>
      <c r="T192" s="980"/>
      <c r="U192" s="980"/>
      <c r="V192" s="980"/>
      <c r="W192" s="980"/>
      <c r="X192" s="981"/>
    </row>
    <row r="193" spans="1:24" ht="18" customHeight="1" x14ac:dyDescent="0.25">
      <c r="A193" s="2054"/>
      <c r="B193" s="2064"/>
      <c r="C193" s="2049"/>
      <c r="D193" s="978" t="s">
        <v>1817</v>
      </c>
      <c r="E193" s="978" t="s">
        <v>73</v>
      </c>
      <c r="F193" s="978" t="s">
        <v>90</v>
      </c>
      <c r="G193" s="979" t="s">
        <v>1752</v>
      </c>
      <c r="H193" s="980"/>
      <c r="I193" s="980"/>
      <c r="J193" s="980">
        <v>-67</v>
      </c>
      <c r="K193" s="980"/>
      <c r="L193" s="980"/>
      <c r="M193" s="980"/>
      <c r="N193" s="980"/>
      <c r="O193" s="980"/>
      <c r="P193" s="981"/>
      <c r="Q193" s="1449"/>
      <c r="R193" s="980"/>
      <c r="S193" s="980"/>
      <c r="T193" s="980">
        <v>-67</v>
      </c>
      <c r="U193" s="980"/>
      <c r="V193" s="980"/>
      <c r="W193" s="980"/>
      <c r="X193" s="981"/>
    </row>
    <row r="194" spans="1:24" ht="18" customHeight="1" x14ac:dyDescent="0.25">
      <c r="A194" s="2048"/>
      <c r="B194" s="2065"/>
      <c r="C194" s="2044"/>
      <c r="D194" s="978" t="s">
        <v>1817</v>
      </c>
      <c r="E194" s="978" t="s">
        <v>73</v>
      </c>
      <c r="F194" s="978" t="s">
        <v>866</v>
      </c>
      <c r="G194" s="979" t="s">
        <v>1752</v>
      </c>
      <c r="H194" s="980"/>
      <c r="I194" s="980"/>
      <c r="J194" s="980">
        <v>-209746</v>
      </c>
      <c r="K194" s="980"/>
      <c r="L194" s="980"/>
      <c r="M194" s="980"/>
      <c r="N194" s="980"/>
      <c r="O194" s="980"/>
      <c r="P194" s="981"/>
      <c r="Q194" s="1449"/>
      <c r="R194" s="980"/>
      <c r="S194" s="980"/>
      <c r="T194" s="980">
        <v>-209746</v>
      </c>
      <c r="U194" s="980"/>
      <c r="V194" s="980"/>
      <c r="W194" s="980"/>
      <c r="X194" s="981"/>
    </row>
    <row r="195" spans="1:24" x14ac:dyDescent="0.25">
      <c r="A195" s="1432"/>
      <c r="B195" s="1431"/>
      <c r="C195" s="977"/>
      <c r="D195" s="978"/>
      <c r="E195" s="978"/>
      <c r="F195" s="978"/>
      <c r="G195" s="979"/>
      <c r="H195" s="980"/>
      <c r="I195" s="980"/>
      <c r="J195" s="980"/>
      <c r="K195" s="980"/>
      <c r="L195" s="980"/>
      <c r="M195" s="980"/>
      <c r="N195" s="980"/>
      <c r="O195" s="980"/>
      <c r="P195" s="981"/>
      <c r="Q195" s="1449"/>
      <c r="R195" s="980"/>
      <c r="S195" s="980"/>
      <c r="T195" s="980"/>
      <c r="U195" s="980"/>
      <c r="V195" s="980"/>
      <c r="W195" s="980"/>
      <c r="X195" s="981"/>
    </row>
    <row r="196" spans="1:24" ht="18.75" x14ac:dyDescent="0.3">
      <c r="A196" s="2021" t="s">
        <v>1663</v>
      </c>
      <c r="B196" s="2022"/>
      <c r="C196" s="2022"/>
      <c r="D196" s="987"/>
      <c r="E196" s="956"/>
      <c r="F196" s="956"/>
      <c r="G196" s="956"/>
      <c r="H196" s="1595">
        <f t="shared" ref="H196:X196" si="3">SUM(H142:H195)+H123</f>
        <v>61679469</v>
      </c>
      <c r="I196" s="1595">
        <f t="shared" si="3"/>
        <v>8207521</v>
      </c>
      <c r="J196" s="1595">
        <f t="shared" si="3"/>
        <v>4991868</v>
      </c>
      <c r="K196" s="1595">
        <f t="shared" si="3"/>
        <v>0</v>
      </c>
      <c r="L196" s="1595">
        <f t="shared" si="3"/>
        <v>34588794</v>
      </c>
      <c r="M196" s="1595">
        <f t="shared" si="3"/>
        <v>17276932</v>
      </c>
      <c r="N196" s="1595">
        <f t="shared" si="3"/>
        <v>0</v>
      </c>
      <c r="O196" s="1595">
        <f t="shared" si="3"/>
        <v>5500000</v>
      </c>
      <c r="P196" s="1596">
        <f t="shared" si="3"/>
        <v>0</v>
      </c>
      <c r="Q196" s="1597">
        <f t="shared" si="3"/>
        <v>25517026</v>
      </c>
      <c r="R196" s="1595">
        <f t="shared" si="3"/>
        <v>0</v>
      </c>
      <c r="S196" s="1595">
        <f t="shared" si="3"/>
        <v>130000</v>
      </c>
      <c r="T196" s="1595">
        <f t="shared" si="3"/>
        <v>274067</v>
      </c>
      <c r="U196" s="1595">
        <f t="shared" si="3"/>
        <v>105000</v>
      </c>
      <c r="V196" s="1595">
        <f t="shared" si="3"/>
        <v>0</v>
      </c>
      <c r="W196" s="1595">
        <f t="shared" si="3"/>
        <v>1963600</v>
      </c>
      <c r="X196" s="1596">
        <f t="shared" si="3"/>
        <v>104254891</v>
      </c>
    </row>
    <row r="197" spans="1:24" ht="18" customHeight="1" x14ac:dyDescent="0.25">
      <c r="H197" s="936">
        <f>'2.1. sz. PMH'!AC9-'2.1. sz. PMH'!AB9</f>
        <v>61679469</v>
      </c>
      <c r="I197" s="936">
        <f>'2.1. sz. PMH'!AC10-'2.1. sz. PMH'!AB10</f>
        <v>8207521</v>
      </c>
      <c r="J197" s="936">
        <f>'2.1. sz. PMH'!AC11-'2.1. sz. PMH'!AB11</f>
        <v>4991868</v>
      </c>
      <c r="K197" s="936">
        <f>'2.1. sz. PMH'!AC12-'2.1. sz. PMH'!AB12</f>
        <v>0</v>
      </c>
      <c r="L197" s="936">
        <f>'2.1. sz. PMH'!AC13-'2.1. sz. PMH'!AB13</f>
        <v>34588794</v>
      </c>
      <c r="M197" s="936">
        <f>'2.1. sz. PMH'!AC17-'2.1. sz. PMH'!AB17</f>
        <v>17276932</v>
      </c>
      <c r="N197" s="936">
        <f>'2.1. sz. PMH'!AC18-'2.1. sz. PMH'!AB18</f>
        <v>0</v>
      </c>
      <c r="O197" s="936">
        <f>'2.1. sz. PMH'!AC19-'2.1. sz. PMH'!AB19</f>
        <v>5500000</v>
      </c>
      <c r="P197" s="936">
        <f>'2.1. sz. PMH'!AC22-'2.1. sz. PMH'!AB22</f>
        <v>0</v>
      </c>
      <c r="Q197" s="936">
        <f>'2.1. sz. PMH'!AC31-'2.1. sz. PMH'!AB31</f>
        <v>25517026</v>
      </c>
      <c r="R197" s="936">
        <f>'2.1. sz. PMH'!AC32-'2.1. sz. PMH'!AB32</f>
        <v>0</v>
      </c>
      <c r="S197" s="936">
        <f>'2.1. sz. PMH'!AC33-'2.1. sz. PMH'!AB33</f>
        <v>130000</v>
      </c>
      <c r="T197" s="936">
        <f>'2.1. sz. PMH'!AC34-'2.1. sz. PMH'!AB34</f>
        <v>274067</v>
      </c>
      <c r="U197" s="936">
        <f>'2.1. sz. PMH'!AC35-'2.1. sz. PMH'!AB35</f>
        <v>105000</v>
      </c>
      <c r="V197" s="936">
        <f>'2.1. sz. PMH'!AC36-'2.1. sz. PMH'!AB36</f>
        <v>0</v>
      </c>
      <c r="W197" s="936">
        <f>'2.1. sz. PMH'!AC37-'2.1. sz. PMH'!AB37</f>
        <v>1963600</v>
      </c>
      <c r="X197" s="936">
        <f>'2.1. sz. PMH'!AC39-'2.1. sz. PMH'!AB39</f>
        <v>104254891</v>
      </c>
    </row>
    <row r="198" spans="1:24" x14ac:dyDescent="0.25">
      <c r="H198" s="936">
        <f>H197-H196</f>
        <v>0</v>
      </c>
      <c r="I198" s="936">
        <f>I197-I196</f>
        <v>0</v>
      </c>
      <c r="J198" s="936">
        <f>J197-J196</f>
        <v>0</v>
      </c>
      <c r="K198" s="936">
        <f t="shared" ref="K198:W198" si="4">K197-K196</f>
        <v>0</v>
      </c>
      <c r="L198" s="936">
        <f t="shared" si="4"/>
        <v>0</v>
      </c>
      <c r="M198" s="936">
        <f t="shared" si="4"/>
        <v>0</v>
      </c>
      <c r="N198" s="936">
        <f t="shared" si="4"/>
        <v>0</v>
      </c>
      <c r="O198" s="936">
        <f t="shared" si="4"/>
        <v>0</v>
      </c>
      <c r="P198" s="936">
        <f t="shared" si="4"/>
        <v>0</v>
      </c>
      <c r="Q198" s="936">
        <f t="shared" si="4"/>
        <v>0</v>
      </c>
      <c r="R198" s="936">
        <f t="shared" si="4"/>
        <v>0</v>
      </c>
      <c r="S198" s="936">
        <f t="shared" si="4"/>
        <v>0</v>
      </c>
      <c r="T198" s="936">
        <f t="shared" si="4"/>
        <v>0</v>
      </c>
      <c r="U198" s="936">
        <f t="shared" si="4"/>
        <v>0</v>
      </c>
      <c r="V198" s="936">
        <f t="shared" si="4"/>
        <v>0</v>
      </c>
      <c r="W198" s="936">
        <f t="shared" si="4"/>
        <v>0</v>
      </c>
      <c r="X198" s="936">
        <f>X197-X196</f>
        <v>0</v>
      </c>
    </row>
    <row r="199" spans="1:24" x14ac:dyDescent="0.25">
      <c r="Q199" s="968"/>
    </row>
    <row r="200" spans="1:24" x14ac:dyDescent="0.25">
      <c r="Q200" s="968"/>
    </row>
    <row r="201" spans="1:24" ht="22.5" customHeight="1" x14ac:dyDescent="0.25">
      <c r="I201" s="2042" t="s">
        <v>1664</v>
      </c>
      <c r="J201" s="2042"/>
      <c r="K201" s="2042"/>
      <c r="L201" s="2042">
        <v>897605064</v>
      </c>
      <c r="M201" s="2042"/>
      <c r="N201" s="996"/>
      <c r="O201" s="996"/>
      <c r="P201" s="996"/>
      <c r="Q201" s="996"/>
      <c r="R201" s="2042" t="s">
        <v>1665</v>
      </c>
      <c r="S201" s="2042"/>
      <c r="T201" s="2042"/>
      <c r="U201" s="2042">
        <v>897605064</v>
      </c>
      <c r="V201" s="2042"/>
    </row>
    <row r="202" spans="1:24" ht="22.5" customHeight="1" x14ac:dyDescent="0.25">
      <c r="I202" s="2042" t="s">
        <v>1666</v>
      </c>
      <c r="J202" s="2042"/>
      <c r="K202" s="2042"/>
      <c r="L202" s="2042">
        <f>SUM(H196:P196)</f>
        <v>132244584</v>
      </c>
      <c r="M202" s="2042"/>
      <c r="N202" s="996"/>
      <c r="O202" s="996"/>
      <c r="P202" s="996"/>
      <c r="Q202" s="996"/>
      <c r="R202" s="2042" t="s">
        <v>1666</v>
      </c>
      <c r="S202" s="2042"/>
      <c r="T202" s="2042"/>
      <c r="U202" s="2042">
        <f>SUM(Q196:X196)</f>
        <v>132244584</v>
      </c>
      <c r="V202" s="2042"/>
    </row>
    <row r="203" spans="1:24" ht="21.75" customHeight="1" x14ac:dyDescent="0.25">
      <c r="I203" s="2042" t="s">
        <v>1512</v>
      </c>
      <c r="J203" s="2042"/>
      <c r="K203" s="2042"/>
      <c r="L203" s="2042">
        <f>+L201+L202</f>
        <v>1029849648</v>
      </c>
      <c r="M203" s="2042"/>
      <c r="N203" s="996"/>
      <c r="O203" s="996"/>
      <c r="P203" s="996"/>
      <c r="Q203" s="996"/>
      <c r="R203" s="2042" t="s">
        <v>1512</v>
      </c>
      <c r="S203" s="2042"/>
      <c r="T203" s="2042"/>
      <c r="U203" s="2042">
        <f>+U201+U202</f>
        <v>1029849648</v>
      </c>
      <c r="V203" s="2042"/>
    </row>
    <row r="204" spans="1:24" x14ac:dyDescent="0.25">
      <c r="Q204" s="968"/>
    </row>
    <row r="205" spans="1:24" x14ac:dyDescent="0.25">
      <c r="Q205" s="968"/>
    </row>
    <row r="206" spans="1:24" x14ac:dyDescent="0.25">
      <c r="Q206" s="968"/>
    </row>
    <row r="207" spans="1:24" x14ac:dyDescent="0.25">
      <c r="Q207" s="968"/>
    </row>
    <row r="208" spans="1:24" x14ac:dyDescent="0.25">
      <c r="Q208" s="968"/>
    </row>
    <row r="209" spans="17:17" x14ac:dyDescent="0.25">
      <c r="Q209" s="968"/>
    </row>
    <row r="210" spans="17:17" x14ac:dyDescent="0.25">
      <c r="Q210" s="968"/>
    </row>
    <row r="211" spans="17:17" x14ac:dyDescent="0.25">
      <c r="Q211" s="968"/>
    </row>
    <row r="212" spans="17:17" x14ac:dyDescent="0.25">
      <c r="Q212" s="968"/>
    </row>
    <row r="213" spans="17:17" x14ac:dyDescent="0.25">
      <c r="Q213" s="968"/>
    </row>
    <row r="214" spans="17:17" x14ac:dyDescent="0.25">
      <c r="Q214" s="968"/>
    </row>
    <row r="215" spans="17:17" x14ac:dyDescent="0.25">
      <c r="Q215" s="968"/>
    </row>
  </sheetData>
  <mergeCells count="201">
    <mergeCell ref="C192:C194"/>
    <mergeCell ref="B192:B194"/>
    <mergeCell ref="A192:A194"/>
    <mergeCell ref="C188:C189"/>
    <mergeCell ref="B188:B189"/>
    <mergeCell ref="A188:A189"/>
    <mergeCell ref="C180:C183"/>
    <mergeCell ref="B180:B183"/>
    <mergeCell ref="A180:A183"/>
    <mergeCell ref="C190:C191"/>
    <mergeCell ref="B190:B191"/>
    <mergeCell ref="A190:A191"/>
    <mergeCell ref="C176:C177"/>
    <mergeCell ref="B176:B177"/>
    <mergeCell ref="A176:A177"/>
    <mergeCell ref="B172:B175"/>
    <mergeCell ref="A172:A175"/>
    <mergeCell ref="C142:C143"/>
    <mergeCell ref="B142:B143"/>
    <mergeCell ref="A142:A143"/>
    <mergeCell ref="A144:A145"/>
    <mergeCell ref="C146:C147"/>
    <mergeCell ref="B146:B147"/>
    <mergeCell ref="A146:A147"/>
    <mergeCell ref="C149:C152"/>
    <mergeCell ref="B149:B152"/>
    <mergeCell ref="A149:A152"/>
    <mergeCell ref="B144:B145"/>
    <mergeCell ref="C165:C167"/>
    <mergeCell ref="B165:B167"/>
    <mergeCell ref="A165:A167"/>
    <mergeCell ref="C162:C164"/>
    <mergeCell ref="B162:B164"/>
    <mergeCell ref="A162:A164"/>
    <mergeCell ref="C158:C159"/>
    <mergeCell ref="B158:B159"/>
    <mergeCell ref="A158:A159"/>
    <mergeCell ref="C118:C119"/>
    <mergeCell ref="B118:B119"/>
    <mergeCell ref="A118:A119"/>
    <mergeCell ref="A135:X135"/>
    <mergeCell ref="A138:X138"/>
    <mergeCell ref="A140:A141"/>
    <mergeCell ref="B140:B141"/>
    <mergeCell ref="C140:C141"/>
    <mergeCell ref="D140:D141"/>
    <mergeCell ref="I129:K129"/>
    <mergeCell ref="L129:M129"/>
    <mergeCell ref="R129:T129"/>
    <mergeCell ref="U129:V129"/>
    <mergeCell ref="I130:K130"/>
    <mergeCell ref="L130:M130"/>
    <mergeCell ref="R130:T130"/>
    <mergeCell ref="U130:V130"/>
    <mergeCell ref="A123:C123"/>
    <mergeCell ref="I128:K128"/>
    <mergeCell ref="L128:M128"/>
    <mergeCell ref="R128:T128"/>
    <mergeCell ref="U128:V128"/>
    <mergeCell ref="E140:E141"/>
    <mergeCell ref="F140:F141"/>
    <mergeCell ref="C116:C117"/>
    <mergeCell ref="B116:B117"/>
    <mergeCell ref="A116:A117"/>
    <mergeCell ref="C110:C111"/>
    <mergeCell ref="B110:B111"/>
    <mergeCell ref="A110:A111"/>
    <mergeCell ref="C112:C113"/>
    <mergeCell ref="B112:B113"/>
    <mergeCell ref="A112:A113"/>
    <mergeCell ref="C114:C115"/>
    <mergeCell ref="B114:B115"/>
    <mergeCell ref="A114:A115"/>
    <mergeCell ref="C99:C100"/>
    <mergeCell ref="B99:B100"/>
    <mergeCell ref="A99:A100"/>
    <mergeCell ref="C101:C102"/>
    <mergeCell ref="B101:B102"/>
    <mergeCell ref="A101:A102"/>
    <mergeCell ref="C105:C106"/>
    <mergeCell ref="B105:B106"/>
    <mergeCell ref="A105:A106"/>
    <mergeCell ref="A50:A51"/>
    <mergeCell ref="A29:C29"/>
    <mergeCell ref="U34:V34"/>
    <mergeCell ref="R33:T33"/>
    <mergeCell ref="U33:V33"/>
    <mergeCell ref="I34:K34"/>
    <mergeCell ref="L34:M34"/>
    <mergeCell ref="L33:M33"/>
    <mergeCell ref="R34:T34"/>
    <mergeCell ref="C11:C12"/>
    <mergeCell ref="B11:B12"/>
    <mergeCell ref="A11:A12"/>
    <mergeCell ref="A1:X1"/>
    <mergeCell ref="A3:X3"/>
    <mergeCell ref="A5:A6"/>
    <mergeCell ref="B5:B6"/>
    <mergeCell ref="C5:C6"/>
    <mergeCell ref="D5:D6"/>
    <mergeCell ref="E5:E6"/>
    <mergeCell ref="F5:F6"/>
    <mergeCell ref="G5:G6"/>
    <mergeCell ref="H5:O5"/>
    <mergeCell ref="Q5:X5"/>
    <mergeCell ref="C21:C23"/>
    <mergeCell ref="B21:B23"/>
    <mergeCell ref="A21:A23"/>
    <mergeCell ref="C15:C16"/>
    <mergeCell ref="B15:B16"/>
    <mergeCell ref="A15:A16"/>
    <mergeCell ref="C25:C27"/>
    <mergeCell ref="I33:K33"/>
    <mergeCell ref="U86:V86"/>
    <mergeCell ref="I84:K84"/>
    <mergeCell ref="L84:M84"/>
    <mergeCell ref="R84:T84"/>
    <mergeCell ref="U84:V84"/>
    <mergeCell ref="I85:K85"/>
    <mergeCell ref="L85:M85"/>
    <mergeCell ref="R85:T85"/>
    <mergeCell ref="U85:V85"/>
    <mergeCell ref="I35:K35"/>
    <mergeCell ref="L35:M35"/>
    <mergeCell ref="R35:T35"/>
    <mergeCell ref="U35:V35"/>
    <mergeCell ref="B25:B27"/>
    <mergeCell ref="A25:A27"/>
    <mergeCell ref="C56:C60"/>
    <mergeCell ref="L86:M86"/>
    <mergeCell ref="R86:T86"/>
    <mergeCell ref="F95:F96"/>
    <mergeCell ref="G95:G96"/>
    <mergeCell ref="H95:O95"/>
    <mergeCell ref="Q95:X95"/>
    <mergeCell ref="A38:X38"/>
    <mergeCell ref="A41:X41"/>
    <mergeCell ref="A43:A44"/>
    <mergeCell ref="B43:B44"/>
    <mergeCell ref="C43:C44"/>
    <mergeCell ref="D43:D44"/>
    <mergeCell ref="E43:E44"/>
    <mergeCell ref="F43:F44"/>
    <mergeCell ref="G43:G44"/>
    <mergeCell ref="H43:O43"/>
    <mergeCell ref="Q43:X43"/>
    <mergeCell ref="B56:B60"/>
    <mergeCell ref="A56:A60"/>
    <mergeCell ref="C45:C49"/>
    <mergeCell ref="B45:B49"/>
    <mergeCell ref="A45:A49"/>
    <mergeCell ref="C50:C51"/>
    <mergeCell ref="B50:B51"/>
    <mergeCell ref="C97:C98"/>
    <mergeCell ref="B97:B98"/>
    <mergeCell ref="A97:A98"/>
    <mergeCell ref="A79:C79"/>
    <mergeCell ref="I86:K86"/>
    <mergeCell ref="C61:C62"/>
    <mergeCell ref="B61:B62"/>
    <mergeCell ref="A61:A62"/>
    <mergeCell ref="C67:C68"/>
    <mergeCell ref="B67:B68"/>
    <mergeCell ref="A67:A68"/>
    <mergeCell ref="C69:C70"/>
    <mergeCell ref="B69:B70"/>
    <mergeCell ref="A69:A70"/>
    <mergeCell ref="C71:C74"/>
    <mergeCell ref="B71:B74"/>
    <mergeCell ref="A71:A74"/>
    <mergeCell ref="A90:X90"/>
    <mergeCell ref="A93:X93"/>
    <mergeCell ref="A95:A96"/>
    <mergeCell ref="B95:B96"/>
    <mergeCell ref="C95:C96"/>
    <mergeCell ref="D95:D96"/>
    <mergeCell ref="E95:E96"/>
    <mergeCell ref="G140:G141"/>
    <mergeCell ref="H140:O140"/>
    <mergeCell ref="Q140:X140"/>
    <mergeCell ref="I203:K203"/>
    <mergeCell ref="L203:M203"/>
    <mergeCell ref="R203:T203"/>
    <mergeCell ref="U203:V203"/>
    <mergeCell ref="A196:C196"/>
    <mergeCell ref="I201:K201"/>
    <mergeCell ref="L201:M201"/>
    <mergeCell ref="R201:T201"/>
    <mergeCell ref="U201:V201"/>
    <mergeCell ref="I202:K202"/>
    <mergeCell ref="L202:M202"/>
    <mergeCell ref="R202:T202"/>
    <mergeCell ref="U202:V202"/>
    <mergeCell ref="C153:C154"/>
    <mergeCell ref="B153:B154"/>
    <mergeCell ref="A153:A154"/>
    <mergeCell ref="C155:C156"/>
    <mergeCell ref="B155:B156"/>
    <mergeCell ref="A155:A156"/>
    <mergeCell ref="C144:C145"/>
    <mergeCell ref="C172:C175"/>
  </mergeCells>
  <printOptions horizontalCentered="1" verticalCentered="1"/>
  <pageMargins left="0.11811023622047245" right="0.11811023622047245" top="0.15748031496062992" bottom="0.15748031496062992" header="0.31496062992125984" footer="0.31496062992125984"/>
  <pageSetup paperSize="9" scale="49" orientation="landscape" r:id="rId1"/>
  <headerFooter>
    <oddHeader>&amp;R&amp;A</oddHeader>
    <oddFooter>&amp;C&amp;P/&amp;N</oddFooter>
  </headerFooter>
  <rowBreaks count="4" manualBreakCount="4">
    <brk id="35" max="23" man="1"/>
    <brk id="86" max="23" man="1"/>
    <brk id="130" max="23" man="1"/>
    <brk id="169" max="2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307"/>
  <sheetViews>
    <sheetView view="pageBreakPreview" topLeftCell="A261" zoomScale="90" zoomScaleNormal="100" zoomScaleSheetLayoutView="90" workbookViewId="0">
      <selection activeCell="U274" sqref="U274"/>
    </sheetView>
  </sheetViews>
  <sheetFormatPr defaultRowHeight="15" x14ac:dyDescent="0.25"/>
  <cols>
    <col min="1" max="2" width="5.28515625" style="998" customWidth="1"/>
    <col min="3" max="3" width="41.85546875" style="971" customWidth="1"/>
    <col min="4" max="4" width="6.42578125" style="968" customWidth="1"/>
    <col min="5" max="5" width="8.28515625" style="968" customWidth="1"/>
    <col min="6" max="6" width="6" style="968" customWidth="1"/>
    <col min="7" max="7" width="4.85546875" style="968" customWidth="1"/>
    <col min="8" max="8" width="14.42578125" style="968" customWidth="1"/>
    <col min="9" max="9" width="13.7109375" style="968" customWidth="1"/>
    <col min="10" max="10" width="13.42578125" style="968" customWidth="1"/>
    <col min="11" max="11" width="11" style="968" customWidth="1"/>
    <col min="12" max="12" width="11.5703125" style="968" customWidth="1"/>
    <col min="13" max="13" width="10.7109375" style="968" customWidth="1"/>
    <col min="14" max="14" width="11" style="968" customWidth="1"/>
    <col min="15" max="15" width="13.85546875" style="968" customWidth="1"/>
    <col min="16" max="16" width="12.42578125" style="968" customWidth="1"/>
    <col min="17" max="17" width="13.7109375" style="997" customWidth="1"/>
    <col min="18" max="18" width="14.28515625" style="968" customWidth="1"/>
    <col min="19" max="19" width="11.7109375" style="968" customWidth="1"/>
    <col min="20" max="20" width="12" style="968" customWidth="1"/>
    <col min="21" max="21" width="12.28515625" style="968" customWidth="1"/>
    <col min="22" max="22" width="12.5703125" style="968" customWidth="1"/>
    <col min="23" max="23" width="14.28515625" style="968" customWidth="1"/>
    <col min="24" max="24" width="13" style="968" customWidth="1"/>
    <col min="25" max="256" width="9.140625" style="968"/>
    <col min="257" max="258" width="5.28515625" style="968" customWidth="1"/>
    <col min="259" max="259" width="41.85546875" style="968" customWidth="1"/>
    <col min="260" max="260" width="6.42578125" style="968" customWidth="1"/>
    <col min="261" max="261" width="8.28515625" style="968" customWidth="1"/>
    <col min="262" max="262" width="6" style="968" customWidth="1"/>
    <col min="263" max="263" width="4.85546875" style="968" customWidth="1"/>
    <col min="264" max="264" width="14.42578125" style="968" customWidth="1"/>
    <col min="265" max="265" width="15.28515625" style="968" customWidth="1"/>
    <col min="266" max="266" width="13.7109375" style="968" customWidth="1"/>
    <col min="267" max="267" width="13.5703125" style="968" customWidth="1"/>
    <col min="268" max="268" width="12.7109375" style="968" customWidth="1"/>
    <col min="269" max="269" width="14.28515625" style="968" customWidth="1"/>
    <col min="270" max="270" width="13.42578125" style="968" customWidth="1"/>
    <col min="271" max="271" width="14.5703125" style="968" customWidth="1"/>
    <col min="272" max="272" width="13" style="968" customWidth="1"/>
    <col min="273" max="273" width="14.140625" style="968" customWidth="1"/>
    <col min="274" max="274" width="16" style="968" customWidth="1"/>
    <col min="275" max="275" width="12.7109375" style="968" customWidth="1"/>
    <col min="276" max="276" width="14.140625" style="968" customWidth="1"/>
    <col min="277" max="277" width="13.140625" style="968" customWidth="1"/>
    <col min="278" max="278" width="16" style="968" customWidth="1"/>
    <col min="279" max="279" width="14.85546875" style="968" customWidth="1"/>
    <col min="280" max="280" width="15" style="968" customWidth="1"/>
    <col min="281" max="512" width="9.140625" style="968"/>
    <col min="513" max="514" width="5.28515625" style="968" customWidth="1"/>
    <col min="515" max="515" width="41.85546875" style="968" customWidth="1"/>
    <col min="516" max="516" width="6.42578125" style="968" customWidth="1"/>
    <col min="517" max="517" width="8.28515625" style="968" customWidth="1"/>
    <col min="518" max="518" width="6" style="968" customWidth="1"/>
    <col min="519" max="519" width="4.85546875" style="968" customWidth="1"/>
    <col min="520" max="520" width="14.42578125" style="968" customWidth="1"/>
    <col min="521" max="521" width="15.28515625" style="968" customWidth="1"/>
    <col min="522" max="522" width="13.7109375" style="968" customWidth="1"/>
    <col min="523" max="523" width="13.5703125" style="968" customWidth="1"/>
    <col min="524" max="524" width="12.7109375" style="968" customWidth="1"/>
    <col min="525" max="525" width="14.28515625" style="968" customWidth="1"/>
    <col min="526" max="526" width="13.42578125" style="968" customWidth="1"/>
    <col min="527" max="527" width="14.5703125" style="968" customWidth="1"/>
    <col min="528" max="528" width="13" style="968" customWidth="1"/>
    <col min="529" max="529" width="14.140625" style="968" customWidth="1"/>
    <col min="530" max="530" width="16" style="968" customWidth="1"/>
    <col min="531" max="531" width="12.7109375" style="968" customWidth="1"/>
    <col min="532" max="532" width="14.140625" style="968" customWidth="1"/>
    <col min="533" max="533" width="13.140625" style="968" customWidth="1"/>
    <col min="534" max="534" width="16" style="968" customWidth="1"/>
    <col min="535" max="535" width="14.85546875" style="968" customWidth="1"/>
    <col min="536" max="536" width="15" style="968" customWidth="1"/>
    <col min="537" max="768" width="9.140625" style="968"/>
    <col min="769" max="770" width="5.28515625" style="968" customWidth="1"/>
    <col min="771" max="771" width="41.85546875" style="968" customWidth="1"/>
    <col min="772" max="772" width="6.42578125" style="968" customWidth="1"/>
    <col min="773" max="773" width="8.28515625" style="968" customWidth="1"/>
    <col min="774" max="774" width="6" style="968" customWidth="1"/>
    <col min="775" max="775" width="4.85546875" style="968" customWidth="1"/>
    <col min="776" max="776" width="14.42578125" style="968" customWidth="1"/>
    <col min="777" max="777" width="15.28515625" style="968" customWidth="1"/>
    <col min="778" max="778" width="13.7109375" style="968" customWidth="1"/>
    <col min="779" max="779" width="13.5703125" style="968" customWidth="1"/>
    <col min="780" max="780" width="12.7109375" style="968" customWidth="1"/>
    <col min="781" max="781" width="14.28515625" style="968" customWidth="1"/>
    <col min="782" max="782" width="13.42578125" style="968" customWidth="1"/>
    <col min="783" max="783" width="14.5703125" style="968" customWidth="1"/>
    <col min="784" max="784" width="13" style="968" customWidth="1"/>
    <col min="785" max="785" width="14.140625" style="968" customWidth="1"/>
    <col min="786" max="786" width="16" style="968" customWidth="1"/>
    <col min="787" max="787" width="12.7109375" style="968" customWidth="1"/>
    <col min="788" max="788" width="14.140625" style="968" customWidth="1"/>
    <col min="789" max="789" width="13.140625" style="968" customWidth="1"/>
    <col min="790" max="790" width="16" style="968" customWidth="1"/>
    <col min="791" max="791" width="14.85546875" style="968" customWidth="1"/>
    <col min="792" max="792" width="15" style="968" customWidth="1"/>
    <col min="793" max="1024" width="9.140625" style="968"/>
    <col min="1025" max="1026" width="5.28515625" style="968" customWidth="1"/>
    <col min="1027" max="1027" width="41.85546875" style="968" customWidth="1"/>
    <col min="1028" max="1028" width="6.42578125" style="968" customWidth="1"/>
    <col min="1029" max="1029" width="8.28515625" style="968" customWidth="1"/>
    <col min="1030" max="1030" width="6" style="968" customWidth="1"/>
    <col min="1031" max="1031" width="4.85546875" style="968" customWidth="1"/>
    <col min="1032" max="1032" width="14.42578125" style="968" customWidth="1"/>
    <col min="1033" max="1033" width="15.28515625" style="968" customWidth="1"/>
    <col min="1034" max="1034" width="13.7109375" style="968" customWidth="1"/>
    <col min="1035" max="1035" width="13.5703125" style="968" customWidth="1"/>
    <col min="1036" max="1036" width="12.7109375" style="968" customWidth="1"/>
    <col min="1037" max="1037" width="14.28515625" style="968" customWidth="1"/>
    <col min="1038" max="1038" width="13.42578125" style="968" customWidth="1"/>
    <col min="1039" max="1039" width="14.5703125" style="968" customWidth="1"/>
    <col min="1040" max="1040" width="13" style="968" customWidth="1"/>
    <col min="1041" max="1041" width="14.140625" style="968" customWidth="1"/>
    <col min="1042" max="1042" width="16" style="968" customWidth="1"/>
    <col min="1043" max="1043" width="12.7109375" style="968" customWidth="1"/>
    <col min="1044" max="1044" width="14.140625" style="968" customWidth="1"/>
    <col min="1045" max="1045" width="13.140625" style="968" customWidth="1"/>
    <col min="1046" max="1046" width="16" style="968" customWidth="1"/>
    <col min="1047" max="1047" width="14.85546875" style="968" customWidth="1"/>
    <col min="1048" max="1048" width="15" style="968" customWidth="1"/>
    <col min="1049" max="1280" width="9.140625" style="968"/>
    <col min="1281" max="1282" width="5.28515625" style="968" customWidth="1"/>
    <col min="1283" max="1283" width="41.85546875" style="968" customWidth="1"/>
    <col min="1284" max="1284" width="6.42578125" style="968" customWidth="1"/>
    <col min="1285" max="1285" width="8.28515625" style="968" customWidth="1"/>
    <col min="1286" max="1286" width="6" style="968" customWidth="1"/>
    <col min="1287" max="1287" width="4.85546875" style="968" customWidth="1"/>
    <col min="1288" max="1288" width="14.42578125" style="968" customWidth="1"/>
    <col min="1289" max="1289" width="15.28515625" style="968" customWidth="1"/>
    <col min="1290" max="1290" width="13.7109375" style="968" customWidth="1"/>
    <col min="1291" max="1291" width="13.5703125" style="968" customWidth="1"/>
    <col min="1292" max="1292" width="12.7109375" style="968" customWidth="1"/>
    <col min="1293" max="1293" width="14.28515625" style="968" customWidth="1"/>
    <col min="1294" max="1294" width="13.42578125" style="968" customWidth="1"/>
    <col min="1295" max="1295" width="14.5703125" style="968" customWidth="1"/>
    <col min="1296" max="1296" width="13" style="968" customWidth="1"/>
    <col min="1297" max="1297" width="14.140625" style="968" customWidth="1"/>
    <col min="1298" max="1298" width="16" style="968" customWidth="1"/>
    <col min="1299" max="1299" width="12.7109375" style="968" customWidth="1"/>
    <col min="1300" max="1300" width="14.140625" style="968" customWidth="1"/>
    <col min="1301" max="1301" width="13.140625" style="968" customWidth="1"/>
    <col min="1302" max="1302" width="16" style="968" customWidth="1"/>
    <col min="1303" max="1303" width="14.85546875" style="968" customWidth="1"/>
    <col min="1304" max="1304" width="15" style="968" customWidth="1"/>
    <col min="1305" max="1536" width="9.140625" style="968"/>
    <col min="1537" max="1538" width="5.28515625" style="968" customWidth="1"/>
    <col min="1539" max="1539" width="41.85546875" style="968" customWidth="1"/>
    <col min="1540" max="1540" width="6.42578125" style="968" customWidth="1"/>
    <col min="1541" max="1541" width="8.28515625" style="968" customWidth="1"/>
    <col min="1542" max="1542" width="6" style="968" customWidth="1"/>
    <col min="1543" max="1543" width="4.85546875" style="968" customWidth="1"/>
    <col min="1544" max="1544" width="14.42578125" style="968" customWidth="1"/>
    <col min="1545" max="1545" width="15.28515625" style="968" customWidth="1"/>
    <col min="1546" max="1546" width="13.7109375" style="968" customWidth="1"/>
    <col min="1547" max="1547" width="13.5703125" style="968" customWidth="1"/>
    <col min="1548" max="1548" width="12.7109375" style="968" customWidth="1"/>
    <col min="1549" max="1549" width="14.28515625" style="968" customWidth="1"/>
    <col min="1550" max="1550" width="13.42578125" style="968" customWidth="1"/>
    <col min="1551" max="1551" width="14.5703125" style="968" customWidth="1"/>
    <col min="1552" max="1552" width="13" style="968" customWidth="1"/>
    <col min="1553" max="1553" width="14.140625" style="968" customWidth="1"/>
    <col min="1554" max="1554" width="16" style="968" customWidth="1"/>
    <col min="1555" max="1555" width="12.7109375" style="968" customWidth="1"/>
    <col min="1556" max="1556" width="14.140625" style="968" customWidth="1"/>
    <col min="1557" max="1557" width="13.140625" style="968" customWidth="1"/>
    <col min="1558" max="1558" width="16" style="968" customWidth="1"/>
    <col min="1559" max="1559" width="14.85546875" style="968" customWidth="1"/>
    <col min="1560" max="1560" width="15" style="968" customWidth="1"/>
    <col min="1561" max="1792" width="9.140625" style="968"/>
    <col min="1793" max="1794" width="5.28515625" style="968" customWidth="1"/>
    <col min="1795" max="1795" width="41.85546875" style="968" customWidth="1"/>
    <col min="1796" max="1796" width="6.42578125" style="968" customWidth="1"/>
    <col min="1797" max="1797" width="8.28515625" style="968" customWidth="1"/>
    <col min="1798" max="1798" width="6" style="968" customWidth="1"/>
    <col min="1799" max="1799" width="4.85546875" style="968" customWidth="1"/>
    <col min="1800" max="1800" width="14.42578125" style="968" customWidth="1"/>
    <col min="1801" max="1801" width="15.28515625" style="968" customWidth="1"/>
    <col min="1802" max="1802" width="13.7109375" style="968" customWidth="1"/>
    <col min="1803" max="1803" width="13.5703125" style="968" customWidth="1"/>
    <col min="1804" max="1804" width="12.7109375" style="968" customWidth="1"/>
    <col min="1805" max="1805" width="14.28515625" style="968" customWidth="1"/>
    <col min="1806" max="1806" width="13.42578125" style="968" customWidth="1"/>
    <col min="1807" max="1807" width="14.5703125" style="968" customWidth="1"/>
    <col min="1808" max="1808" width="13" style="968" customWidth="1"/>
    <col min="1809" max="1809" width="14.140625" style="968" customWidth="1"/>
    <col min="1810" max="1810" width="16" style="968" customWidth="1"/>
    <col min="1811" max="1811" width="12.7109375" style="968" customWidth="1"/>
    <col min="1812" max="1812" width="14.140625" style="968" customWidth="1"/>
    <col min="1813" max="1813" width="13.140625" style="968" customWidth="1"/>
    <col min="1814" max="1814" width="16" style="968" customWidth="1"/>
    <col min="1815" max="1815" width="14.85546875" style="968" customWidth="1"/>
    <col min="1816" max="1816" width="15" style="968" customWidth="1"/>
    <col min="1817" max="2048" width="9.140625" style="968"/>
    <col min="2049" max="2050" width="5.28515625" style="968" customWidth="1"/>
    <col min="2051" max="2051" width="41.85546875" style="968" customWidth="1"/>
    <col min="2052" max="2052" width="6.42578125" style="968" customWidth="1"/>
    <col min="2053" max="2053" width="8.28515625" style="968" customWidth="1"/>
    <col min="2054" max="2054" width="6" style="968" customWidth="1"/>
    <col min="2055" max="2055" width="4.85546875" style="968" customWidth="1"/>
    <col min="2056" max="2056" width="14.42578125" style="968" customWidth="1"/>
    <col min="2057" max="2057" width="15.28515625" style="968" customWidth="1"/>
    <col min="2058" max="2058" width="13.7109375" style="968" customWidth="1"/>
    <col min="2059" max="2059" width="13.5703125" style="968" customWidth="1"/>
    <col min="2060" max="2060" width="12.7109375" style="968" customWidth="1"/>
    <col min="2061" max="2061" width="14.28515625" style="968" customWidth="1"/>
    <col min="2062" max="2062" width="13.42578125" style="968" customWidth="1"/>
    <col min="2063" max="2063" width="14.5703125" style="968" customWidth="1"/>
    <col min="2064" max="2064" width="13" style="968" customWidth="1"/>
    <col min="2065" max="2065" width="14.140625" style="968" customWidth="1"/>
    <col min="2066" max="2066" width="16" style="968" customWidth="1"/>
    <col min="2067" max="2067" width="12.7109375" style="968" customWidth="1"/>
    <col min="2068" max="2068" width="14.140625" style="968" customWidth="1"/>
    <col min="2069" max="2069" width="13.140625" style="968" customWidth="1"/>
    <col min="2070" max="2070" width="16" style="968" customWidth="1"/>
    <col min="2071" max="2071" width="14.85546875" style="968" customWidth="1"/>
    <col min="2072" max="2072" width="15" style="968" customWidth="1"/>
    <col min="2073" max="2304" width="9.140625" style="968"/>
    <col min="2305" max="2306" width="5.28515625" style="968" customWidth="1"/>
    <col min="2307" max="2307" width="41.85546875" style="968" customWidth="1"/>
    <col min="2308" max="2308" width="6.42578125" style="968" customWidth="1"/>
    <col min="2309" max="2309" width="8.28515625" style="968" customWidth="1"/>
    <col min="2310" max="2310" width="6" style="968" customWidth="1"/>
    <col min="2311" max="2311" width="4.85546875" style="968" customWidth="1"/>
    <col min="2312" max="2312" width="14.42578125" style="968" customWidth="1"/>
    <col min="2313" max="2313" width="15.28515625" style="968" customWidth="1"/>
    <col min="2314" max="2314" width="13.7109375" style="968" customWidth="1"/>
    <col min="2315" max="2315" width="13.5703125" style="968" customWidth="1"/>
    <col min="2316" max="2316" width="12.7109375" style="968" customWidth="1"/>
    <col min="2317" max="2317" width="14.28515625" style="968" customWidth="1"/>
    <col min="2318" max="2318" width="13.42578125" style="968" customWidth="1"/>
    <col min="2319" max="2319" width="14.5703125" style="968" customWidth="1"/>
    <col min="2320" max="2320" width="13" style="968" customWidth="1"/>
    <col min="2321" max="2321" width="14.140625" style="968" customWidth="1"/>
    <col min="2322" max="2322" width="16" style="968" customWidth="1"/>
    <col min="2323" max="2323" width="12.7109375" style="968" customWidth="1"/>
    <col min="2324" max="2324" width="14.140625" style="968" customWidth="1"/>
    <col min="2325" max="2325" width="13.140625" style="968" customWidth="1"/>
    <col min="2326" max="2326" width="16" style="968" customWidth="1"/>
    <col min="2327" max="2327" width="14.85546875" style="968" customWidth="1"/>
    <col min="2328" max="2328" width="15" style="968" customWidth="1"/>
    <col min="2329" max="2560" width="9.140625" style="968"/>
    <col min="2561" max="2562" width="5.28515625" style="968" customWidth="1"/>
    <col min="2563" max="2563" width="41.85546875" style="968" customWidth="1"/>
    <col min="2564" max="2564" width="6.42578125" style="968" customWidth="1"/>
    <col min="2565" max="2565" width="8.28515625" style="968" customWidth="1"/>
    <col min="2566" max="2566" width="6" style="968" customWidth="1"/>
    <col min="2567" max="2567" width="4.85546875" style="968" customWidth="1"/>
    <col min="2568" max="2568" width="14.42578125" style="968" customWidth="1"/>
    <col min="2569" max="2569" width="15.28515625" style="968" customWidth="1"/>
    <col min="2570" max="2570" width="13.7109375" style="968" customWidth="1"/>
    <col min="2571" max="2571" width="13.5703125" style="968" customWidth="1"/>
    <col min="2572" max="2572" width="12.7109375" style="968" customWidth="1"/>
    <col min="2573" max="2573" width="14.28515625" style="968" customWidth="1"/>
    <col min="2574" max="2574" width="13.42578125" style="968" customWidth="1"/>
    <col min="2575" max="2575" width="14.5703125" style="968" customWidth="1"/>
    <col min="2576" max="2576" width="13" style="968" customWidth="1"/>
    <col min="2577" max="2577" width="14.140625" style="968" customWidth="1"/>
    <col min="2578" max="2578" width="16" style="968" customWidth="1"/>
    <col min="2579" max="2579" width="12.7109375" style="968" customWidth="1"/>
    <col min="2580" max="2580" width="14.140625" style="968" customWidth="1"/>
    <col min="2581" max="2581" width="13.140625" style="968" customWidth="1"/>
    <col min="2582" max="2582" width="16" style="968" customWidth="1"/>
    <col min="2583" max="2583" width="14.85546875" style="968" customWidth="1"/>
    <col min="2584" max="2584" width="15" style="968" customWidth="1"/>
    <col min="2585" max="2816" width="9.140625" style="968"/>
    <col min="2817" max="2818" width="5.28515625" style="968" customWidth="1"/>
    <col min="2819" max="2819" width="41.85546875" style="968" customWidth="1"/>
    <col min="2820" max="2820" width="6.42578125" style="968" customWidth="1"/>
    <col min="2821" max="2821" width="8.28515625" style="968" customWidth="1"/>
    <col min="2822" max="2822" width="6" style="968" customWidth="1"/>
    <col min="2823" max="2823" width="4.85546875" style="968" customWidth="1"/>
    <col min="2824" max="2824" width="14.42578125" style="968" customWidth="1"/>
    <col min="2825" max="2825" width="15.28515625" style="968" customWidth="1"/>
    <col min="2826" max="2826" width="13.7109375" style="968" customWidth="1"/>
    <col min="2827" max="2827" width="13.5703125" style="968" customWidth="1"/>
    <col min="2828" max="2828" width="12.7109375" style="968" customWidth="1"/>
    <col min="2829" max="2829" width="14.28515625" style="968" customWidth="1"/>
    <col min="2830" max="2830" width="13.42578125" style="968" customWidth="1"/>
    <col min="2831" max="2831" width="14.5703125" style="968" customWidth="1"/>
    <col min="2832" max="2832" width="13" style="968" customWidth="1"/>
    <col min="2833" max="2833" width="14.140625" style="968" customWidth="1"/>
    <col min="2834" max="2834" width="16" style="968" customWidth="1"/>
    <col min="2835" max="2835" width="12.7109375" style="968" customWidth="1"/>
    <col min="2836" max="2836" width="14.140625" style="968" customWidth="1"/>
    <col min="2837" max="2837" width="13.140625" style="968" customWidth="1"/>
    <col min="2838" max="2838" width="16" style="968" customWidth="1"/>
    <col min="2839" max="2839" width="14.85546875" style="968" customWidth="1"/>
    <col min="2840" max="2840" width="15" style="968" customWidth="1"/>
    <col min="2841" max="3072" width="9.140625" style="968"/>
    <col min="3073" max="3074" width="5.28515625" style="968" customWidth="1"/>
    <col min="3075" max="3075" width="41.85546875" style="968" customWidth="1"/>
    <col min="3076" max="3076" width="6.42578125" style="968" customWidth="1"/>
    <col min="3077" max="3077" width="8.28515625" style="968" customWidth="1"/>
    <col min="3078" max="3078" width="6" style="968" customWidth="1"/>
    <col min="3079" max="3079" width="4.85546875" style="968" customWidth="1"/>
    <col min="3080" max="3080" width="14.42578125" style="968" customWidth="1"/>
    <col min="3081" max="3081" width="15.28515625" style="968" customWidth="1"/>
    <col min="3082" max="3082" width="13.7109375" style="968" customWidth="1"/>
    <col min="3083" max="3083" width="13.5703125" style="968" customWidth="1"/>
    <col min="3084" max="3084" width="12.7109375" style="968" customWidth="1"/>
    <col min="3085" max="3085" width="14.28515625" style="968" customWidth="1"/>
    <col min="3086" max="3086" width="13.42578125" style="968" customWidth="1"/>
    <col min="3087" max="3087" width="14.5703125" style="968" customWidth="1"/>
    <col min="3088" max="3088" width="13" style="968" customWidth="1"/>
    <col min="3089" max="3089" width="14.140625" style="968" customWidth="1"/>
    <col min="3090" max="3090" width="16" style="968" customWidth="1"/>
    <col min="3091" max="3091" width="12.7109375" style="968" customWidth="1"/>
    <col min="3092" max="3092" width="14.140625" style="968" customWidth="1"/>
    <col min="3093" max="3093" width="13.140625" style="968" customWidth="1"/>
    <col min="3094" max="3094" width="16" style="968" customWidth="1"/>
    <col min="3095" max="3095" width="14.85546875" style="968" customWidth="1"/>
    <col min="3096" max="3096" width="15" style="968" customWidth="1"/>
    <col min="3097" max="3328" width="9.140625" style="968"/>
    <col min="3329" max="3330" width="5.28515625" style="968" customWidth="1"/>
    <col min="3331" max="3331" width="41.85546875" style="968" customWidth="1"/>
    <col min="3332" max="3332" width="6.42578125" style="968" customWidth="1"/>
    <col min="3333" max="3333" width="8.28515625" style="968" customWidth="1"/>
    <col min="3334" max="3334" width="6" style="968" customWidth="1"/>
    <col min="3335" max="3335" width="4.85546875" style="968" customWidth="1"/>
    <col min="3336" max="3336" width="14.42578125" style="968" customWidth="1"/>
    <col min="3337" max="3337" width="15.28515625" style="968" customWidth="1"/>
    <col min="3338" max="3338" width="13.7109375" style="968" customWidth="1"/>
    <col min="3339" max="3339" width="13.5703125" style="968" customWidth="1"/>
    <col min="3340" max="3340" width="12.7109375" style="968" customWidth="1"/>
    <col min="3341" max="3341" width="14.28515625" style="968" customWidth="1"/>
    <col min="3342" max="3342" width="13.42578125" style="968" customWidth="1"/>
    <col min="3343" max="3343" width="14.5703125" style="968" customWidth="1"/>
    <col min="3344" max="3344" width="13" style="968" customWidth="1"/>
    <col min="3345" max="3345" width="14.140625" style="968" customWidth="1"/>
    <col min="3346" max="3346" width="16" style="968" customWidth="1"/>
    <col min="3347" max="3347" width="12.7109375" style="968" customWidth="1"/>
    <col min="3348" max="3348" width="14.140625" style="968" customWidth="1"/>
    <col min="3349" max="3349" width="13.140625" style="968" customWidth="1"/>
    <col min="3350" max="3350" width="16" style="968" customWidth="1"/>
    <col min="3351" max="3351" width="14.85546875" style="968" customWidth="1"/>
    <col min="3352" max="3352" width="15" style="968" customWidth="1"/>
    <col min="3353" max="3584" width="9.140625" style="968"/>
    <col min="3585" max="3586" width="5.28515625" style="968" customWidth="1"/>
    <col min="3587" max="3587" width="41.85546875" style="968" customWidth="1"/>
    <col min="3588" max="3588" width="6.42578125" style="968" customWidth="1"/>
    <col min="3589" max="3589" width="8.28515625" style="968" customWidth="1"/>
    <col min="3590" max="3590" width="6" style="968" customWidth="1"/>
    <col min="3591" max="3591" width="4.85546875" style="968" customWidth="1"/>
    <col min="3592" max="3592" width="14.42578125" style="968" customWidth="1"/>
    <col min="3593" max="3593" width="15.28515625" style="968" customWidth="1"/>
    <col min="3594" max="3594" width="13.7109375" style="968" customWidth="1"/>
    <col min="3595" max="3595" width="13.5703125" style="968" customWidth="1"/>
    <col min="3596" max="3596" width="12.7109375" style="968" customWidth="1"/>
    <col min="3597" max="3597" width="14.28515625" style="968" customWidth="1"/>
    <col min="3598" max="3598" width="13.42578125" style="968" customWidth="1"/>
    <col min="3599" max="3599" width="14.5703125" style="968" customWidth="1"/>
    <col min="3600" max="3600" width="13" style="968" customWidth="1"/>
    <col min="3601" max="3601" width="14.140625" style="968" customWidth="1"/>
    <col min="3602" max="3602" width="16" style="968" customWidth="1"/>
    <col min="3603" max="3603" width="12.7109375" style="968" customWidth="1"/>
    <col min="3604" max="3604" width="14.140625" style="968" customWidth="1"/>
    <col min="3605" max="3605" width="13.140625" style="968" customWidth="1"/>
    <col min="3606" max="3606" width="16" style="968" customWidth="1"/>
    <col min="3607" max="3607" width="14.85546875" style="968" customWidth="1"/>
    <col min="3608" max="3608" width="15" style="968" customWidth="1"/>
    <col min="3609" max="3840" width="9.140625" style="968"/>
    <col min="3841" max="3842" width="5.28515625" style="968" customWidth="1"/>
    <col min="3843" max="3843" width="41.85546875" style="968" customWidth="1"/>
    <col min="3844" max="3844" width="6.42578125" style="968" customWidth="1"/>
    <col min="3845" max="3845" width="8.28515625" style="968" customWidth="1"/>
    <col min="3846" max="3846" width="6" style="968" customWidth="1"/>
    <col min="3847" max="3847" width="4.85546875" style="968" customWidth="1"/>
    <col min="3848" max="3848" width="14.42578125" style="968" customWidth="1"/>
    <col min="3849" max="3849" width="15.28515625" style="968" customWidth="1"/>
    <col min="3850" max="3850" width="13.7109375" style="968" customWidth="1"/>
    <col min="3851" max="3851" width="13.5703125" style="968" customWidth="1"/>
    <col min="3852" max="3852" width="12.7109375" style="968" customWidth="1"/>
    <col min="3853" max="3853" width="14.28515625" style="968" customWidth="1"/>
    <col min="3854" max="3854" width="13.42578125" style="968" customWidth="1"/>
    <col min="3855" max="3855" width="14.5703125" style="968" customWidth="1"/>
    <col min="3856" max="3856" width="13" style="968" customWidth="1"/>
    <col min="3857" max="3857" width="14.140625" style="968" customWidth="1"/>
    <col min="3858" max="3858" width="16" style="968" customWidth="1"/>
    <col min="3859" max="3859" width="12.7109375" style="968" customWidth="1"/>
    <col min="3860" max="3860" width="14.140625" style="968" customWidth="1"/>
    <col min="3861" max="3861" width="13.140625" style="968" customWidth="1"/>
    <col min="3862" max="3862" width="16" style="968" customWidth="1"/>
    <col min="3863" max="3863" width="14.85546875" style="968" customWidth="1"/>
    <col min="3864" max="3864" width="15" style="968" customWidth="1"/>
    <col min="3865" max="4096" width="9.140625" style="968"/>
    <col min="4097" max="4098" width="5.28515625" style="968" customWidth="1"/>
    <col min="4099" max="4099" width="41.85546875" style="968" customWidth="1"/>
    <col min="4100" max="4100" width="6.42578125" style="968" customWidth="1"/>
    <col min="4101" max="4101" width="8.28515625" style="968" customWidth="1"/>
    <col min="4102" max="4102" width="6" style="968" customWidth="1"/>
    <col min="4103" max="4103" width="4.85546875" style="968" customWidth="1"/>
    <col min="4104" max="4104" width="14.42578125" style="968" customWidth="1"/>
    <col min="4105" max="4105" width="15.28515625" style="968" customWidth="1"/>
    <col min="4106" max="4106" width="13.7109375" style="968" customWidth="1"/>
    <col min="4107" max="4107" width="13.5703125" style="968" customWidth="1"/>
    <col min="4108" max="4108" width="12.7109375" style="968" customWidth="1"/>
    <col min="4109" max="4109" width="14.28515625" style="968" customWidth="1"/>
    <col min="4110" max="4110" width="13.42578125" style="968" customWidth="1"/>
    <col min="4111" max="4111" width="14.5703125" style="968" customWidth="1"/>
    <col min="4112" max="4112" width="13" style="968" customWidth="1"/>
    <col min="4113" max="4113" width="14.140625" style="968" customWidth="1"/>
    <col min="4114" max="4114" width="16" style="968" customWidth="1"/>
    <col min="4115" max="4115" width="12.7109375" style="968" customWidth="1"/>
    <col min="4116" max="4116" width="14.140625" style="968" customWidth="1"/>
    <col min="4117" max="4117" width="13.140625" style="968" customWidth="1"/>
    <col min="4118" max="4118" width="16" style="968" customWidth="1"/>
    <col min="4119" max="4119" width="14.85546875" style="968" customWidth="1"/>
    <col min="4120" max="4120" width="15" style="968" customWidth="1"/>
    <col min="4121" max="4352" width="9.140625" style="968"/>
    <col min="4353" max="4354" width="5.28515625" style="968" customWidth="1"/>
    <col min="4355" max="4355" width="41.85546875" style="968" customWidth="1"/>
    <col min="4356" max="4356" width="6.42578125" style="968" customWidth="1"/>
    <col min="4357" max="4357" width="8.28515625" style="968" customWidth="1"/>
    <col min="4358" max="4358" width="6" style="968" customWidth="1"/>
    <col min="4359" max="4359" width="4.85546875" style="968" customWidth="1"/>
    <col min="4360" max="4360" width="14.42578125" style="968" customWidth="1"/>
    <col min="4361" max="4361" width="15.28515625" style="968" customWidth="1"/>
    <col min="4362" max="4362" width="13.7109375" style="968" customWidth="1"/>
    <col min="4363" max="4363" width="13.5703125" style="968" customWidth="1"/>
    <col min="4364" max="4364" width="12.7109375" style="968" customWidth="1"/>
    <col min="4365" max="4365" width="14.28515625" style="968" customWidth="1"/>
    <col min="4366" max="4366" width="13.42578125" style="968" customWidth="1"/>
    <col min="4367" max="4367" width="14.5703125" style="968" customWidth="1"/>
    <col min="4368" max="4368" width="13" style="968" customWidth="1"/>
    <col min="4369" max="4369" width="14.140625" style="968" customWidth="1"/>
    <col min="4370" max="4370" width="16" style="968" customWidth="1"/>
    <col min="4371" max="4371" width="12.7109375" style="968" customWidth="1"/>
    <col min="4372" max="4372" width="14.140625" style="968" customWidth="1"/>
    <col min="4373" max="4373" width="13.140625" style="968" customWidth="1"/>
    <col min="4374" max="4374" width="16" style="968" customWidth="1"/>
    <col min="4375" max="4375" width="14.85546875" style="968" customWidth="1"/>
    <col min="4376" max="4376" width="15" style="968" customWidth="1"/>
    <col min="4377" max="4608" width="9.140625" style="968"/>
    <col min="4609" max="4610" width="5.28515625" style="968" customWidth="1"/>
    <col min="4611" max="4611" width="41.85546875" style="968" customWidth="1"/>
    <col min="4612" max="4612" width="6.42578125" style="968" customWidth="1"/>
    <col min="4613" max="4613" width="8.28515625" style="968" customWidth="1"/>
    <col min="4614" max="4614" width="6" style="968" customWidth="1"/>
    <col min="4615" max="4615" width="4.85546875" style="968" customWidth="1"/>
    <col min="4616" max="4616" width="14.42578125" style="968" customWidth="1"/>
    <col min="4617" max="4617" width="15.28515625" style="968" customWidth="1"/>
    <col min="4618" max="4618" width="13.7109375" style="968" customWidth="1"/>
    <col min="4619" max="4619" width="13.5703125" style="968" customWidth="1"/>
    <col min="4620" max="4620" width="12.7109375" style="968" customWidth="1"/>
    <col min="4621" max="4621" width="14.28515625" style="968" customWidth="1"/>
    <col min="4622" max="4622" width="13.42578125" style="968" customWidth="1"/>
    <col min="4623" max="4623" width="14.5703125" style="968" customWidth="1"/>
    <col min="4624" max="4624" width="13" style="968" customWidth="1"/>
    <col min="4625" max="4625" width="14.140625" style="968" customWidth="1"/>
    <col min="4626" max="4626" width="16" style="968" customWidth="1"/>
    <col min="4627" max="4627" width="12.7109375" style="968" customWidth="1"/>
    <col min="4628" max="4628" width="14.140625" style="968" customWidth="1"/>
    <col min="4629" max="4629" width="13.140625" style="968" customWidth="1"/>
    <col min="4630" max="4630" width="16" style="968" customWidth="1"/>
    <col min="4631" max="4631" width="14.85546875" style="968" customWidth="1"/>
    <col min="4632" max="4632" width="15" style="968" customWidth="1"/>
    <col min="4633" max="4864" width="9.140625" style="968"/>
    <col min="4865" max="4866" width="5.28515625" style="968" customWidth="1"/>
    <col min="4867" max="4867" width="41.85546875" style="968" customWidth="1"/>
    <col min="4868" max="4868" width="6.42578125" style="968" customWidth="1"/>
    <col min="4869" max="4869" width="8.28515625" style="968" customWidth="1"/>
    <col min="4870" max="4870" width="6" style="968" customWidth="1"/>
    <col min="4871" max="4871" width="4.85546875" style="968" customWidth="1"/>
    <col min="4872" max="4872" width="14.42578125" style="968" customWidth="1"/>
    <col min="4873" max="4873" width="15.28515625" style="968" customWidth="1"/>
    <col min="4874" max="4874" width="13.7109375" style="968" customWidth="1"/>
    <col min="4875" max="4875" width="13.5703125" style="968" customWidth="1"/>
    <col min="4876" max="4876" width="12.7109375" style="968" customWidth="1"/>
    <col min="4877" max="4877" width="14.28515625" style="968" customWidth="1"/>
    <col min="4878" max="4878" width="13.42578125" style="968" customWidth="1"/>
    <col min="4879" max="4879" width="14.5703125" style="968" customWidth="1"/>
    <col min="4880" max="4880" width="13" style="968" customWidth="1"/>
    <col min="4881" max="4881" width="14.140625" style="968" customWidth="1"/>
    <col min="4882" max="4882" width="16" style="968" customWidth="1"/>
    <col min="4883" max="4883" width="12.7109375" style="968" customWidth="1"/>
    <col min="4884" max="4884" width="14.140625" style="968" customWidth="1"/>
    <col min="4885" max="4885" width="13.140625" style="968" customWidth="1"/>
    <col min="4886" max="4886" width="16" style="968" customWidth="1"/>
    <col min="4887" max="4887" width="14.85546875" style="968" customWidth="1"/>
    <col min="4888" max="4888" width="15" style="968" customWidth="1"/>
    <col min="4889" max="5120" width="9.140625" style="968"/>
    <col min="5121" max="5122" width="5.28515625" style="968" customWidth="1"/>
    <col min="5123" max="5123" width="41.85546875" style="968" customWidth="1"/>
    <col min="5124" max="5124" width="6.42578125" style="968" customWidth="1"/>
    <col min="5125" max="5125" width="8.28515625" style="968" customWidth="1"/>
    <col min="5126" max="5126" width="6" style="968" customWidth="1"/>
    <col min="5127" max="5127" width="4.85546875" style="968" customWidth="1"/>
    <col min="5128" max="5128" width="14.42578125" style="968" customWidth="1"/>
    <col min="5129" max="5129" width="15.28515625" style="968" customWidth="1"/>
    <col min="5130" max="5130" width="13.7109375" style="968" customWidth="1"/>
    <col min="5131" max="5131" width="13.5703125" style="968" customWidth="1"/>
    <col min="5132" max="5132" width="12.7109375" style="968" customWidth="1"/>
    <col min="5133" max="5133" width="14.28515625" style="968" customWidth="1"/>
    <col min="5134" max="5134" width="13.42578125" style="968" customWidth="1"/>
    <col min="5135" max="5135" width="14.5703125" style="968" customWidth="1"/>
    <col min="5136" max="5136" width="13" style="968" customWidth="1"/>
    <col min="5137" max="5137" width="14.140625" style="968" customWidth="1"/>
    <col min="5138" max="5138" width="16" style="968" customWidth="1"/>
    <col min="5139" max="5139" width="12.7109375" style="968" customWidth="1"/>
    <col min="5140" max="5140" width="14.140625" style="968" customWidth="1"/>
    <col min="5141" max="5141" width="13.140625" style="968" customWidth="1"/>
    <col min="5142" max="5142" width="16" style="968" customWidth="1"/>
    <col min="5143" max="5143" width="14.85546875" style="968" customWidth="1"/>
    <col min="5144" max="5144" width="15" style="968" customWidth="1"/>
    <col min="5145" max="5376" width="9.140625" style="968"/>
    <col min="5377" max="5378" width="5.28515625" style="968" customWidth="1"/>
    <col min="5379" max="5379" width="41.85546875" style="968" customWidth="1"/>
    <col min="5380" max="5380" width="6.42578125" style="968" customWidth="1"/>
    <col min="5381" max="5381" width="8.28515625" style="968" customWidth="1"/>
    <col min="5382" max="5382" width="6" style="968" customWidth="1"/>
    <col min="5383" max="5383" width="4.85546875" style="968" customWidth="1"/>
    <col min="5384" max="5384" width="14.42578125" style="968" customWidth="1"/>
    <col min="5385" max="5385" width="15.28515625" style="968" customWidth="1"/>
    <col min="5386" max="5386" width="13.7109375" style="968" customWidth="1"/>
    <col min="5387" max="5387" width="13.5703125" style="968" customWidth="1"/>
    <col min="5388" max="5388" width="12.7109375" style="968" customWidth="1"/>
    <col min="5389" max="5389" width="14.28515625" style="968" customWidth="1"/>
    <col min="5390" max="5390" width="13.42578125" style="968" customWidth="1"/>
    <col min="5391" max="5391" width="14.5703125" style="968" customWidth="1"/>
    <col min="5392" max="5392" width="13" style="968" customWidth="1"/>
    <col min="5393" max="5393" width="14.140625" style="968" customWidth="1"/>
    <col min="5394" max="5394" width="16" style="968" customWidth="1"/>
    <col min="5395" max="5395" width="12.7109375" style="968" customWidth="1"/>
    <col min="5396" max="5396" width="14.140625" style="968" customWidth="1"/>
    <col min="5397" max="5397" width="13.140625" style="968" customWidth="1"/>
    <col min="5398" max="5398" width="16" style="968" customWidth="1"/>
    <col min="5399" max="5399" width="14.85546875" style="968" customWidth="1"/>
    <col min="5400" max="5400" width="15" style="968" customWidth="1"/>
    <col min="5401" max="5632" width="9.140625" style="968"/>
    <col min="5633" max="5634" width="5.28515625" style="968" customWidth="1"/>
    <col min="5635" max="5635" width="41.85546875" style="968" customWidth="1"/>
    <col min="5636" max="5636" width="6.42578125" style="968" customWidth="1"/>
    <col min="5637" max="5637" width="8.28515625" style="968" customWidth="1"/>
    <col min="5638" max="5638" width="6" style="968" customWidth="1"/>
    <col min="5639" max="5639" width="4.85546875" style="968" customWidth="1"/>
    <col min="5640" max="5640" width="14.42578125" style="968" customWidth="1"/>
    <col min="5641" max="5641" width="15.28515625" style="968" customWidth="1"/>
    <col min="5642" max="5642" width="13.7109375" style="968" customWidth="1"/>
    <col min="5643" max="5643" width="13.5703125" style="968" customWidth="1"/>
    <col min="5644" max="5644" width="12.7109375" style="968" customWidth="1"/>
    <col min="5645" max="5645" width="14.28515625" style="968" customWidth="1"/>
    <col min="5646" max="5646" width="13.42578125" style="968" customWidth="1"/>
    <col min="5647" max="5647" width="14.5703125" style="968" customWidth="1"/>
    <col min="5648" max="5648" width="13" style="968" customWidth="1"/>
    <col min="5649" max="5649" width="14.140625" style="968" customWidth="1"/>
    <col min="5650" max="5650" width="16" style="968" customWidth="1"/>
    <col min="5651" max="5651" width="12.7109375" style="968" customWidth="1"/>
    <col min="5652" max="5652" width="14.140625" style="968" customWidth="1"/>
    <col min="5653" max="5653" width="13.140625" style="968" customWidth="1"/>
    <col min="5654" max="5654" width="16" style="968" customWidth="1"/>
    <col min="5655" max="5655" width="14.85546875" style="968" customWidth="1"/>
    <col min="5656" max="5656" width="15" style="968" customWidth="1"/>
    <col min="5657" max="5888" width="9.140625" style="968"/>
    <col min="5889" max="5890" width="5.28515625" style="968" customWidth="1"/>
    <col min="5891" max="5891" width="41.85546875" style="968" customWidth="1"/>
    <col min="5892" max="5892" width="6.42578125" style="968" customWidth="1"/>
    <col min="5893" max="5893" width="8.28515625" style="968" customWidth="1"/>
    <col min="5894" max="5894" width="6" style="968" customWidth="1"/>
    <col min="5895" max="5895" width="4.85546875" style="968" customWidth="1"/>
    <col min="5896" max="5896" width="14.42578125" style="968" customWidth="1"/>
    <col min="5897" max="5897" width="15.28515625" style="968" customWidth="1"/>
    <col min="5898" max="5898" width="13.7109375" style="968" customWidth="1"/>
    <col min="5899" max="5899" width="13.5703125" style="968" customWidth="1"/>
    <col min="5900" max="5900" width="12.7109375" style="968" customWidth="1"/>
    <col min="5901" max="5901" width="14.28515625" style="968" customWidth="1"/>
    <col min="5902" max="5902" width="13.42578125" style="968" customWidth="1"/>
    <col min="5903" max="5903" width="14.5703125" style="968" customWidth="1"/>
    <col min="5904" max="5904" width="13" style="968" customWidth="1"/>
    <col min="5905" max="5905" width="14.140625" style="968" customWidth="1"/>
    <col min="5906" max="5906" width="16" style="968" customWidth="1"/>
    <col min="5907" max="5907" width="12.7109375" style="968" customWidth="1"/>
    <col min="5908" max="5908" width="14.140625" style="968" customWidth="1"/>
    <col min="5909" max="5909" width="13.140625" style="968" customWidth="1"/>
    <col min="5910" max="5910" width="16" style="968" customWidth="1"/>
    <col min="5911" max="5911" width="14.85546875" style="968" customWidth="1"/>
    <col min="5912" max="5912" width="15" style="968" customWidth="1"/>
    <col min="5913" max="6144" width="9.140625" style="968"/>
    <col min="6145" max="6146" width="5.28515625" style="968" customWidth="1"/>
    <col min="6147" max="6147" width="41.85546875" style="968" customWidth="1"/>
    <col min="6148" max="6148" width="6.42578125" style="968" customWidth="1"/>
    <col min="6149" max="6149" width="8.28515625" style="968" customWidth="1"/>
    <col min="6150" max="6150" width="6" style="968" customWidth="1"/>
    <col min="6151" max="6151" width="4.85546875" style="968" customWidth="1"/>
    <col min="6152" max="6152" width="14.42578125" style="968" customWidth="1"/>
    <col min="6153" max="6153" width="15.28515625" style="968" customWidth="1"/>
    <col min="6154" max="6154" width="13.7109375" style="968" customWidth="1"/>
    <col min="6155" max="6155" width="13.5703125" style="968" customWidth="1"/>
    <col min="6156" max="6156" width="12.7109375" style="968" customWidth="1"/>
    <col min="6157" max="6157" width="14.28515625" style="968" customWidth="1"/>
    <col min="6158" max="6158" width="13.42578125" style="968" customWidth="1"/>
    <col min="6159" max="6159" width="14.5703125" style="968" customWidth="1"/>
    <col min="6160" max="6160" width="13" style="968" customWidth="1"/>
    <col min="6161" max="6161" width="14.140625" style="968" customWidth="1"/>
    <col min="6162" max="6162" width="16" style="968" customWidth="1"/>
    <col min="6163" max="6163" width="12.7109375" style="968" customWidth="1"/>
    <col min="6164" max="6164" width="14.140625" style="968" customWidth="1"/>
    <col min="6165" max="6165" width="13.140625" style="968" customWidth="1"/>
    <col min="6166" max="6166" width="16" style="968" customWidth="1"/>
    <col min="6167" max="6167" width="14.85546875" style="968" customWidth="1"/>
    <col min="6168" max="6168" width="15" style="968" customWidth="1"/>
    <col min="6169" max="6400" width="9.140625" style="968"/>
    <col min="6401" max="6402" width="5.28515625" style="968" customWidth="1"/>
    <col min="6403" max="6403" width="41.85546875" style="968" customWidth="1"/>
    <col min="6404" max="6404" width="6.42578125" style="968" customWidth="1"/>
    <col min="6405" max="6405" width="8.28515625" style="968" customWidth="1"/>
    <col min="6406" max="6406" width="6" style="968" customWidth="1"/>
    <col min="6407" max="6407" width="4.85546875" style="968" customWidth="1"/>
    <col min="6408" max="6408" width="14.42578125" style="968" customWidth="1"/>
    <col min="6409" max="6409" width="15.28515625" style="968" customWidth="1"/>
    <col min="6410" max="6410" width="13.7109375" style="968" customWidth="1"/>
    <col min="6411" max="6411" width="13.5703125" style="968" customWidth="1"/>
    <col min="6412" max="6412" width="12.7109375" style="968" customWidth="1"/>
    <col min="6413" max="6413" width="14.28515625" style="968" customWidth="1"/>
    <col min="6414" max="6414" width="13.42578125" style="968" customWidth="1"/>
    <col min="6415" max="6415" width="14.5703125" style="968" customWidth="1"/>
    <col min="6416" max="6416" width="13" style="968" customWidth="1"/>
    <col min="6417" max="6417" width="14.140625" style="968" customWidth="1"/>
    <col min="6418" max="6418" width="16" style="968" customWidth="1"/>
    <col min="6419" max="6419" width="12.7109375" style="968" customWidth="1"/>
    <col min="6420" max="6420" width="14.140625" style="968" customWidth="1"/>
    <col min="6421" max="6421" width="13.140625" style="968" customWidth="1"/>
    <col min="6422" max="6422" width="16" style="968" customWidth="1"/>
    <col min="6423" max="6423" width="14.85546875" style="968" customWidth="1"/>
    <col min="6424" max="6424" width="15" style="968" customWidth="1"/>
    <col min="6425" max="6656" width="9.140625" style="968"/>
    <col min="6657" max="6658" width="5.28515625" style="968" customWidth="1"/>
    <col min="6659" max="6659" width="41.85546875" style="968" customWidth="1"/>
    <col min="6660" max="6660" width="6.42578125" style="968" customWidth="1"/>
    <col min="6661" max="6661" width="8.28515625" style="968" customWidth="1"/>
    <col min="6662" max="6662" width="6" style="968" customWidth="1"/>
    <col min="6663" max="6663" width="4.85546875" style="968" customWidth="1"/>
    <col min="6664" max="6664" width="14.42578125" style="968" customWidth="1"/>
    <col min="6665" max="6665" width="15.28515625" style="968" customWidth="1"/>
    <col min="6666" max="6666" width="13.7109375" style="968" customWidth="1"/>
    <col min="6667" max="6667" width="13.5703125" style="968" customWidth="1"/>
    <col min="6668" max="6668" width="12.7109375" style="968" customWidth="1"/>
    <col min="6669" max="6669" width="14.28515625" style="968" customWidth="1"/>
    <col min="6670" max="6670" width="13.42578125" style="968" customWidth="1"/>
    <col min="6671" max="6671" width="14.5703125" style="968" customWidth="1"/>
    <col min="6672" max="6672" width="13" style="968" customWidth="1"/>
    <col min="6673" max="6673" width="14.140625" style="968" customWidth="1"/>
    <col min="6674" max="6674" width="16" style="968" customWidth="1"/>
    <col min="6675" max="6675" width="12.7109375" style="968" customWidth="1"/>
    <col min="6676" max="6676" width="14.140625" style="968" customWidth="1"/>
    <col min="6677" max="6677" width="13.140625" style="968" customWidth="1"/>
    <col min="6678" max="6678" width="16" style="968" customWidth="1"/>
    <col min="6679" max="6679" width="14.85546875" style="968" customWidth="1"/>
    <col min="6680" max="6680" width="15" style="968" customWidth="1"/>
    <col min="6681" max="6912" width="9.140625" style="968"/>
    <col min="6913" max="6914" width="5.28515625" style="968" customWidth="1"/>
    <col min="6915" max="6915" width="41.85546875" style="968" customWidth="1"/>
    <col min="6916" max="6916" width="6.42578125" style="968" customWidth="1"/>
    <col min="6917" max="6917" width="8.28515625" style="968" customWidth="1"/>
    <col min="6918" max="6918" width="6" style="968" customWidth="1"/>
    <col min="6919" max="6919" width="4.85546875" style="968" customWidth="1"/>
    <col min="6920" max="6920" width="14.42578125" style="968" customWidth="1"/>
    <col min="6921" max="6921" width="15.28515625" style="968" customWidth="1"/>
    <col min="6922" max="6922" width="13.7109375" style="968" customWidth="1"/>
    <col min="6923" max="6923" width="13.5703125" style="968" customWidth="1"/>
    <col min="6924" max="6924" width="12.7109375" style="968" customWidth="1"/>
    <col min="6925" max="6925" width="14.28515625" style="968" customWidth="1"/>
    <col min="6926" max="6926" width="13.42578125" style="968" customWidth="1"/>
    <col min="6927" max="6927" width="14.5703125" style="968" customWidth="1"/>
    <col min="6928" max="6928" width="13" style="968" customWidth="1"/>
    <col min="6929" max="6929" width="14.140625" style="968" customWidth="1"/>
    <col min="6930" max="6930" width="16" style="968" customWidth="1"/>
    <col min="6931" max="6931" width="12.7109375" style="968" customWidth="1"/>
    <col min="6932" max="6932" width="14.140625" style="968" customWidth="1"/>
    <col min="6933" max="6933" width="13.140625" style="968" customWidth="1"/>
    <col min="6934" max="6934" width="16" style="968" customWidth="1"/>
    <col min="6935" max="6935" width="14.85546875" style="968" customWidth="1"/>
    <col min="6936" max="6936" width="15" style="968" customWidth="1"/>
    <col min="6937" max="7168" width="9.140625" style="968"/>
    <col min="7169" max="7170" width="5.28515625" style="968" customWidth="1"/>
    <col min="7171" max="7171" width="41.85546875" style="968" customWidth="1"/>
    <col min="7172" max="7172" width="6.42578125" style="968" customWidth="1"/>
    <col min="7173" max="7173" width="8.28515625" style="968" customWidth="1"/>
    <col min="7174" max="7174" width="6" style="968" customWidth="1"/>
    <col min="7175" max="7175" width="4.85546875" style="968" customWidth="1"/>
    <col min="7176" max="7176" width="14.42578125" style="968" customWidth="1"/>
    <col min="7177" max="7177" width="15.28515625" style="968" customWidth="1"/>
    <col min="7178" max="7178" width="13.7109375" style="968" customWidth="1"/>
    <col min="7179" max="7179" width="13.5703125" style="968" customWidth="1"/>
    <col min="7180" max="7180" width="12.7109375" style="968" customWidth="1"/>
    <col min="7181" max="7181" width="14.28515625" style="968" customWidth="1"/>
    <col min="7182" max="7182" width="13.42578125" style="968" customWidth="1"/>
    <col min="7183" max="7183" width="14.5703125" style="968" customWidth="1"/>
    <col min="7184" max="7184" width="13" style="968" customWidth="1"/>
    <col min="7185" max="7185" width="14.140625" style="968" customWidth="1"/>
    <col min="7186" max="7186" width="16" style="968" customWidth="1"/>
    <col min="7187" max="7187" width="12.7109375" style="968" customWidth="1"/>
    <col min="7188" max="7188" width="14.140625" style="968" customWidth="1"/>
    <col min="7189" max="7189" width="13.140625" style="968" customWidth="1"/>
    <col min="7190" max="7190" width="16" style="968" customWidth="1"/>
    <col min="7191" max="7191" width="14.85546875" style="968" customWidth="1"/>
    <col min="7192" max="7192" width="15" style="968" customWidth="1"/>
    <col min="7193" max="7424" width="9.140625" style="968"/>
    <col min="7425" max="7426" width="5.28515625" style="968" customWidth="1"/>
    <col min="7427" max="7427" width="41.85546875" style="968" customWidth="1"/>
    <col min="7428" max="7428" width="6.42578125" style="968" customWidth="1"/>
    <col min="7429" max="7429" width="8.28515625" style="968" customWidth="1"/>
    <col min="7430" max="7430" width="6" style="968" customWidth="1"/>
    <col min="7431" max="7431" width="4.85546875" style="968" customWidth="1"/>
    <col min="7432" max="7432" width="14.42578125" style="968" customWidth="1"/>
    <col min="7433" max="7433" width="15.28515625" style="968" customWidth="1"/>
    <col min="7434" max="7434" width="13.7109375" style="968" customWidth="1"/>
    <col min="7435" max="7435" width="13.5703125" style="968" customWidth="1"/>
    <col min="7436" max="7436" width="12.7109375" style="968" customWidth="1"/>
    <col min="7437" max="7437" width="14.28515625" style="968" customWidth="1"/>
    <col min="7438" max="7438" width="13.42578125" style="968" customWidth="1"/>
    <col min="7439" max="7439" width="14.5703125" style="968" customWidth="1"/>
    <col min="7440" max="7440" width="13" style="968" customWidth="1"/>
    <col min="7441" max="7441" width="14.140625" style="968" customWidth="1"/>
    <col min="7442" max="7442" width="16" style="968" customWidth="1"/>
    <col min="7443" max="7443" width="12.7109375" style="968" customWidth="1"/>
    <col min="7444" max="7444" width="14.140625" style="968" customWidth="1"/>
    <col min="7445" max="7445" width="13.140625" style="968" customWidth="1"/>
    <col min="7446" max="7446" width="16" style="968" customWidth="1"/>
    <col min="7447" max="7447" width="14.85546875" style="968" customWidth="1"/>
    <col min="7448" max="7448" width="15" style="968" customWidth="1"/>
    <col min="7449" max="7680" width="9.140625" style="968"/>
    <col min="7681" max="7682" width="5.28515625" style="968" customWidth="1"/>
    <col min="7683" max="7683" width="41.85546875" style="968" customWidth="1"/>
    <col min="7684" max="7684" width="6.42578125" style="968" customWidth="1"/>
    <col min="7685" max="7685" width="8.28515625" style="968" customWidth="1"/>
    <col min="7686" max="7686" width="6" style="968" customWidth="1"/>
    <col min="7687" max="7687" width="4.85546875" style="968" customWidth="1"/>
    <col min="7688" max="7688" width="14.42578125" style="968" customWidth="1"/>
    <col min="7689" max="7689" width="15.28515625" style="968" customWidth="1"/>
    <col min="7690" max="7690" width="13.7109375" style="968" customWidth="1"/>
    <col min="7691" max="7691" width="13.5703125" style="968" customWidth="1"/>
    <col min="7692" max="7692" width="12.7109375" style="968" customWidth="1"/>
    <col min="7693" max="7693" width="14.28515625" style="968" customWidth="1"/>
    <col min="7694" max="7694" width="13.42578125" style="968" customWidth="1"/>
    <col min="7695" max="7695" width="14.5703125" style="968" customWidth="1"/>
    <col min="7696" max="7696" width="13" style="968" customWidth="1"/>
    <col min="7697" max="7697" width="14.140625" style="968" customWidth="1"/>
    <col min="7698" max="7698" width="16" style="968" customWidth="1"/>
    <col min="7699" max="7699" width="12.7109375" style="968" customWidth="1"/>
    <col min="7700" max="7700" width="14.140625" style="968" customWidth="1"/>
    <col min="7701" max="7701" width="13.140625" style="968" customWidth="1"/>
    <col min="7702" max="7702" width="16" style="968" customWidth="1"/>
    <col min="7703" max="7703" width="14.85546875" style="968" customWidth="1"/>
    <col min="7704" max="7704" width="15" style="968" customWidth="1"/>
    <col min="7705" max="7936" width="9.140625" style="968"/>
    <col min="7937" max="7938" width="5.28515625" style="968" customWidth="1"/>
    <col min="7939" max="7939" width="41.85546875" style="968" customWidth="1"/>
    <col min="7940" max="7940" width="6.42578125" style="968" customWidth="1"/>
    <col min="7941" max="7941" width="8.28515625" style="968" customWidth="1"/>
    <col min="7942" max="7942" width="6" style="968" customWidth="1"/>
    <col min="7943" max="7943" width="4.85546875" style="968" customWidth="1"/>
    <col min="7944" max="7944" width="14.42578125" style="968" customWidth="1"/>
    <col min="7945" max="7945" width="15.28515625" style="968" customWidth="1"/>
    <col min="7946" max="7946" width="13.7109375" style="968" customWidth="1"/>
    <col min="7947" max="7947" width="13.5703125" style="968" customWidth="1"/>
    <col min="7948" max="7948" width="12.7109375" style="968" customWidth="1"/>
    <col min="7949" max="7949" width="14.28515625" style="968" customWidth="1"/>
    <col min="7950" max="7950" width="13.42578125" style="968" customWidth="1"/>
    <col min="7951" max="7951" width="14.5703125" style="968" customWidth="1"/>
    <col min="7952" max="7952" width="13" style="968" customWidth="1"/>
    <col min="7953" max="7953" width="14.140625" style="968" customWidth="1"/>
    <col min="7954" max="7954" width="16" style="968" customWidth="1"/>
    <col min="7955" max="7955" width="12.7109375" style="968" customWidth="1"/>
    <col min="7956" max="7956" width="14.140625" style="968" customWidth="1"/>
    <col min="7957" max="7957" width="13.140625" style="968" customWidth="1"/>
    <col min="7958" max="7958" width="16" style="968" customWidth="1"/>
    <col min="7959" max="7959" width="14.85546875" style="968" customWidth="1"/>
    <col min="7960" max="7960" width="15" style="968" customWidth="1"/>
    <col min="7961" max="8192" width="9.140625" style="968"/>
    <col min="8193" max="8194" width="5.28515625" style="968" customWidth="1"/>
    <col min="8195" max="8195" width="41.85546875" style="968" customWidth="1"/>
    <col min="8196" max="8196" width="6.42578125" style="968" customWidth="1"/>
    <col min="8197" max="8197" width="8.28515625" style="968" customWidth="1"/>
    <col min="8198" max="8198" width="6" style="968" customWidth="1"/>
    <col min="8199" max="8199" width="4.85546875" style="968" customWidth="1"/>
    <col min="8200" max="8200" width="14.42578125" style="968" customWidth="1"/>
    <col min="8201" max="8201" width="15.28515625" style="968" customWidth="1"/>
    <col min="8202" max="8202" width="13.7109375" style="968" customWidth="1"/>
    <col min="8203" max="8203" width="13.5703125" style="968" customWidth="1"/>
    <col min="8204" max="8204" width="12.7109375" style="968" customWidth="1"/>
    <col min="8205" max="8205" width="14.28515625" style="968" customWidth="1"/>
    <col min="8206" max="8206" width="13.42578125" style="968" customWidth="1"/>
    <col min="8207" max="8207" width="14.5703125" style="968" customWidth="1"/>
    <col min="8208" max="8208" width="13" style="968" customWidth="1"/>
    <col min="8209" max="8209" width="14.140625" style="968" customWidth="1"/>
    <col min="8210" max="8210" width="16" style="968" customWidth="1"/>
    <col min="8211" max="8211" width="12.7109375" style="968" customWidth="1"/>
    <col min="8212" max="8212" width="14.140625" style="968" customWidth="1"/>
    <col min="8213" max="8213" width="13.140625" style="968" customWidth="1"/>
    <col min="8214" max="8214" width="16" style="968" customWidth="1"/>
    <col min="8215" max="8215" width="14.85546875" style="968" customWidth="1"/>
    <col min="8216" max="8216" width="15" style="968" customWidth="1"/>
    <col min="8217" max="8448" width="9.140625" style="968"/>
    <col min="8449" max="8450" width="5.28515625" style="968" customWidth="1"/>
    <col min="8451" max="8451" width="41.85546875" style="968" customWidth="1"/>
    <col min="8452" max="8452" width="6.42578125" style="968" customWidth="1"/>
    <col min="8453" max="8453" width="8.28515625" style="968" customWidth="1"/>
    <col min="8454" max="8454" width="6" style="968" customWidth="1"/>
    <col min="8455" max="8455" width="4.85546875" style="968" customWidth="1"/>
    <col min="8456" max="8456" width="14.42578125" style="968" customWidth="1"/>
    <col min="8457" max="8457" width="15.28515625" style="968" customWidth="1"/>
    <col min="8458" max="8458" width="13.7109375" style="968" customWidth="1"/>
    <col min="8459" max="8459" width="13.5703125" style="968" customWidth="1"/>
    <col min="8460" max="8460" width="12.7109375" style="968" customWidth="1"/>
    <col min="8461" max="8461" width="14.28515625" style="968" customWidth="1"/>
    <col min="8462" max="8462" width="13.42578125" style="968" customWidth="1"/>
    <col min="8463" max="8463" width="14.5703125" style="968" customWidth="1"/>
    <col min="8464" max="8464" width="13" style="968" customWidth="1"/>
    <col min="8465" max="8465" width="14.140625" style="968" customWidth="1"/>
    <col min="8466" max="8466" width="16" style="968" customWidth="1"/>
    <col min="8467" max="8467" width="12.7109375" style="968" customWidth="1"/>
    <col min="8468" max="8468" width="14.140625" style="968" customWidth="1"/>
    <col min="8469" max="8469" width="13.140625" style="968" customWidth="1"/>
    <col min="8470" max="8470" width="16" style="968" customWidth="1"/>
    <col min="8471" max="8471" width="14.85546875" style="968" customWidth="1"/>
    <col min="8472" max="8472" width="15" style="968" customWidth="1"/>
    <col min="8473" max="8704" width="9.140625" style="968"/>
    <col min="8705" max="8706" width="5.28515625" style="968" customWidth="1"/>
    <col min="8707" max="8707" width="41.85546875" style="968" customWidth="1"/>
    <col min="8708" max="8708" width="6.42578125" style="968" customWidth="1"/>
    <col min="8709" max="8709" width="8.28515625" style="968" customWidth="1"/>
    <col min="8710" max="8710" width="6" style="968" customWidth="1"/>
    <col min="8711" max="8711" width="4.85546875" style="968" customWidth="1"/>
    <col min="8712" max="8712" width="14.42578125" style="968" customWidth="1"/>
    <col min="8713" max="8713" width="15.28515625" style="968" customWidth="1"/>
    <col min="8714" max="8714" width="13.7109375" style="968" customWidth="1"/>
    <col min="8715" max="8715" width="13.5703125" style="968" customWidth="1"/>
    <col min="8716" max="8716" width="12.7109375" style="968" customWidth="1"/>
    <col min="8717" max="8717" width="14.28515625" style="968" customWidth="1"/>
    <col min="8718" max="8718" width="13.42578125" style="968" customWidth="1"/>
    <col min="8719" max="8719" width="14.5703125" style="968" customWidth="1"/>
    <col min="8720" max="8720" width="13" style="968" customWidth="1"/>
    <col min="8721" max="8721" width="14.140625" style="968" customWidth="1"/>
    <col min="8722" max="8722" width="16" style="968" customWidth="1"/>
    <col min="8723" max="8723" width="12.7109375" style="968" customWidth="1"/>
    <col min="8724" max="8724" width="14.140625" style="968" customWidth="1"/>
    <col min="8725" max="8725" width="13.140625" style="968" customWidth="1"/>
    <col min="8726" max="8726" width="16" style="968" customWidth="1"/>
    <col min="8727" max="8727" width="14.85546875" style="968" customWidth="1"/>
    <col min="8728" max="8728" width="15" style="968" customWidth="1"/>
    <col min="8729" max="8960" width="9.140625" style="968"/>
    <col min="8961" max="8962" width="5.28515625" style="968" customWidth="1"/>
    <col min="8963" max="8963" width="41.85546875" style="968" customWidth="1"/>
    <col min="8964" max="8964" width="6.42578125" style="968" customWidth="1"/>
    <col min="8965" max="8965" width="8.28515625" style="968" customWidth="1"/>
    <col min="8966" max="8966" width="6" style="968" customWidth="1"/>
    <col min="8967" max="8967" width="4.85546875" style="968" customWidth="1"/>
    <col min="8968" max="8968" width="14.42578125" style="968" customWidth="1"/>
    <col min="8969" max="8969" width="15.28515625" style="968" customWidth="1"/>
    <col min="8970" max="8970" width="13.7109375" style="968" customWidth="1"/>
    <col min="8971" max="8971" width="13.5703125" style="968" customWidth="1"/>
    <col min="8972" max="8972" width="12.7109375" style="968" customWidth="1"/>
    <col min="8973" max="8973" width="14.28515625" style="968" customWidth="1"/>
    <col min="8974" max="8974" width="13.42578125" style="968" customWidth="1"/>
    <col min="8975" max="8975" width="14.5703125" style="968" customWidth="1"/>
    <col min="8976" max="8976" width="13" style="968" customWidth="1"/>
    <col min="8977" max="8977" width="14.140625" style="968" customWidth="1"/>
    <col min="8978" max="8978" width="16" style="968" customWidth="1"/>
    <col min="8979" max="8979" width="12.7109375" style="968" customWidth="1"/>
    <col min="8980" max="8980" width="14.140625" style="968" customWidth="1"/>
    <col min="8981" max="8981" width="13.140625" style="968" customWidth="1"/>
    <col min="8982" max="8982" width="16" style="968" customWidth="1"/>
    <col min="8983" max="8983" width="14.85546875" style="968" customWidth="1"/>
    <col min="8984" max="8984" width="15" style="968" customWidth="1"/>
    <col min="8985" max="9216" width="9.140625" style="968"/>
    <col min="9217" max="9218" width="5.28515625" style="968" customWidth="1"/>
    <col min="9219" max="9219" width="41.85546875" style="968" customWidth="1"/>
    <col min="9220" max="9220" width="6.42578125" style="968" customWidth="1"/>
    <col min="9221" max="9221" width="8.28515625" style="968" customWidth="1"/>
    <col min="9222" max="9222" width="6" style="968" customWidth="1"/>
    <col min="9223" max="9223" width="4.85546875" style="968" customWidth="1"/>
    <col min="9224" max="9224" width="14.42578125" style="968" customWidth="1"/>
    <col min="9225" max="9225" width="15.28515625" style="968" customWidth="1"/>
    <col min="9226" max="9226" width="13.7109375" style="968" customWidth="1"/>
    <col min="9227" max="9227" width="13.5703125" style="968" customWidth="1"/>
    <col min="9228" max="9228" width="12.7109375" style="968" customWidth="1"/>
    <col min="9229" max="9229" width="14.28515625" style="968" customWidth="1"/>
    <col min="9230" max="9230" width="13.42578125" style="968" customWidth="1"/>
    <col min="9231" max="9231" width="14.5703125" style="968" customWidth="1"/>
    <col min="9232" max="9232" width="13" style="968" customWidth="1"/>
    <col min="9233" max="9233" width="14.140625" style="968" customWidth="1"/>
    <col min="9234" max="9234" width="16" style="968" customWidth="1"/>
    <col min="9235" max="9235" width="12.7109375" style="968" customWidth="1"/>
    <col min="9236" max="9236" width="14.140625" style="968" customWidth="1"/>
    <col min="9237" max="9237" width="13.140625" style="968" customWidth="1"/>
    <col min="9238" max="9238" width="16" style="968" customWidth="1"/>
    <col min="9239" max="9239" width="14.85546875" style="968" customWidth="1"/>
    <col min="9240" max="9240" width="15" style="968" customWidth="1"/>
    <col min="9241" max="9472" width="9.140625" style="968"/>
    <col min="9473" max="9474" width="5.28515625" style="968" customWidth="1"/>
    <col min="9475" max="9475" width="41.85546875" style="968" customWidth="1"/>
    <col min="9476" max="9476" width="6.42578125" style="968" customWidth="1"/>
    <col min="9477" max="9477" width="8.28515625" style="968" customWidth="1"/>
    <col min="9478" max="9478" width="6" style="968" customWidth="1"/>
    <col min="9479" max="9479" width="4.85546875" style="968" customWidth="1"/>
    <col min="9480" max="9480" width="14.42578125" style="968" customWidth="1"/>
    <col min="9481" max="9481" width="15.28515625" style="968" customWidth="1"/>
    <col min="9482" max="9482" width="13.7109375" style="968" customWidth="1"/>
    <col min="9483" max="9483" width="13.5703125" style="968" customWidth="1"/>
    <col min="9484" max="9484" width="12.7109375" style="968" customWidth="1"/>
    <col min="9485" max="9485" width="14.28515625" style="968" customWidth="1"/>
    <col min="9486" max="9486" width="13.42578125" style="968" customWidth="1"/>
    <col min="9487" max="9487" width="14.5703125" style="968" customWidth="1"/>
    <col min="9488" max="9488" width="13" style="968" customWidth="1"/>
    <col min="9489" max="9489" width="14.140625" style="968" customWidth="1"/>
    <col min="9490" max="9490" width="16" style="968" customWidth="1"/>
    <col min="9491" max="9491" width="12.7109375" style="968" customWidth="1"/>
    <col min="9492" max="9492" width="14.140625" style="968" customWidth="1"/>
    <col min="9493" max="9493" width="13.140625" style="968" customWidth="1"/>
    <col min="9494" max="9494" width="16" style="968" customWidth="1"/>
    <col min="9495" max="9495" width="14.85546875" style="968" customWidth="1"/>
    <col min="9496" max="9496" width="15" style="968" customWidth="1"/>
    <col min="9497" max="9728" width="9.140625" style="968"/>
    <col min="9729" max="9730" width="5.28515625" style="968" customWidth="1"/>
    <col min="9731" max="9731" width="41.85546875" style="968" customWidth="1"/>
    <col min="9732" max="9732" width="6.42578125" style="968" customWidth="1"/>
    <col min="9733" max="9733" width="8.28515625" style="968" customWidth="1"/>
    <col min="9734" max="9734" width="6" style="968" customWidth="1"/>
    <col min="9735" max="9735" width="4.85546875" style="968" customWidth="1"/>
    <col min="9736" max="9736" width="14.42578125" style="968" customWidth="1"/>
    <col min="9737" max="9737" width="15.28515625" style="968" customWidth="1"/>
    <col min="9738" max="9738" width="13.7109375" style="968" customWidth="1"/>
    <col min="9739" max="9739" width="13.5703125" style="968" customWidth="1"/>
    <col min="9740" max="9740" width="12.7109375" style="968" customWidth="1"/>
    <col min="9741" max="9741" width="14.28515625" style="968" customWidth="1"/>
    <col min="9742" max="9742" width="13.42578125" style="968" customWidth="1"/>
    <col min="9743" max="9743" width="14.5703125" style="968" customWidth="1"/>
    <col min="9744" max="9744" width="13" style="968" customWidth="1"/>
    <col min="9745" max="9745" width="14.140625" style="968" customWidth="1"/>
    <col min="9746" max="9746" width="16" style="968" customWidth="1"/>
    <col min="9747" max="9747" width="12.7109375" style="968" customWidth="1"/>
    <col min="9748" max="9748" width="14.140625" style="968" customWidth="1"/>
    <col min="9749" max="9749" width="13.140625" style="968" customWidth="1"/>
    <col min="9750" max="9750" width="16" style="968" customWidth="1"/>
    <col min="9751" max="9751" width="14.85546875" style="968" customWidth="1"/>
    <col min="9752" max="9752" width="15" style="968" customWidth="1"/>
    <col min="9753" max="9984" width="9.140625" style="968"/>
    <col min="9985" max="9986" width="5.28515625" style="968" customWidth="1"/>
    <col min="9987" max="9987" width="41.85546875" style="968" customWidth="1"/>
    <col min="9988" max="9988" width="6.42578125" style="968" customWidth="1"/>
    <col min="9989" max="9989" width="8.28515625" style="968" customWidth="1"/>
    <col min="9990" max="9990" width="6" style="968" customWidth="1"/>
    <col min="9991" max="9991" width="4.85546875" style="968" customWidth="1"/>
    <col min="9992" max="9992" width="14.42578125" style="968" customWidth="1"/>
    <col min="9993" max="9993" width="15.28515625" style="968" customWidth="1"/>
    <col min="9994" max="9994" width="13.7109375" style="968" customWidth="1"/>
    <col min="9995" max="9995" width="13.5703125" style="968" customWidth="1"/>
    <col min="9996" max="9996" width="12.7109375" style="968" customWidth="1"/>
    <col min="9997" max="9997" width="14.28515625" style="968" customWidth="1"/>
    <col min="9998" max="9998" width="13.42578125" style="968" customWidth="1"/>
    <col min="9999" max="9999" width="14.5703125" style="968" customWidth="1"/>
    <col min="10000" max="10000" width="13" style="968" customWidth="1"/>
    <col min="10001" max="10001" width="14.140625" style="968" customWidth="1"/>
    <col min="10002" max="10002" width="16" style="968" customWidth="1"/>
    <col min="10003" max="10003" width="12.7109375" style="968" customWidth="1"/>
    <col min="10004" max="10004" width="14.140625" style="968" customWidth="1"/>
    <col min="10005" max="10005" width="13.140625" style="968" customWidth="1"/>
    <col min="10006" max="10006" width="16" style="968" customWidth="1"/>
    <col min="10007" max="10007" width="14.85546875" style="968" customWidth="1"/>
    <col min="10008" max="10008" width="15" style="968" customWidth="1"/>
    <col min="10009" max="10240" width="9.140625" style="968"/>
    <col min="10241" max="10242" width="5.28515625" style="968" customWidth="1"/>
    <col min="10243" max="10243" width="41.85546875" style="968" customWidth="1"/>
    <col min="10244" max="10244" width="6.42578125" style="968" customWidth="1"/>
    <col min="10245" max="10245" width="8.28515625" style="968" customWidth="1"/>
    <col min="10246" max="10246" width="6" style="968" customWidth="1"/>
    <col min="10247" max="10247" width="4.85546875" style="968" customWidth="1"/>
    <col min="10248" max="10248" width="14.42578125" style="968" customWidth="1"/>
    <col min="10249" max="10249" width="15.28515625" style="968" customWidth="1"/>
    <col min="10250" max="10250" width="13.7109375" style="968" customWidth="1"/>
    <col min="10251" max="10251" width="13.5703125" style="968" customWidth="1"/>
    <col min="10252" max="10252" width="12.7109375" style="968" customWidth="1"/>
    <col min="10253" max="10253" width="14.28515625" style="968" customWidth="1"/>
    <col min="10254" max="10254" width="13.42578125" style="968" customWidth="1"/>
    <col min="10255" max="10255" width="14.5703125" style="968" customWidth="1"/>
    <col min="10256" max="10256" width="13" style="968" customWidth="1"/>
    <col min="10257" max="10257" width="14.140625" style="968" customWidth="1"/>
    <col min="10258" max="10258" width="16" style="968" customWidth="1"/>
    <col min="10259" max="10259" width="12.7109375" style="968" customWidth="1"/>
    <col min="10260" max="10260" width="14.140625" style="968" customWidth="1"/>
    <col min="10261" max="10261" width="13.140625" style="968" customWidth="1"/>
    <col min="10262" max="10262" width="16" style="968" customWidth="1"/>
    <col min="10263" max="10263" width="14.85546875" style="968" customWidth="1"/>
    <col min="10264" max="10264" width="15" style="968" customWidth="1"/>
    <col min="10265" max="10496" width="9.140625" style="968"/>
    <col min="10497" max="10498" width="5.28515625" style="968" customWidth="1"/>
    <col min="10499" max="10499" width="41.85546875" style="968" customWidth="1"/>
    <col min="10500" max="10500" width="6.42578125" style="968" customWidth="1"/>
    <col min="10501" max="10501" width="8.28515625" style="968" customWidth="1"/>
    <col min="10502" max="10502" width="6" style="968" customWidth="1"/>
    <col min="10503" max="10503" width="4.85546875" style="968" customWidth="1"/>
    <col min="10504" max="10504" width="14.42578125" style="968" customWidth="1"/>
    <col min="10505" max="10505" width="15.28515625" style="968" customWidth="1"/>
    <col min="10506" max="10506" width="13.7109375" style="968" customWidth="1"/>
    <col min="10507" max="10507" width="13.5703125" style="968" customWidth="1"/>
    <col min="10508" max="10508" width="12.7109375" style="968" customWidth="1"/>
    <col min="10509" max="10509" width="14.28515625" style="968" customWidth="1"/>
    <col min="10510" max="10510" width="13.42578125" style="968" customWidth="1"/>
    <col min="10511" max="10511" width="14.5703125" style="968" customWidth="1"/>
    <col min="10512" max="10512" width="13" style="968" customWidth="1"/>
    <col min="10513" max="10513" width="14.140625" style="968" customWidth="1"/>
    <col min="10514" max="10514" width="16" style="968" customWidth="1"/>
    <col min="10515" max="10515" width="12.7109375" style="968" customWidth="1"/>
    <col min="10516" max="10516" width="14.140625" style="968" customWidth="1"/>
    <col min="10517" max="10517" width="13.140625" style="968" customWidth="1"/>
    <col min="10518" max="10518" width="16" style="968" customWidth="1"/>
    <col min="10519" max="10519" width="14.85546875" style="968" customWidth="1"/>
    <col min="10520" max="10520" width="15" style="968" customWidth="1"/>
    <col min="10521" max="10752" width="9.140625" style="968"/>
    <col min="10753" max="10754" width="5.28515625" style="968" customWidth="1"/>
    <col min="10755" max="10755" width="41.85546875" style="968" customWidth="1"/>
    <col min="10756" max="10756" width="6.42578125" style="968" customWidth="1"/>
    <col min="10757" max="10757" width="8.28515625" style="968" customWidth="1"/>
    <col min="10758" max="10758" width="6" style="968" customWidth="1"/>
    <col min="10759" max="10759" width="4.85546875" style="968" customWidth="1"/>
    <col min="10760" max="10760" width="14.42578125" style="968" customWidth="1"/>
    <col min="10761" max="10761" width="15.28515625" style="968" customWidth="1"/>
    <col min="10762" max="10762" width="13.7109375" style="968" customWidth="1"/>
    <col min="10763" max="10763" width="13.5703125" style="968" customWidth="1"/>
    <col min="10764" max="10764" width="12.7109375" style="968" customWidth="1"/>
    <col min="10765" max="10765" width="14.28515625" style="968" customWidth="1"/>
    <col min="10766" max="10766" width="13.42578125" style="968" customWidth="1"/>
    <col min="10767" max="10767" width="14.5703125" style="968" customWidth="1"/>
    <col min="10768" max="10768" width="13" style="968" customWidth="1"/>
    <col min="10769" max="10769" width="14.140625" style="968" customWidth="1"/>
    <col min="10770" max="10770" width="16" style="968" customWidth="1"/>
    <col min="10771" max="10771" width="12.7109375" style="968" customWidth="1"/>
    <col min="10772" max="10772" width="14.140625" style="968" customWidth="1"/>
    <col min="10773" max="10773" width="13.140625" style="968" customWidth="1"/>
    <col min="10774" max="10774" width="16" style="968" customWidth="1"/>
    <col min="10775" max="10775" width="14.85546875" style="968" customWidth="1"/>
    <col min="10776" max="10776" width="15" style="968" customWidth="1"/>
    <col min="10777" max="11008" width="9.140625" style="968"/>
    <col min="11009" max="11010" width="5.28515625" style="968" customWidth="1"/>
    <col min="11011" max="11011" width="41.85546875" style="968" customWidth="1"/>
    <col min="11012" max="11012" width="6.42578125" style="968" customWidth="1"/>
    <col min="11013" max="11013" width="8.28515625" style="968" customWidth="1"/>
    <col min="11014" max="11014" width="6" style="968" customWidth="1"/>
    <col min="11015" max="11015" width="4.85546875" style="968" customWidth="1"/>
    <col min="11016" max="11016" width="14.42578125" style="968" customWidth="1"/>
    <col min="11017" max="11017" width="15.28515625" style="968" customWidth="1"/>
    <col min="11018" max="11018" width="13.7109375" style="968" customWidth="1"/>
    <col min="11019" max="11019" width="13.5703125" style="968" customWidth="1"/>
    <col min="11020" max="11020" width="12.7109375" style="968" customWidth="1"/>
    <col min="11021" max="11021" width="14.28515625" style="968" customWidth="1"/>
    <col min="11022" max="11022" width="13.42578125" style="968" customWidth="1"/>
    <col min="11023" max="11023" width="14.5703125" style="968" customWidth="1"/>
    <col min="11024" max="11024" width="13" style="968" customWidth="1"/>
    <col min="11025" max="11025" width="14.140625" style="968" customWidth="1"/>
    <col min="11026" max="11026" width="16" style="968" customWidth="1"/>
    <col min="11027" max="11027" width="12.7109375" style="968" customWidth="1"/>
    <col min="11028" max="11028" width="14.140625" style="968" customWidth="1"/>
    <col min="11029" max="11029" width="13.140625" style="968" customWidth="1"/>
    <col min="11030" max="11030" width="16" style="968" customWidth="1"/>
    <col min="11031" max="11031" width="14.85546875" style="968" customWidth="1"/>
    <col min="11032" max="11032" width="15" style="968" customWidth="1"/>
    <col min="11033" max="11264" width="9.140625" style="968"/>
    <col min="11265" max="11266" width="5.28515625" style="968" customWidth="1"/>
    <col min="11267" max="11267" width="41.85546875" style="968" customWidth="1"/>
    <col min="11268" max="11268" width="6.42578125" style="968" customWidth="1"/>
    <col min="11269" max="11269" width="8.28515625" style="968" customWidth="1"/>
    <col min="11270" max="11270" width="6" style="968" customWidth="1"/>
    <col min="11271" max="11271" width="4.85546875" style="968" customWidth="1"/>
    <col min="11272" max="11272" width="14.42578125" style="968" customWidth="1"/>
    <col min="11273" max="11273" width="15.28515625" style="968" customWidth="1"/>
    <col min="11274" max="11274" width="13.7109375" style="968" customWidth="1"/>
    <col min="11275" max="11275" width="13.5703125" style="968" customWidth="1"/>
    <col min="11276" max="11276" width="12.7109375" style="968" customWidth="1"/>
    <col min="11277" max="11277" width="14.28515625" style="968" customWidth="1"/>
    <col min="11278" max="11278" width="13.42578125" style="968" customWidth="1"/>
    <col min="11279" max="11279" width="14.5703125" style="968" customWidth="1"/>
    <col min="11280" max="11280" width="13" style="968" customWidth="1"/>
    <col min="11281" max="11281" width="14.140625" style="968" customWidth="1"/>
    <col min="11282" max="11282" width="16" style="968" customWidth="1"/>
    <col min="11283" max="11283" width="12.7109375" style="968" customWidth="1"/>
    <col min="11284" max="11284" width="14.140625" style="968" customWidth="1"/>
    <col min="11285" max="11285" width="13.140625" style="968" customWidth="1"/>
    <col min="11286" max="11286" width="16" style="968" customWidth="1"/>
    <col min="11287" max="11287" width="14.85546875" style="968" customWidth="1"/>
    <col min="11288" max="11288" width="15" style="968" customWidth="1"/>
    <col min="11289" max="11520" width="9.140625" style="968"/>
    <col min="11521" max="11522" width="5.28515625" style="968" customWidth="1"/>
    <col min="11523" max="11523" width="41.85546875" style="968" customWidth="1"/>
    <col min="11524" max="11524" width="6.42578125" style="968" customWidth="1"/>
    <col min="11525" max="11525" width="8.28515625" style="968" customWidth="1"/>
    <col min="11526" max="11526" width="6" style="968" customWidth="1"/>
    <col min="11527" max="11527" width="4.85546875" style="968" customWidth="1"/>
    <col min="11528" max="11528" width="14.42578125" style="968" customWidth="1"/>
    <col min="11529" max="11529" width="15.28515625" style="968" customWidth="1"/>
    <col min="11530" max="11530" width="13.7109375" style="968" customWidth="1"/>
    <col min="11531" max="11531" width="13.5703125" style="968" customWidth="1"/>
    <col min="11532" max="11532" width="12.7109375" style="968" customWidth="1"/>
    <col min="11533" max="11533" width="14.28515625" style="968" customWidth="1"/>
    <col min="11534" max="11534" width="13.42578125" style="968" customWidth="1"/>
    <col min="11535" max="11535" width="14.5703125" style="968" customWidth="1"/>
    <col min="11536" max="11536" width="13" style="968" customWidth="1"/>
    <col min="11537" max="11537" width="14.140625" style="968" customWidth="1"/>
    <col min="11538" max="11538" width="16" style="968" customWidth="1"/>
    <col min="11539" max="11539" width="12.7109375" style="968" customWidth="1"/>
    <col min="11540" max="11540" width="14.140625" style="968" customWidth="1"/>
    <col min="11541" max="11541" width="13.140625" style="968" customWidth="1"/>
    <col min="11542" max="11542" width="16" style="968" customWidth="1"/>
    <col min="11543" max="11543" width="14.85546875" style="968" customWidth="1"/>
    <col min="11544" max="11544" width="15" style="968" customWidth="1"/>
    <col min="11545" max="11776" width="9.140625" style="968"/>
    <col min="11777" max="11778" width="5.28515625" style="968" customWidth="1"/>
    <col min="11779" max="11779" width="41.85546875" style="968" customWidth="1"/>
    <col min="11780" max="11780" width="6.42578125" style="968" customWidth="1"/>
    <col min="11781" max="11781" width="8.28515625" style="968" customWidth="1"/>
    <col min="11782" max="11782" width="6" style="968" customWidth="1"/>
    <col min="11783" max="11783" width="4.85546875" style="968" customWidth="1"/>
    <col min="11784" max="11784" width="14.42578125" style="968" customWidth="1"/>
    <col min="11785" max="11785" width="15.28515625" style="968" customWidth="1"/>
    <col min="11786" max="11786" width="13.7109375" style="968" customWidth="1"/>
    <col min="11787" max="11787" width="13.5703125" style="968" customWidth="1"/>
    <col min="11788" max="11788" width="12.7109375" style="968" customWidth="1"/>
    <col min="11789" max="11789" width="14.28515625" style="968" customWidth="1"/>
    <col min="11790" max="11790" width="13.42578125" style="968" customWidth="1"/>
    <col min="11791" max="11791" width="14.5703125" style="968" customWidth="1"/>
    <col min="11792" max="11792" width="13" style="968" customWidth="1"/>
    <col min="11793" max="11793" width="14.140625" style="968" customWidth="1"/>
    <col min="11794" max="11794" width="16" style="968" customWidth="1"/>
    <col min="11795" max="11795" width="12.7109375" style="968" customWidth="1"/>
    <col min="11796" max="11796" width="14.140625" style="968" customWidth="1"/>
    <col min="11797" max="11797" width="13.140625" style="968" customWidth="1"/>
    <col min="11798" max="11798" width="16" style="968" customWidth="1"/>
    <col min="11799" max="11799" width="14.85546875" style="968" customWidth="1"/>
    <col min="11800" max="11800" width="15" style="968" customWidth="1"/>
    <col min="11801" max="12032" width="9.140625" style="968"/>
    <col min="12033" max="12034" width="5.28515625" style="968" customWidth="1"/>
    <col min="12035" max="12035" width="41.85546875" style="968" customWidth="1"/>
    <col min="12036" max="12036" width="6.42578125" style="968" customWidth="1"/>
    <col min="12037" max="12037" width="8.28515625" style="968" customWidth="1"/>
    <col min="12038" max="12038" width="6" style="968" customWidth="1"/>
    <col min="12039" max="12039" width="4.85546875" style="968" customWidth="1"/>
    <col min="12040" max="12040" width="14.42578125" style="968" customWidth="1"/>
    <col min="12041" max="12041" width="15.28515625" style="968" customWidth="1"/>
    <col min="12042" max="12042" width="13.7109375" style="968" customWidth="1"/>
    <col min="12043" max="12043" width="13.5703125" style="968" customWidth="1"/>
    <col min="12044" max="12044" width="12.7109375" style="968" customWidth="1"/>
    <col min="12045" max="12045" width="14.28515625" style="968" customWidth="1"/>
    <col min="12046" max="12046" width="13.42578125" style="968" customWidth="1"/>
    <col min="12047" max="12047" width="14.5703125" style="968" customWidth="1"/>
    <col min="12048" max="12048" width="13" style="968" customWidth="1"/>
    <col min="12049" max="12049" width="14.140625" style="968" customWidth="1"/>
    <col min="12050" max="12050" width="16" style="968" customWidth="1"/>
    <col min="12051" max="12051" width="12.7109375" style="968" customWidth="1"/>
    <col min="12052" max="12052" width="14.140625" style="968" customWidth="1"/>
    <col min="12053" max="12053" width="13.140625" style="968" customWidth="1"/>
    <col min="12054" max="12054" width="16" style="968" customWidth="1"/>
    <col min="12055" max="12055" width="14.85546875" style="968" customWidth="1"/>
    <col min="12056" max="12056" width="15" style="968" customWidth="1"/>
    <col min="12057" max="12288" width="9.140625" style="968"/>
    <col min="12289" max="12290" width="5.28515625" style="968" customWidth="1"/>
    <col min="12291" max="12291" width="41.85546875" style="968" customWidth="1"/>
    <col min="12292" max="12292" width="6.42578125" style="968" customWidth="1"/>
    <col min="12293" max="12293" width="8.28515625" style="968" customWidth="1"/>
    <col min="12294" max="12294" width="6" style="968" customWidth="1"/>
    <col min="12295" max="12295" width="4.85546875" style="968" customWidth="1"/>
    <col min="12296" max="12296" width="14.42578125" style="968" customWidth="1"/>
    <col min="12297" max="12297" width="15.28515625" style="968" customWidth="1"/>
    <col min="12298" max="12298" width="13.7109375" style="968" customWidth="1"/>
    <col min="12299" max="12299" width="13.5703125" style="968" customWidth="1"/>
    <col min="12300" max="12300" width="12.7109375" style="968" customWidth="1"/>
    <col min="12301" max="12301" width="14.28515625" style="968" customWidth="1"/>
    <col min="12302" max="12302" width="13.42578125" style="968" customWidth="1"/>
    <col min="12303" max="12303" width="14.5703125" style="968" customWidth="1"/>
    <col min="12304" max="12304" width="13" style="968" customWidth="1"/>
    <col min="12305" max="12305" width="14.140625" style="968" customWidth="1"/>
    <col min="12306" max="12306" width="16" style="968" customWidth="1"/>
    <col min="12307" max="12307" width="12.7109375" style="968" customWidth="1"/>
    <col min="12308" max="12308" width="14.140625" style="968" customWidth="1"/>
    <col min="12309" max="12309" width="13.140625" style="968" customWidth="1"/>
    <col min="12310" max="12310" width="16" style="968" customWidth="1"/>
    <col min="12311" max="12311" width="14.85546875" style="968" customWidth="1"/>
    <col min="12312" max="12312" width="15" style="968" customWidth="1"/>
    <col min="12313" max="12544" width="9.140625" style="968"/>
    <col min="12545" max="12546" width="5.28515625" style="968" customWidth="1"/>
    <col min="12547" max="12547" width="41.85546875" style="968" customWidth="1"/>
    <col min="12548" max="12548" width="6.42578125" style="968" customWidth="1"/>
    <col min="12549" max="12549" width="8.28515625" style="968" customWidth="1"/>
    <col min="12550" max="12550" width="6" style="968" customWidth="1"/>
    <col min="12551" max="12551" width="4.85546875" style="968" customWidth="1"/>
    <col min="12552" max="12552" width="14.42578125" style="968" customWidth="1"/>
    <col min="12553" max="12553" width="15.28515625" style="968" customWidth="1"/>
    <col min="12554" max="12554" width="13.7109375" style="968" customWidth="1"/>
    <col min="12555" max="12555" width="13.5703125" style="968" customWidth="1"/>
    <col min="12556" max="12556" width="12.7109375" style="968" customWidth="1"/>
    <col min="12557" max="12557" width="14.28515625" style="968" customWidth="1"/>
    <col min="12558" max="12558" width="13.42578125" style="968" customWidth="1"/>
    <col min="12559" max="12559" width="14.5703125" style="968" customWidth="1"/>
    <col min="12560" max="12560" width="13" style="968" customWidth="1"/>
    <col min="12561" max="12561" width="14.140625" style="968" customWidth="1"/>
    <col min="12562" max="12562" width="16" style="968" customWidth="1"/>
    <col min="12563" max="12563" width="12.7109375" style="968" customWidth="1"/>
    <col min="12564" max="12564" width="14.140625" style="968" customWidth="1"/>
    <col min="12565" max="12565" width="13.140625" style="968" customWidth="1"/>
    <col min="12566" max="12566" width="16" style="968" customWidth="1"/>
    <col min="12567" max="12567" width="14.85546875" style="968" customWidth="1"/>
    <col min="12568" max="12568" width="15" style="968" customWidth="1"/>
    <col min="12569" max="12800" width="9.140625" style="968"/>
    <col min="12801" max="12802" width="5.28515625" style="968" customWidth="1"/>
    <col min="12803" max="12803" width="41.85546875" style="968" customWidth="1"/>
    <col min="12804" max="12804" width="6.42578125" style="968" customWidth="1"/>
    <col min="12805" max="12805" width="8.28515625" style="968" customWidth="1"/>
    <col min="12806" max="12806" width="6" style="968" customWidth="1"/>
    <col min="12807" max="12807" width="4.85546875" style="968" customWidth="1"/>
    <col min="12808" max="12808" width="14.42578125" style="968" customWidth="1"/>
    <col min="12809" max="12809" width="15.28515625" style="968" customWidth="1"/>
    <col min="12810" max="12810" width="13.7109375" style="968" customWidth="1"/>
    <col min="12811" max="12811" width="13.5703125" style="968" customWidth="1"/>
    <col min="12812" max="12812" width="12.7109375" style="968" customWidth="1"/>
    <col min="12813" max="12813" width="14.28515625" style="968" customWidth="1"/>
    <col min="12814" max="12814" width="13.42578125" style="968" customWidth="1"/>
    <col min="12815" max="12815" width="14.5703125" style="968" customWidth="1"/>
    <col min="12816" max="12816" width="13" style="968" customWidth="1"/>
    <col min="12817" max="12817" width="14.140625" style="968" customWidth="1"/>
    <col min="12818" max="12818" width="16" style="968" customWidth="1"/>
    <col min="12819" max="12819" width="12.7109375" style="968" customWidth="1"/>
    <col min="12820" max="12820" width="14.140625" style="968" customWidth="1"/>
    <col min="12821" max="12821" width="13.140625" style="968" customWidth="1"/>
    <col min="12822" max="12822" width="16" style="968" customWidth="1"/>
    <col min="12823" max="12823" width="14.85546875" style="968" customWidth="1"/>
    <col min="12824" max="12824" width="15" style="968" customWidth="1"/>
    <col min="12825" max="13056" width="9.140625" style="968"/>
    <col min="13057" max="13058" width="5.28515625" style="968" customWidth="1"/>
    <col min="13059" max="13059" width="41.85546875" style="968" customWidth="1"/>
    <col min="13060" max="13060" width="6.42578125" style="968" customWidth="1"/>
    <col min="13061" max="13061" width="8.28515625" style="968" customWidth="1"/>
    <col min="13062" max="13062" width="6" style="968" customWidth="1"/>
    <col min="13063" max="13063" width="4.85546875" style="968" customWidth="1"/>
    <col min="13064" max="13064" width="14.42578125" style="968" customWidth="1"/>
    <col min="13065" max="13065" width="15.28515625" style="968" customWidth="1"/>
    <col min="13066" max="13066" width="13.7109375" style="968" customWidth="1"/>
    <col min="13067" max="13067" width="13.5703125" style="968" customWidth="1"/>
    <col min="13068" max="13068" width="12.7109375" style="968" customWidth="1"/>
    <col min="13069" max="13069" width="14.28515625" style="968" customWidth="1"/>
    <col min="13070" max="13070" width="13.42578125" style="968" customWidth="1"/>
    <col min="13071" max="13071" width="14.5703125" style="968" customWidth="1"/>
    <col min="13072" max="13072" width="13" style="968" customWidth="1"/>
    <col min="13073" max="13073" width="14.140625" style="968" customWidth="1"/>
    <col min="13074" max="13074" width="16" style="968" customWidth="1"/>
    <col min="13075" max="13075" width="12.7109375" style="968" customWidth="1"/>
    <col min="13076" max="13076" width="14.140625" style="968" customWidth="1"/>
    <col min="13077" max="13077" width="13.140625" style="968" customWidth="1"/>
    <col min="13078" max="13078" width="16" style="968" customWidth="1"/>
    <col min="13079" max="13079" width="14.85546875" style="968" customWidth="1"/>
    <col min="13080" max="13080" width="15" style="968" customWidth="1"/>
    <col min="13081" max="13312" width="9.140625" style="968"/>
    <col min="13313" max="13314" width="5.28515625" style="968" customWidth="1"/>
    <col min="13315" max="13315" width="41.85546875" style="968" customWidth="1"/>
    <col min="13316" max="13316" width="6.42578125" style="968" customWidth="1"/>
    <col min="13317" max="13317" width="8.28515625" style="968" customWidth="1"/>
    <col min="13318" max="13318" width="6" style="968" customWidth="1"/>
    <col min="13319" max="13319" width="4.85546875" style="968" customWidth="1"/>
    <col min="13320" max="13320" width="14.42578125" style="968" customWidth="1"/>
    <col min="13321" max="13321" width="15.28515625" style="968" customWidth="1"/>
    <col min="13322" max="13322" width="13.7109375" style="968" customWidth="1"/>
    <col min="13323" max="13323" width="13.5703125" style="968" customWidth="1"/>
    <col min="13324" max="13324" width="12.7109375" style="968" customWidth="1"/>
    <col min="13325" max="13325" width="14.28515625" style="968" customWidth="1"/>
    <col min="13326" max="13326" width="13.42578125" style="968" customWidth="1"/>
    <col min="13327" max="13327" width="14.5703125" style="968" customWidth="1"/>
    <col min="13328" max="13328" width="13" style="968" customWidth="1"/>
    <col min="13329" max="13329" width="14.140625" style="968" customWidth="1"/>
    <col min="13330" max="13330" width="16" style="968" customWidth="1"/>
    <col min="13331" max="13331" width="12.7109375" style="968" customWidth="1"/>
    <col min="13332" max="13332" width="14.140625" style="968" customWidth="1"/>
    <col min="13333" max="13333" width="13.140625" style="968" customWidth="1"/>
    <col min="13334" max="13334" width="16" style="968" customWidth="1"/>
    <col min="13335" max="13335" width="14.85546875" style="968" customWidth="1"/>
    <col min="13336" max="13336" width="15" style="968" customWidth="1"/>
    <col min="13337" max="13568" width="9.140625" style="968"/>
    <col min="13569" max="13570" width="5.28515625" style="968" customWidth="1"/>
    <col min="13571" max="13571" width="41.85546875" style="968" customWidth="1"/>
    <col min="13572" max="13572" width="6.42578125" style="968" customWidth="1"/>
    <col min="13573" max="13573" width="8.28515625" style="968" customWidth="1"/>
    <col min="13574" max="13574" width="6" style="968" customWidth="1"/>
    <col min="13575" max="13575" width="4.85546875" style="968" customWidth="1"/>
    <col min="13576" max="13576" width="14.42578125" style="968" customWidth="1"/>
    <col min="13577" max="13577" width="15.28515625" style="968" customWidth="1"/>
    <col min="13578" max="13578" width="13.7109375" style="968" customWidth="1"/>
    <col min="13579" max="13579" width="13.5703125" style="968" customWidth="1"/>
    <col min="13580" max="13580" width="12.7109375" style="968" customWidth="1"/>
    <col min="13581" max="13581" width="14.28515625" style="968" customWidth="1"/>
    <col min="13582" max="13582" width="13.42578125" style="968" customWidth="1"/>
    <col min="13583" max="13583" width="14.5703125" style="968" customWidth="1"/>
    <col min="13584" max="13584" width="13" style="968" customWidth="1"/>
    <col min="13585" max="13585" width="14.140625" style="968" customWidth="1"/>
    <col min="13586" max="13586" width="16" style="968" customWidth="1"/>
    <col min="13587" max="13587" width="12.7109375" style="968" customWidth="1"/>
    <col min="13588" max="13588" width="14.140625" style="968" customWidth="1"/>
    <col min="13589" max="13589" width="13.140625" style="968" customWidth="1"/>
    <col min="13590" max="13590" width="16" style="968" customWidth="1"/>
    <col min="13591" max="13591" width="14.85546875" style="968" customWidth="1"/>
    <col min="13592" max="13592" width="15" style="968" customWidth="1"/>
    <col min="13593" max="13824" width="9.140625" style="968"/>
    <col min="13825" max="13826" width="5.28515625" style="968" customWidth="1"/>
    <col min="13827" max="13827" width="41.85546875" style="968" customWidth="1"/>
    <col min="13828" max="13828" width="6.42578125" style="968" customWidth="1"/>
    <col min="13829" max="13829" width="8.28515625" style="968" customWidth="1"/>
    <col min="13830" max="13830" width="6" style="968" customWidth="1"/>
    <col min="13831" max="13831" width="4.85546875" style="968" customWidth="1"/>
    <col min="13832" max="13832" width="14.42578125" style="968" customWidth="1"/>
    <col min="13833" max="13833" width="15.28515625" style="968" customWidth="1"/>
    <col min="13834" max="13834" width="13.7109375" style="968" customWidth="1"/>
    <col min="13835" max="13835" width="13.5703125" style="968" customWidth="1"/>
    <col min="13836" max="13836" width="12.7109375" style="968" customWidth="1"/>
    <col min="13837" max="13837" width="14.28515625" style="968" customWidth="1"/>
    <col min="13838" max="13838" width="13.42578125" style="968" customWidth="1"/>
    <col min="13839" max="13839" width="14.5703125" style="968" customWidth="1"/>
    <col min="13840" max="13840" width="13" style="968" customWidth="1"/>
    <col min="13841" max="13841" width="14.140625" style="968" customWidth="1"/>
    <col min="13842" max="13842" width="16" style="968" customWidth="1"/>
    <col min="13843" max="13843" width="12.7109375" style="968" customWidth="1"/>
    <col min="13844" max="13844" width="14.140625" style="968" customWidth="1"/>
    <col min="13845" max="13845" width="13.140625" style="968" customWidth="1"/>
    <col min="13846" max="13846" width="16" style="968" customWidth="1"/>
    <col min="13847" max="13847" width="14.85546875" style="968" customWidth="1"/>
    <col min="13848" max="13848" width="15" style="968" customWidth="1"/>
    <col min="13849" max="14080" width="9.140625" style="968"/>
    <col min="14081" max="14082" width="5.28515625" style="968" customWidth="1"/>
    <col min="14083" max="14083" width="41.85546875" style="968" customWidth="1"/>
    <col min="14084" max="14084" width="6.42578125" style="968" customWidth="1"/>
    <col min="14085" max="14085" width="8.28515625" style="968" customWidth="1"/>
    <col min="14086" max="14086" width="6" style="968" customWidth="1"/>
    <col min="14087" max="14087" width="4.85546875" style="968" customWidth="1"/>
    <col min="14088" max="14088" width="14.42578125" style="968" customWidth="1"/>
    <col min="14089" max="14089" width="15.28515625" style="968" customWidth="1"/>
    <col min="14090" max="14090" width="13.7109375" style="968" customWidth="1"/>
    <col min="14091" max="14091" width="13.5703125" style="968" customWidth="1"/>
    <col min="14092" max="14092" width="12.7109375" style="968" customWidth="1"/>
    <col min="14093" max="14093" width="14.28515625" style="968" customWidth="1"/>
    <col min="14094" max="14094" width="13.42578125" style="968" customWidth="1"/>
    <col min="14095" max="14095" width="14.5703125" style="968" customWidth="1"/>
    <col min="14096" max="14096" width="13" style="968" customWidth="1"/>
    <col min="14097" max="14097" width="14.140625" style="968" customWidth="1"/>
    <col min="14098" max="14098" width="16" style="968" customWidth="1"/>
    <col min="14099" max="14099" width="12.7109375" style="968" customWidth="1"/>
    <col min="14100" max="14100" width="14.140625" style="968" customWidth="1"/>
    <col min="14101" max="14101" width="13.140625" style="968" customWidth="1"/>
    <col min="14102" max="14102" width="16" style="968" customWidth="1"/>
    <col min="14103" max="14103" width="14.85546875" style="968" customWidth="1"/>
    <col min="14104" max="14104" width="15" style="968" customWidth="1"/>
    <col min="14105" max="14336" width="9.140625" style="968"/>
    <col min="14337" max="14338" width="5.28515625" style="968" customWidth="1"/>
    <col min="14339" max="14339" width="41.85546875" style="968" customWidth="1"/>
    <col min="14340" max="14340" width="6.42578125" style="968" customWidth="1"/>
    <col min="14341" max="14341" width="8.28515625" style="968" customWidth="1"/>
    <col min="14342" max="14342" width="6" style="968" customWidth="1"/>
    <col min="14343" max="14343" width="4.85546875" style="968" customWidth="1"/>
    <col min="14344" max="14344" width="14.42578125" style="968" customWidth="1"/>
    <col min="14345" max="14345" width="15.28515625" style="968" customWidth="1"/>
    <col min="14346" max="14346" width="13.7109375" style="968" customWidth="1"/>
    <col min="14347" max="14347" width="13.5703125" style="968" customWidth="1"/>
    <col min="14348" max="14348" width="12.7109375" style="968" customWidth="1"/>
    <col min="14349" max="14349" width="14.28515625" style="968" customWidth="1"/>
    <col min="14350" max="14350" width="13.42578125" style="968" customWidth="1"/>
    <col min="14351" max="14351" width="14.5703125" style="968" customWidth="1"/>
    <col min="14352" max="14352" width="13" style="968" customWidth="1"/>
    <col min="14353" max="14353" width="14.140625" style="968" customWidth="1"/>
    <col min="14354" max="14354" width="16" style="968" customWidth="1"/>
    <col min="14355" max="14355" width="12.7109375" style="968" customWidth="1"/>
    <col min="14356" max="14356" width="14.140625" style="968" customWidth="1"/>
    <col min="14357" max="14357" width="13.140625" style="968" customWidth="1"/>
    <col min="14358" max="14358" width="16" style="968" customWidth="1"/>
    <col min="14359" max="14359" width="14.85546875" style="968" customWidth="1"/>
    <col min="14360" max="14360" width="15" style="968" customWidth="1"/>
    <col min="14361" max="14592" width="9.140625" style="968"/>
    <col min="14593" max="14594" width="5.28515625" style="968" customWidth="1"/>
    <col min="14595" max="14595" width="41.85546875" style="968" customWidth="1"/>
    <col min="14596" max="14596" width="6.42578125" style="968" customWidth="1"/>
    <col min="14597" max="14597" width="8.28515625" style="968" customWidth="1"/>
    <col min="14598" max="14598" width="6" style="968" customWidth="1"/>
    <col min="14599" max="14599" width="4.85546875" style="968" customWidth="1"/>
    <col min="14600" max="14600" width="14.42578125" style="968" customWidth="1"/>
    <col min="14601" max="14601" width="15.28515625" style="968" customWidth="1"/>
    <col min="14602" max="14602" width="13.7109375" style="968" customWidth="1"/>
    <col min="14603" max="14603" width="13.5703125" style="968" customWidth="1"/>
    <col min="14604" max="14604" width="12.7109375" style="968" customWidth="1"/>
    <col min="14605" max="14605" width="14.28515625" style="968" customWidth="1"/>
    <col min="14606" max="14606" width="13.42578125" style="968" customWidth="1"/>
    <col min="14607" max="14607" width="14.5703125" style="968" customWidth="1"/>
    <col min="14608" max="14608" width="13" style="968" customWidth="1"/>
    <col min="14609" max="14609" width="14.140625" style="968" customWidth="1"/>
    <col min="14610" max="14610" width="16" style="968" customWidth="1"/>
    <col min="14611" max="14611" width="12.7109375" style="968" customWidth="1"/>
    <col min="14612" max="14612" width="14.140625" style="968" customWidth="1"/>
    <col min="14613" max="14613" width="13.140625" style="968" customWidth="1"/>
    <col min="14614" max="14614" width="16" style="968" customWidth="1"/>
    <col min="14615" max="14615" width="14.85546875" style="968" customWidth="1"/>
    <col min="14616" max="14616" width="15" style="968" customWidth="1"/>
    <col min="14617" max="14848" width="9.140625" style="968"/>
    <col min="14849" max="14850" width="5.28515625" style="968" customWidth="1"/>
    <col min="14851" max="14851" width="41.85546875" style="968" customWidth="1"/>
    <col min="14852" max="14852" width="6.42578125" style="968" customWidth="1"/>
    <col min="14853" max="14853" width="8.28515625" style="968" customWidth="1"/>
    <col min="14854" max="14854" width="6" style="968" customWidth="1"/>
    <col min="14855" max="14855" width="4.85546875" style="968" customWidth="1"/>
    <col min="14856" max="14856" width="14.42578125" style="968" customWidth="1"/>
    <col min="14857" max="14857" width="15.28515625" style="968" customWidth="1"/>
    <col min="14858" max="14858" width="13.7109375" style="968" customWidth="1"/>
    <col min="14859" max="14859" width="13.5703125" style="968" customWidth="1"/>
    <col min="14860" max="14860" width="12.7109375" style="968" customWidth="1"/>
    <col min="14861" max="14861" width="14.28515625" style="968" customWidth="1"/>
    <col min="14862" max="14862" width="13.42578125" style="968" customWidth="1"/>
    <col min="14863" max="14863" width="14.5703125" style="968" customWidth="1"/>
    <col min="14864" max="14864" width="13" style="968" customWidth="1"/>
    <col min="14865" max="14865" width="14.140625" style="968" customWidth="1"/>
    <col min="14866" max="14866" width="16" style="968" customWidth="1"/>
    <col min="14867" max="14867" width="12.7109375" style="968" customWidth="1"/>
    <col min="14868" max="14868" width="14.140625" style="968" customWidth="1"/>
    <col min="14869" max="14869" width="13.140625" style="968" customWidth="1"/>
    <col min="14870" max="14870" width="16" style="968" customWidth="1"/>
    <col min="14871" max="14871" width="14.85546875" style="968" customWidth="1"/>
    <col min="14872" max="14872" width="15" style="968" customWidth="1"/>
    <col min="14873" max="15104" width="9.140625" style="968"/>
    <col min="15105" max="15106" width="5.28515625" style="968" customWidth="1"/>
    <col min="15107" max="15107" width="41.85546875" style="968" customWidth="1"/>
    <col min="15108" max="15108" width="6.42578125" style="968" customWidth="1"/>
    <col min="15109" max="15109" width="8.28515625" style="968" customWidth="1"/>
    <col min="15110" max="15110" width="6" style="968" customWidth="1"/>
    <col min="15111" max="15111" width="4.85546875" style="968" customWidth="1"/>
    <col min="15112" max="15112" width="14.42578125" style="968" customWidth="1"/>
    <col min="15113" max="15113" width="15.28515625" style="968" customWidth="1"/>
    <col min="15114" max="15114" width="13.7109375" style="968" customWidth="1"/>
    <col min="15115" max="15115" width="13.5703125" style="968" customWidth="1"/>
    <col min="15116" max="15116" width="12.7109375" style="968" customWidth="1"/>
    <col min="15117" max="15117" width="14.28515625" style="968" customWidth="1"/>
    <col min="15118" max="15118" width="13.42578125" style="968" customWidth="1"/>
    <col min="15119" max="15119" width="14.5703125" style="968" customWidth="1"/>
    <col min="15120" max="15120" width="13" style="968" customWidth="1"/>
    <col min="15121" max="15121" width="14.140625" style="968" customWidth="1"/>
    <col min="15122" max="15122" width="16" style="968" customWidth="1"/>
    <col min="15123" max="15123" width="12.7109375" style="968" customWidth="1"/>
    <col min="15124" max="15124" width="14.140625" style="968" customWidth="1"/>
    <col min="15125" max="15125" width="13.140625" style="968" customWidth="1"/>
    <col min="15126" max="15126" width="16" style="968" customWidth="1"/>
    <col min="15127" max="15127" width="14.85546875" style="968" customWidth="1"/>
    <col min="15128" max="15128" width="15" style="968" customWidth="1"/>
    <col min="15129" max="15360" width="9.140625" style="968"/>
    <col min="15361" max="15362" width="5.28515625" style="968" customWidth="1"/>
    <col min="15363" max="15363" width="41.85546875" style="968" customWidth="1"/>
    <col min="15364" max="15364" width="6.42578125" style="968" customWidth="1"/>
    <col min="15365" max="15365" width="8.28515625" style="968" customWidth="1"/>
    <col min="15366" max="15366" width="6" style="968" customWidth="1"/>
    <col min="15367" max="15367" width="4.85546875" style="968" customWidth="1"/>
    <col min="15368" max="15368" width="14.42578125" style="968" customWidth="1"/>
    <col min="15369" max="15369" width="15.28515625" style="968" customWidth="1"/>
    <col min="15370" max="15370" width="13.7109375" style="968" customWidth="1"/>
    <col min="15371" max="15371" width="13.5703125" style="968" customWidth="1"/>
    <col min="15372" max="15372" width="12.7109375" style="968" customWidth="1"/>
    <col min="15373" max="15373" width="14.28515625" style="968" customWidth="1"/>
    <col min="15374" max="15374" width="13.42578125" style="968" customWidth="1"/>
    <col min="15375" max="15375" width="14.5703125" style="968" customWidth="1"/>
    <col min="15376" max="15376" width="13" style="968" customWidth="1"/>
    <col min="15377" max="15377" width="14.140625" style="968" customWidth="1"/>
    <col min="15378" max="15378" width="16" style="968" customWidth="1"/>
    <col min="15379" max="15379" width="12.7109375" style="968" customWidth="1"/>
    <col min="15380" max="15380" width="14.140625" style="968" customWidth="1"/>
    <col min="15381" max="15381" width="13.140625" style="968" customWidth="1"/>
    <col min="15382" max="15382" width="16" style="968" customWidth="1"/>
    <col min="15383" max="15383" width="14.85546875" style="968" customWidth="1"/>
    <col min="15384" max="15384" width="15" style="968" customWidth="1"/>
    <col min="15385" max="15616" width="9.140625" style="968"/>
    <col min="15617" max="15618" width="5.28515625" style="968" customWidth="1"/>
    <col min="15619" max="15619" width="41.85546875" style="968" customWidth="1"/>
    <col min="15620" max="15620" width="6.42578125" style="968" customWidth="1"/>
    <col min="15621" max="15621" width="8.28515625" style="968" customWidth="1"/>
    <col min="15622" max="15622" width="6" style="968" customWidth="1"/>
    <col min="15623" max="15623" width="4.85546875" style="968" customWidth="1"/>
    <col min="15624" max="15624" width="14.42578125" style="968" customWidth="1"/>
    <col min="15625" max="15625" width="15.28515625" style="968" customWidth="1"/>
    <col min="15626" max="15626" width="13.7109375" style="968" customWidth="1"/>
    <col min="15627" max="15627" width="13.5703125" style="968" customWidth="1"/>
    <col min="15628" max="15628" width="12.7109375" style="968" customWidth="1"/>
    <col min="15629" max="15629" width="14.28515625" style="968" customWidth="1"/>
    <col min="15630" max="15630" width="13.42578125" style="968" customWidth="1"/>
    <col min="15631" max="15631" width="14.5703125" style="968" customWidth="1"/>
    <col min="15632" max="15632" width="13" style="968" customWidth="1"/>
    <col min="15633" max="15633" width="14.140625" style="968" customWidth="1"/>
    <col min="15634" max="15634" width="16" style="968" customWidth="1"/>
    <col min="15635" max="15635" width="12.7109375" style="968" customWidth="1"/>
    <col min="15636" max="15636" width="14.140625" style="968" customWidth="1"/>
    <col min="15637" max="15637" width="13.140625" style="968" customWidth="1"/>
    <col min="15638" max="15638" width="16" style="968" customWidth="1"/>
    <col min="15639" max="15639" width="14.85546875" style="968" customWidth="1"/>
    <col min="15640" max="15640" width="15" style="968" customWidth="1"/>
    <col min="15641" max="15872" width="9.140625" style="968"/>
    <col min="15873" max="15874" width="5.28515625" style="968" customWidth="1"/>
    <col min="15875" max="15875" width="41.85546875" style="968" customWidth="1"/>
    <col min="15876" max="15876" width="6.42578125" style="968" customWidth="1"/>
    <col min="15877" max="15877" width="8.28515625" style="968" customWidth="1"/>
    <col min="15878" max="15878" width="6" style="968" customWidth="1"/>
    <col min="15879" max="15879" width="4.85546875" style="968" customWidth="1"/>
    <col min="15880" max="15880" width="14.42578125" style="968" customWidth="1"/>
    <col min="15881" max="15881" width="15.28515625" style="968" customWidth="1"/>
    <col min="15882" max="15882" width="13.7109375" style="968" customWidth="1"/>
    <col min="15883" max="15883" width="13.5703125" style="968" customWidth="1"/>
    <col min="15884" max="15884" width="12.7109375" style="968" customWidth="1"/>
    <col min="15885" max="15885" width="14.28515625" style="968" customWidth="1"/>
    <col min="15886" max="15886" width="13.42578125" style="968" customWidth="1"/>
    <col min="15887" max="15887" width="14.5703125" style="968" customWidth="1"/>
    <col min="15888" max="15888" width="13" style="968" customWidth="1"/>
    <col min="15889" max="15889" width="14.140625" style="968" customWidth="1"/>
    <col min="15890" max="15890" width="16" style="968" customWidth="1"/>
    <col min="15891" max="15891" width="12.7109375" style="968" customWidth="1"/>
    <col min="15892" max="15892" width="14.140625" style="968" customWidth="1"/>
    <col min="15893" max="15893" width="13.140625" style="968" customWidth="1"/>
    <col min="15894" max="15894" width="16" style="968" customWidth="1"/>
    <col min="15895" max="15895" width="14.85546875" style="968" customWidth="1"/>
    <col min="15896" max="15896" width="15" style="968" customWidth="1"/>
    <col min="15897" max="16128" width="9.140625" style="968"/>
    <col min="16129" max="16130" width="5.28515625" style="968" customWidth="1"/>
    <col min="16131" max="16131" width="41.85546875" style="968" customWidth="1"/>
    <col min="16132" max="16132" width="6.42578125" style="968" customWidth="1"/>
    <col min="16133" max="16133" width="8.28515625" style="968" customWidth="1"/>
    <col min="16134" max="16134" width="6" style="968" customWidth="1"/>
    <col min="16135" max="16135" width="4.85546875" style="968" customWidth="1"/>
    <col min="16136" max="16136" width="14.42578125" style="968" customWidth="1"/>
    <col min="16137" max="16137" width="15.28515625" style="968" customWidth="1"/>
    <col min="16138" max="16138" width="13.7109375" style="968" customWidth="1"/>
    <col min="16139" max="16139" width="13.5703125" style="968" customWidth="1"/>
    <col min="16140" max="16140" width="12.7109375" style="968" customWidth="1"/>
    <col min="16141" max="16141" width="14.28515625" style="968" customWidth="1"/>
    <col min="16142" max="16142" width="13.42578125" style="968" customWidth="1"/>
    <col min="16143" max="16143" width="14.5703125" style="968" customWidth="1"/>
    <col min="16144" max="16144" width="13" style="968" customWidth="1"/>
    <col min="16145" max="16145" width="14.140625" style="968" customWidth="1"/>
    <col min="16146" max="16146" width="16" style="968" customWidth="1"/>
    <col min="16147" max="16147" width="12.7109375" style="968" customWidth="1"/>
    <col min="16148" max="16148" width="14.140625" style="968" customWidth="1"/>
    <col min="16149" max="16149" width="13.140625" style="968" customWidth="1"/>
    <col min="16150" max="16150" width="16" style="968" customWidth="1"/>
    <col min="16151" max="16151" width="14.85546875" style="968" customWidth="1"/>
    <col min="16152" max="16152" width="15" style="968" customWidth="1"/>
    <col min="16153" max="16384" width="9.140625" style="968"/>
  </cols>
  <sheetData>
    <row r="1" spans="1:37" ht="26.2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37" ht="15" customHeight="1" x14ac:dyDescent="0.25">
      <c r="A2" s="970"/>
      <c r="B2" s="970"/>
      <c r="C2" s="969"/>
      <c r="D2" s="970"/>
      <c r="E2" s="970"/>
      <c r="F2" s="970"/>
      <c r="G2" s="970"/>
      <c r="H2" s="970"/>
      <c r="I2" s="970"/>
      <c r="J2" s="970"/>
      <c r="K2" s="970"/>
      <c r="L2" s="970"/>
      <c r="M2" s="970"/>
      <c r="N2" s="970"/>
      <c r="O2" s="970"/>
      <c r="P2" s="970"/>
      <c r="Q2" s="970"/>
      <c r="R2" s="970"/>
      <c r="S2" s="970"/>
      <c r="T2" s="970"/>
      <c r="U2" s="970"/>
      <c r="V2" s="970"/>
      <c r="W2" s="970"/>
      <c r="X2" s="970"/>
    </row>
    <row r="3" spans="1:37" ht="26.25" customHeight="1" x14ac:dyDescent="0.25">
      <c r="A3" s="2055" t="s">
        <v>25</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37" x14ac:dyDescent="0.25">
      <c r="Q4" s="972"/>
    </row>
    <row r="5" spans="1:37" x14ac:dyDescent="0.25">
      <c r="A5" s="2056" t="s">
        <v>37</v>
      </c>
      <c r="B5" s="1773" t="s">
        <v>1640</v>
      </c>
      <c r="C5" s="2058" t="s">
        <v>2</v>
      </c>
      <c r="D5" s="2037" t="s">
        <v>1641</v>
      </c>
      <c r="E5" s="2037" t="s">
        <v>116</v>
      </c>
      <c r="F5" s="2037" t="s">
        <v>1642</v>
      </c>
      <c r="G5" s="2037" t="s">
        <v>1643</v>
      </c>
      <c r="H5" s="2039" t="s">
        <v>1644</v>
      </c>
      <c r="I5" s="2039"/>
      <c r="J5" s="2039"/>
      <c r="K5" s="2039"/>
      <c r="L5" s="2039"/>
      <c r="M5" s="2039"/>
      <c r="N5" s="2039"/>
      <c r="O5" s="2066"/>
      <c r="P5" s="1434"/>
      <c r="Q5" s="2040" t="s">
        <v>1645</v>
      </c>
      <c r="R5" s="2039"/>
      <c r="S5" s="2039"/>
      <c r="T5" s="2039"/>
      <c r="U5" s="2039"/>
      <c r="V5" s="2039"/>
      <c r="W5" s="2039"/>
      <c r="X5" s="2041"/>
    </row>
    <row r="6" spans="1:37" ht="90" customHeight="1" x14ac:dyDescent="0.25">
      <c r="A6" s="2057"/>
      <c r="B6" s="1774"/>
      <c r="C6" s="2059"/>
      <c r="D6" s="2038"/>
      <c r="E6" s="2038"/>
      <c r="F6" s="2038"/>
      <c r="G6" s="2038"/>
      <c r="H6" s="941" t="s">
        <v>1667</v>
      </c>
      <c r="I6" s="941" t="s">
        <v>1678</v>
      </c>
      <c r="J6" s="941" t="s">
        <v>1679</v>
      </c>
      <c r="K6" s="941" t="s">
        <v>1680</v>
      </c>
      <c r="L6" s="941" t="s">
        <v>1681</v>
      </c>
      <c r="M6" s="941" t="s">
        <v>1682</v>
      </c>
      <c r="N6" s="941" t="s">
        <v>1673</v>
      </c>
      <c r="O6" s="941" t="s">
        <v>1653</v>
      </c>
      <c r="P6" s="944" t="s">
        <v>1654</v>
      </c>
      <c r="Q6" s="999" t="s">
        <v>1683</v>
      </c>
      <c r="R6" s="941" t="s">
        <v>1684</v>
      </c>
      <c r="S6" s="941" t="s">
        <v>1685</v>
      </c>
      <c r="T6" s="941" t="s">
        <v>1686</v>
      </c>
      <c r="U6" s="941" t="s">
        <v>1659</v>
      </c>
      <c r="V6" s="941" t="s">
        <v>1687</v>
      </c>
      <c r="W6" s="941" t="s">
        <v>1661</v>
      </c>
      <c r="X6" s="944" t="s">
        <v>1688</v>
      </c>
    </row>
    <row r="7" spans="1:37" ht="17.25" customHeight="1" x14ac:dyDescent="0.25">
      <c r="A7" s="2056" t="s">
        <v>194</v>
      </c>
      <c r="B7" s="2058" t="s">
        <v>204</v>
      </c>
      <c r="C7" s="2060" t="s">
        <v>1751</v>
      </c>
      <c r="D7" s="974" t="s">
        <v>1819</v>
      </c>
      <c r="E7" s="974" t="s">
        <v>573</v>
      </c>
      <c r="F7" s="974" t="s">
        <v>1326</v>
      </c>
      <c r="G7" s="975" t="s">
        <v>1752</v>
      </c>
      <c r="H7" s="1019"/>
      <c r="I7" s="1019"/>
      <c r="J7" s="1019"/>
      <c r="K7" s="1019"/>
      <c r="L7" s="1019"/>
      <c r="M7" s="1019"/>
      <c r="N7" s="1019"/>
      <c r="O7" s="1019"/>
      <c r="P7" s="1020"/>
      <c r="Q7" s="1021"/>
      <c r="R7" s="1019"/>
      <c r="S7" s="1019"/>
      <c r="T7" s="1019">
        <f>-52683-24883466-6718621-137188</f>
        <v>-31791958</v>
      </c>
      <c r="U7" s="1019"/>
      <c r="V7" s="1019"/>
      <c r="W7" s="1019"/>
      <c r="X7" s="1020"/>
    </row>
    <row r="8" spans="1:37" ht="17.25" customHeight="1" x14ac:dyDescent="0.25">
      <c r="A8" s="2062"/>
      <c r="B8" s="2061"/>
      <c r="C8" s="2028"/>
      <c r="D8" s="978" t="s">
        <v>1819</v>
      </c>
      <c r="E8" s="978" t="s">
        <v>167</v>
      </c>
      <c r="F8" s="978" t="s">
        <v>132</v>
      </c>
      <c r="G8" s="1000" t="s">
        <v>1754</v>
      </c>
      <c r="H8" s="1001"/>
      <c r="I8" s="1001"/>
      <c r="J8" s="1001"/>
      <c r="K8" s="1001"/>
      <c r="L8" s="1001"/>
      <c r="M8" s="1001"/>
      <c r="N8" s="1001"/>
      <c r="O8" s="1001"/>
      <c r="P8" s="1002"/>
      <c r="Q8" s="1003"/>
      <c r="R8" s="1001"/>
      <c r="S8" s="1001"/>
      <c r="T8" s="1001">
        <f>52683+137182</f>
        <v>189865</v>
      </c>
      <c r="U8" s="1001"/>
      <c r="V8" s="1001"/>
      <c r="W8" s="1001"/>
      <c r="X8" s="1002"/>
      <c r="Y8" s="995"/>
      <c r="Z8" s="995"/>
      <c r="AA8" s="995"/>
      <c r="AB8" s="995"/>
      <c r="AC8" s="995"/>
      <c r="AD8" s="995"/>
      <c r="AE8" s="995"/>
      <c r="AF8" s="995"/>
      <c r="AG8" s="995"/>
      <c r="AH8" s="995"/>
      <c r="AI8" s="995"/>
      <c r="AJ8" s="995"/>
      <c r="AK8" s="995"/>
    </row>
    <row r="9" spans="1:37" ht="17.25" customHeight="1" x14ac:dyDescent="0.25">
      <c r="A9" s="2062"/>
      <c r="B9" s="2061"/>
      <c r="C9" s="2028"/>
      <c r="D9" s="978" t="s">
        <v>1819</v>
      </c>
      <c r="E9" s="978" t="s">
        <v>573</v>
      </c>
      <c r="F9" s="978" t="s">
        <v>66</v>
      </c>
      <c r="G9" s="1000" t="s">
        <v>1754</v>
      </c>
      <c r="H9" s="1001"/>
      <c r="I9" s="1001"/>
      <c r="J9" s="1001"/>
      <c r="K9" s="1001"/>
      <c r="L9" s="1001"/>
      <c r="M9" s="1001"/>
      <c r="N9" s="1001"/>
      <c r="O9" s="1001"/>
      <c r="P9" s="1002"/>
      <c r="Q9" s="1003"/>
      <c r="R9" s="1001"/>
      <c r="S9" s="1001"/>
      <c r="T9" s="1001">
        <f>2976315+803552</f>
        <v>3779867</v>
      </c>
      <c r="U9" s="1001"/>
      <c r="V9" s="1001"/>
      <c r="W9" s="1001"/>
      <c r="X9" s="1002"/>
      <c r="Y9" s="995"/>
      <c r="Z9" s="995"/>
      <c r="AA9" s="995"/>
      <c r="AB9" s="995"/>
      <c r="AC9" s="995"/>
      <c r="AD9" s="995"/>
      <c r="AE9" s="995"/>
      <c r="AF9" s="995"/>
      <c r="AG9" s="995"/>
      <c r="AH9" s="995"/>
      <c r="AI9" s="995"/>
      <c r="AJ9" s="995"/>
      <c r="AK9" s="995"/>
    </row>
    <row r="10" spans="1:37" ht="17.25" customHeight="1" x14ac:dyDescent="0.25">
      <c r="A10" s="2062"/>
      <c r="B10" s="2061"/>
      <c r="C10" s="2028"/>
      <c r="D10" s="978" t="s">
        <v>1819</v>
      </c>
      <c r="E10" s="978" t="s">
        <v>573</v>
      </c>
      <c r="F10" s="978" t="s">
        <v>153</v>
      </c>
      <c r="G10" s="1000" t="s">
        <v>1754</v>
      </c>
      <c r="H10" s="1001"/>
      <c r="I10" s="1001"/>
      <c r="J10" s="1001">
        <f>21250142+5737672</f>
        <v>26987814</v>
      </c>
      <c r="K10" s="1001"/>
      <c r="L10" s="1001"/>
      <c r="M10" s="1001"/>
      <c r="N10" s="1001"/>
      <c r="O10" s="1001"/>
      <c r="P10" s="1002"/>
      <c r="Q10" s="1003"/>
      <c r="R10" s="1001"/>
      <c r="S10" s="1001"/>
      <c r="T10" s="1001">
        <f>21250142+5737666+6</f>
        <v>26987814</v>
      </c>
      <c r="U10" s="1001"/>
      <c r="V10" s="1001"/>
      <c r="W10" s="1001"/>
      <c r="X10" s="1002"/>
      <c r="Y10" s="995"/>
      <c r="Z10" s="995"/>
      <c r="AA10" s="995"/>
      <c r="AB10" s="995"/>
      <c r="AC10" s="995"/>
      <c r="AD10" s="995"/>
      <c r="AE10" s="995"/>
      <c r="AF10" s="995"/>
      <c r="AG10" s="995"/>
      <c r="AH10" s="995"/>
      <c r="AI10" s="995"/>
      <c r="AJ10" s="995"/>
      <c r="AK10" s="995"/>
    </row>
    <row r="11" spans="1:37" ht="17.25" customHeight="1" x14ac:dyDescent="0.25">
      <c r="A11" s="2062"/>
      <c r="B11" s="2061"/>
      <c r="C11" s="2028"/>
      <c r="D11" s="978" t="s">
        <v>1819</v>
      </c>
      <c r="E11" s="978" t="s">
        <v>573</v>
      </c>
      <c r="F11" s="978" t="s">
        <v>154</v>
      </c>
      <c r="G11" s="1000" t="s">
        <v>1754</v>
      </c>
      <c r="H11" s="1001"/>
      <c r="I11" s="1001"/>
      <c r="J11" s="1001">
        <f>3475473+938336</f>
        <v>4413809</v>
      </c>
      <c r="K11" s="1001"/>
      <c r="L11" s="1001"/>
      <c r="M11" s="1001"/>
      <c r="N11" s="1001"/>
      <c r="O11" s="1001"/>
      <c r="P11" s="1002"/>
      <c r="Q11" s="1003"/>
      <c r="R11" s="1001"/>
      <c r="S11" s="1001"/>
      <c r="T11" s="1001">
        <f>499158+134784</f>
        <v>633942</v>
      </c>
      <c r="U11" s="1001"/>
      <c r="V11" s="1001"/>
      <c r="W11" s="1001"/>
      <c r="X11" s="1002"/>
      <c r="Y11" s="995"/>
      <c r="Z11" s="995"/>
      <c r="AA11" s="995"/>
      <c r="AB11" s="995"/>
      <c r="AC11" s="995"/>
      <c r="AD11" s="995"/>
      <c r="AE11" s="995"/>
      <c r="AF11" s="995"/>
      <c r="AG11" s="995"/>
      <c r="AH11" s="995"/>
      <c r="AI11" s="995"/>
      <c r="AJ11" s="995"/>
      <c r="AK11" s="995"/>
    </row>
    <row r="12" spans="1:37" ht="17.25" customHeight="1" x14ac:dyDescent="0.25">
      <c r="A12" s="2062"/>
      <c r="B12" s="2061"/>
      <c r="C12" s="2028"/>
      <c r="D12" s="978" t="s">
        <v>1819</v>
      </c>
      <c r="E12" s="978" t="s">
        <v>574</v>
      </c>
      <c r="F12" s="978" t="s">
        <v>165</v>
      </c>
      <c r="G12" s="1000" t="s">
        <v>1754</v>
      </c>
      <c r="H12" s="1001"/>
      <c r="I12" s="1001"/>
      <c r="J12" s="1001">
        <f>157851+42619</f>
        <v>200470</v>
      </c>
      <c r="K12" s="1001"/>
      <c r="L12" s="1001"/>
      <c r="M12" s="1001"/>
      <c r="N12" s="1001"/>
      <c r="O12" s="1001"/>
      <c r="P12" s="1002"/>
      <c r="Q12" s="1003"/>
      <c r="R12" s="1001"/>
      <c r="S12" s="1001"/>
      <c r="T12" s="1001">
        <f>157851+42619</f>
        <v>200470</v>
      </c>
      <c r="U12" s="1001"/>
      <c r="V12" s="1001"/>
      <c r="W12" s="1001"/>
      <c r="X12" s="1002"/>
      <c r="Y12" s="995"/>
      <c r="Z12" s="995"/>
      <c r="AA12" s="995"/>
      <c r="AB12" s="995"/>
      <c r="AC12" s="995"/>
      <c r="AD12" s="995"/>
      <c r="AE12" s="995"/>
      <c r="AF12" s="995"/>
      <c r="AG12" s="995"/>
      <c r="AH12" s="995"/>
      <c r="AI12" s="995"/>
      <c r="AJ12" s="995"/>
      <c r="AK12" s="995"/>
    </row>
    <row r="13" spans="1:37" ht="17.25" customHeight="1" x14ac:dyDescent="0.25">
      <c r="A13" s="2062"/>
      <c r="B13" s="2061"/>
      <c r="C13" s="2028"/>
      <c r="D13" s="978" t="s">
        <v>1819</v>
      </c>
      <c r="E13" s="978" t="s">
        <v>1297</v>
      </c>
      <c r="F13" s="978" t="s">
        <v>127</v>
      </c>
      <c r="G13" s="1000" t="s">
        <v>1752</v>
      </c>
      <c r="H13" s="1001"/>
      <c r="I13" s="1001"/>
      <c r="J13" s="1001">
        <v>-31791958</v>
      </c>
      <c r="K13" s="1001"/>
      <c r="L13" s="1001"/>
      <c r="M13" s="1001"/>
      <c r="N13" s="1001"/>
      <c r="O13" s="1001"/>
      <c r="P13" s="1002"/>
      <c r="Q13" s="1003"/>
      <c r="R13" s="1001"/>
      <c r="S13" s="1001"/>
      <c r="T13" s="1001"/>
      <c r="U13" s="1001"/>
      <c r="V13" s="1001"/>
      <c r="W13" s="1001"/>
      <c r="X13" s="1002"/>
      <c r="Y13" s="995"/>
      <c r="Z13" s="995"/>
      <c r="AA13" s="995"/>
      <c r="AB13" s="995"/>
      <c r="AC13" s="995"/>
      <c r="AD13" s="995"/>
      <c r="AE13" s="995"/>
      <c r="AF13" s="995"/>
      <c r="AG13" s="995"/>
      <c r="AH13" s="995"/>
      <c r="AI13" s="995"/>
      <c r="AJ13" s="995"/>
      <c r="AK13" s="995"/>
    </row>
    <row r="14" spans="1:37" ht="17.25" customHeight="1" x14ac:dyDescent="0.25">
      <c r="A14" s="2062"/>
      <c r="B14" s="2061"/>
      <c r="C14" s="2028"/>
      <c r="D14" s="978" t="s">
        <v>1819</v>
      </c>
      <c r="E14" s="978" t="s">
        <v>169</v>
      </c>
      <c r="F14" s="978" t="s">
        <v>65</v>
      </c>
      <c r="G14" s="1000" t="s">
        <v>1754</v>
      </c>
      <c r="H14" s="1001"/>
      <c r="I14" s="1001"/>
      <c r="J14" s="1001">
        <v>189865</v>
      </c>
      <c r="K14" s="1001"/>
      <c r="L14" s="1001"/>
      <c r="M14" s="1001"/>
      <c r="N14" s="1001"/>
      <c r="O14" s="1001"/>
      <c r="P14" s="1002"/>
      <c r="Q14" s="1003"/>
      <c r="R14" s="1001"/>
      <c r="S14" s="1001"/>
      <c r="T14" s="1001"/>
      <c r="U14" s="1001"/>
      <c r="V14" s="1001"/>
      <c r="W14" s="1001"/>
      <c r="X14" s="1002"/>
      <c r="Y14" s="995"/>
      <c r="Z14" s="995"/>
      <c r="AA14" s="995"/>
      <c r="AB14" s="995"/>
      <c r="AC14" s="995"/>
      <c r="AD14" s="995"/>
      <c r="AE14" s="995"/>
      <c r="AF14" s="995"/>
      <c r="AG14" s="995"/>
      <c r="AH14" s="995"/>
      <c r="AI14" s="995"/>
      <c r="AJ14" s="995"/>
      <c r="AK14" s="995"/>
    </row>
    <row r="15" spans="1:37" ht="17.25" customHeight="1" x14ac:dyDescent="0.25">
      <c r="A15" s="2062" t="s">
        <v>195</v>
      </c>
      <c r="B15" s="2061" t="s">
        <v>231</v>
      </c>
      <c r="C15" s="2028" t="s">
        <v>1765</v>
      </c>
      <c r="D15" s="978" t="s">
        <v>1819</v>
      </c>
      <c r="E15" s="978" t="s">
        <v>572</v>
      </c>
      <c r="F15" s="978" t="s">
        <v>90</v>
      </c>
      <c r="G15" s="1000" t="s">
        <v>1766</v>
      </c>
      <c r="H15" s="1001">
        <f>-30863+30863</f>
        <v>0</v>
      </c>
      <c r="I15" s="1001"/>
      <c r="J15" s="1001"/>
      <c r="K15" s="1001"/>
      <c r="L15" s="1001"/>
      <c r="M15" s="1001"/>
      <c r="N15" s="1001"/>
      <c r="O15" s="1001"/>
      <c r="P15" s="1002"/>
      <c r="Q15" s="1003"/>
      <c r="R15" s="1001"/>
      <c r="S15" s="1001"/>
      <c r="T15" s="1001"/>
      <c r="U15" s="1001"/>
      <c r="V15" s="1001"/>
      <c r="W15" s="1001"/>
      <c r="X15" s="1002"/>
      <c r="Y15" s="995"/>
      <c r="Z15" s="995"/>
      <c r="AA15" s="995"/>
      <c r="AB15" s="995"/>
      <c r="AC15" s="995"/>
      <c r="AD15" s="995"/>
      <c r="AE15" s="995"/>
      <c r="AF15" s="995"/>
      <c r="AG15" s="995"/>
      <c r="AH15" s="995"/>
      <c r="AI15" s="995"/>
      <c r="AJ15" s="995"/>
      <c r="AK15" s="995"/>
    </row>
    <row r="16" spans="1:37" ht="17.25" customHeight="1" x14ac:dyDescent="0.25">
      <c r="A16" s="2062"/>
      <c r="B16" s="2061"/>
      <c r="C16" s="2028"/>
      <c r="D16" s="978" t="s">
        <v>1819</v>
      </c>
      <c r="E16" s="978" t="s">
        <v>402</v>
      </c>
      <c r="F16" s="978" t="s">
        <v>150</v>
      </c>
      <c r="G16" s="1000" t="s">
        <v>1766</v>
      </c>
      <c r="H16" s="1001">
        <f>-75000+75000</f>
        <v>0</v>
      </c>
      <c r="I16" s="1001"/>
      <c r="J16" s="1001"/>
      <c r="K16" s="1001"/>
      <c r="L16" s="1001"/>
      <c r="M16" s="1001"/>
      <c r="N16" s="1001"/>
      <c r="O16" s="1001"/>
      <c r="P16" s="1002"/>
      <c r="Q16" s="1003"/>
      <c r="R16" s="1001"/>
      <c r="S16" s="1001"/>
      <c r="T16" s="1001"/>
      <c r="U16" s="1001"/>
      <c r="V16" s="1001"/>
      <c r="W16" s="1001"/>
      <c r="X16" s="1002"/>
      <c r="Y16" s="995"/>
      <c r="Z16" s="995"/>
      <c r="AA16" s="995"/>
      <c r="AB16" s="995"/>
      <c r="AC16" s="995"/>
      <c r="AD16" s="995"/>
      <c r="AE16" s="995"/>
      <c r="AF16" s="995"/>
      <c r="AG16" s="995"/>
      <c r="AH16" s="995"/>
      <c r="AI16" s="995"/>
      <c r="AJ16" s="995"/>
      <c r="AK16" s="995"/>
    </row>
    <row r="17" spans="1:37" ht="17.25" customHeight="1" x14ac:dyDescent="0.25">
      <c r="A17" s="2062"/>
      <c r="B17" s="2061"/>
      <c r="C17" s="2028"/>
      <c r="D17" s="978" t="s">
        <v>1819</v>
      </c>
      <c r="E17" s="978" t="s">
        <v>529</v>
      </c>
      <c r="F17" s="978" t="s">
        <v>479</v>
      </c>
      <c r="G17" s="1000" t="s">
        <v>1766</v>
      </c>
      <c r="H17" s="1001">
        <f>-1368+1368</f>
        <v>0</v>
      </c>
      <c r="I17" s="1001"/>
      <c r="J17" s="1001"/>
      <c r="K17" s="1001"/>
      <c r="L17" s="1001"/>
      <c r="M17" s="1001"/>
      <c r="N17" s="1001"/>
      <c r="O17" s="1001"/>
      <c r="P17" s="1002"/>
      <c r="Q17" s="1003"/>
      <c r="R17" s="1001"/>
      <c r="S17" s="1001"/>
      <c r="T17" s="1001"/>
      <c r="U17" s="1001"/>
      <c r="V17" s="1001"/>
      <c r="W17" s="1001"/>
      <c r="X17" s="1002"/>
      <c r="Y17" s="995"/>
      <c r="Z17" s="995"/>
      <c r="AA17" s="995"/>
      <c r="AB17" s="995"/>
      <c r="AC17" s="995"/>
      <c r="AD17" s="995"/>
      <c r="AE17" s="995"/>
      <c r="AF17" s="995"/>
      <c r="AG17" s="995"/>
      <c r="AH17" s="995"/>
      <c r="AI17" s="995"/>
      <c r="AJ17" s="995"/>
      <c r="AK17" s="995"/>
    </row>
    <row r="18" spans="1:37" ht="17.25" customHeight="1" x14ac:dyDescent="0.25">
      <c r="A18" s="2062"/>
      <c r="B18" s="2061"/>
      <c r="C18" s="2028"/>
      <c r="D18" s="978" t="s">
        <v>1819</v>
      </c>
      <c r="E18" s="978" t="s">
        <v>168</v>
      </c>
      <c r="F18" s="978" t="s">
        <v>152</v>
      </c>
      <c r="G18" s="1000" t="s">
        <v>1766</v>
      </c>
      <c r="H18" s="1001">
        <f>-83190+78931+4259</f>
        <v>0</v>
      </c>
      <c r="I18" s="1001"/>
      <c r="J18" s="1001"/>
      <c r="K18" s="1001"/>
      <c r="L18" s="1001"/>
      <c r="M18" s="1001"/>
      <c r="N18" s="1001"/>
      <c r="O18" s="1001"/>
      <c r="P18" s="1002"/>
      <c r="Q18" s="1003"/>
      <c r="R18" s="1001"/>
      <c r="S18" s="1001"/>
      <c r="T18" s="1001"/>
      <c r="U18" s="1001"/>
      <c r="V18" s="1001"/>
      <c r="W18" s="1001"/>
      <c r="X18" s="1002"/>
      <c r="Y18" s="995"/>
      <c r="Z18" s="995"/>
      <c r="AA18" s="995"/>
      <c r="AB18" s="995"/>
      <c r="AC18" s="995"/>
      <c r="AD18" s="995"/>
      <c r="AE18" s="995"/>
      <c r="AF18" s="995"/>
      <c r="AG18" s="995"/>
      <c r="AH18" s="995"/>
      <c r="AI18" s="995"/>
      <c r="AJ18" s="995"/>
      <c r="AK18" s="995"/>
    </row>
    <row r="19" spans="1:37" ht="19.5" customHeight="1" x14ac:dyDescent="0.25">
      <c r="A19" s="2062" t="s">
        <v>196</v>
      </c>
      <c r="B19" s="2061" t="s">
        <v>232</v>
      </c>
      <c r="C19" s="2028" t="s">
        <v>1767</v>
      </c>
      <c r="D19" s="978" t="s">
        <v>1819</v>
      </c>
      <c r="E19" s="978" t="s">
        <v>572</v>
      </c>
      <c r="F19" s="978" t="s">
        <v>90</v>
      </c>
      <c r="G19" s="1000" t="s">
        <v>1766</v>
      </c>
      <c r="H19" s="1001">
        <f>-103393+25204+50000+28189</f>
        <v>0</v>
      </c>
      <c r="I19" s="1001"/>
      <c r="J19" s="1001"/>
      <c r="K19" s="1001"/>
      <c r="L19" s="1001"/>
      <c r="M19" s="1001"/>
      <c r="N19" s="1001"/>
      <c r="O19" s="1001"/>
      <c r="P19" s="1002"/>
      <c r="Q19" s="1003"/>
      <c r="R19" s="1001"/>
      <c r="S19" s="1001"/>
      <c r="T19" s="1001"/>
      <c r="U19" s="1001"/>
      <c r="V19" s="1001"/>
      <c r="W19" s="1001"/>
      <c r="X19" s="1002"/>
      <c r="Y19" s="995"/>
      <c r="Z19" s="995"/>
      <c r="AA19" s="995"/>
      <c r="AB19" s="995"/>
      <c r="AC19" s="995"/>
      <c r="AD19" s="995"/>
      <c r="AE19" s="995"/>
      <c r="AF19" s="995"/>
      <c r="AG19" s="995"/>
      <c r="AH19" s="995"/>
      <c r="AI19" s="995"/>
      <c r="AJ19" s="995"/>
      <c r="AK19" s="995"/>
    </row>
    <row r="20" spans="1:37" ht="19.5" customHeight="1" x14ac:dyDescent="0.25">
      <c r="A20" s="2062"/>
      <c r="B20" s="2061"/>
      <c r="C20" s="2028"/>
      <c r="D20" s="978" t="s">
        <v>1819</v>
      </c>
      <c r="E20" s="978" t="s">
        <v>402</v>
      </c>
      <c r="F20" s="978" t="s">
        <v>150</v>
      </c>
      <c r="G20" s="1000" t="s">
        <v>1766</v>
      </c>
      <c r="H20" s="1001">
        <f>-75000+75000</f>
        <v>0</v>
      </c>
      <c r="I20" s="1001"/>
      <c r="J20" s="1001"/>
      <c r="K20" s="1001"/>
      <c r="L20" s="1001"/>
      <c r="M20" s="1001"/>
      <c r="N20" s="1001"/>
      <c r="O20" s="1001"/>
      <c r="P20" s="1002"/>
      <c r="Q20" s="1003"/>
      <c r="R20" s="1001"/>
      <c r="S20" s="1001"/>
      <c r="T20" s="1001"/>
      <c r="U20" s="1001"/>
      <c r="V20" s="1001"/>
      <c r="W20" s="1001"/>
      <c r="X20" s="1002"/>
      <c r="Y20" s="995"/>
      <c r="Z20" s="995"/>
      <c r="AA20" s="995"/>
      <c r="AB20" s="995"/>
      <c r="AC20" s="995"/>
      <c r="AD20" s="995"/>
      <c r="AE20" s="995"/>
      <c r="AF20" s="995"/>
      <c r="AG20" s="995"/>
      <c r="AH20" s="995"/>
      <c r="AI20" s="995"/>
      <c r="AJ20" s="995"/>
      <c r="AK20" s="995"/>
    </row>
    <row r="21" spans="1:37" ht="19.5" customHeight="1" x14ac:dyDescent="0.25">
      <c r="A21" s="2062"/>
      <c r="B21" s="2061"/>
      <c r="C21" s="2028"/>
      <c r="D21" s="978" t="s">
        <v>1819</v>
      </c>
      <c r="E21" s="978" t="s">
        <v>529</v>
      </c>
      <c r="F21" s="978" t="s">
        <v>479</v>
      </c>
      <c r="G21" s="1000" t="s">
        <v>1766</v>
      </c>
      <c r="H21" s="1001">
        <f>-7182+7182</f>
        <v>0</v>
      </c>
      <c r="I21" s="1001"/>
      <c r="J21" s="1001"/>
      <c r="K21" s="1001"/>
      <c r="L21" s="1001"/>
      <c r="M21" s="1001"/>
      <c r="N21" s="1001"/>
      <c r="O21" s="1001"/>
      <c r="P21" s="1002"/>
      <c r="Q21" s="1003"/>
      <c r="R21" s="1001"/>
      <c r="S21" s="1001"/>
      <c r="T21" s="1001"/>
      <c r="U21" s="1001"/>
      <c r="V21" s="1001"/>
      <c r="W21" s="1001"/>
      <c r="X21" s="1002"/>
      <c r="Y21" s="995"/>
      <c r="Z21" s="995"/>
      <c r="AA21" s="995"/>
      <c r="AB21" s="995"/>
      <c r="AC21" s="995"/>
      <c r="AD21" s="995"/>
      <c r="AE21" s="995"/>
      <c r="AF21" s="995"/>
      <c r="AG21" s="995"/>
      <c r="AH21" s="995"/>
      <c r="AI21" s="995"/>
      <c r="AJ21" s="995"/>
      <c r="AK21" s="995"/>
    </row>
    <row r="22" spans="1:37" ht="19.5" customHeight="1" x14ac:dyDescent="0.25">
      <c r="A22" s="2062"/>
      <c r="B22" s="2061"/>
      <c r="C22" s="2028"/>
      <c r="D22" s="978" t="s">
        <v>1819</v>
      </c>
      <c r="E22" s="978" t="s">
        <v>168</v>
      </c>
      <c r="F22" s="978" t="s">
        <v>152</v>
      </c>
      <c r="G22" s="1000" t="s">
        <v>1766</v>
      </c>
      <c r="H22" s="1001">
        <f>-6174+6174</f>
        <v>0</v>
      </c>
      <c r="I22" s="1001"/>
      <c r="J22" s="1001"/>
      <c r="K22" s="1001"/>
      <c r="L22" s="1001"/>
      <c r="M22" s="1001"/>
      <c r="N22" s="1001"/>
      <c r="O22" s="1001"/>
      <c r="P22" s="1002"/>
      <c r="Q22" s="1003"/>
      <c r="R22" s="1001"/>
      <c r="S22" s="1001"/>
      <c r="T22" s="1001"/>
      <c r="U22" s="1001"/>
      <c r="V22" s="1001"/>
      <c r="W22" s="1001"/>
      <c r="X22" s="1002"/>
      <c r="Y22" s="995"/>
      <c r="Z22" s="995"/>
      <c r="AA22" s="995"/>
      <c r="AB22" s="995"/>
      <c r="AC22" s="995"/>
      <c r="AD22" s="995"/>
      <c r="AE22" s="995"/>
      <c r="AF22" s="995"/>
      <c r="AG22" s="995"/>
      <c r="AH22" s="995"/>
      <c r="AI22" s="995"/>
      <c r="AJ22" s="995"/>
      <c r="AK22" s="995"/>
    </row>
    <row r="23" spans="1:37" ht="16.5" customHeight="1" x14ac:dyDescent="0.25">
      <c r="A23" s="2062" t="s">
        <v>197</v>
      </c>
      <c r="B23" s="2061" t="s">
        <v>233</v>
      </c>
      <c r="C23" s="2028" t="s">
        <v>1820</v>
      </c>
      <c r="D23" s="978" t="s">
        <v>1819</v>
      </c>
      <c r="E23" s="978" t="s">
        <v>525</v>
      </c>
      <c r="F23" s="978" t="s">
        <v>131</v>
      </c>
      <c r="G23" s="1000" t="s">
        <v>1766</v>
      </c>
      <c r="H23" s="1001"/>
      <c r="I23" s="1001"/>
      <c r="J23" s="1001">
        <f>-22000+22000</f>
        <v>0</v>
      </c>
      <c r="K23" s="1001"/>
      <c r="L23" s="1001"/>
      <c r="M23" s="1001"/>
      <c r="N23" s="1001"/>
      <c r="O23" s="1001"/>
      <c r="P23" s="1002"/>
      <c r="Q23" s="1003"/>
      <c r="R23" s="1001"/>
      <c r="S23" s="1001"/>
      <c r="T23" s="1001"/>
      <c r="U23" s="1001"/>
      <c r="V23" s="1001"/>
      <c r="W23" s="1001"/>
      <c r="X23" s="1002"/>
      <c r="Y23" s="995"/>
      <c r="Z23" s="995"/>
      <c r="AA23" s="995"/>
      <c r="AB23" s="995"/>
      <c r="AC23" s="995"/>
      <c r="AD23" s="995"/>
      <c r="AE23" s="995"/>
      <c r="AF23" s="995"/>
      <c r="AG23" s="995"/>
      <c r="AH23" s="995"/>
      <c r="AI23" s="995"/>
      <c r="AJ23" s="995"/>
      <c r="AK23" s="995"/>
    </row>
    <row r="24" spans="1:37" ht="16.5" customHeight="1" x14ac:dyDescent="0.25">
      <c r="A24" s="2062"/>
      <c r="B24" s="2061"/>
      <c r="C24" s="2028"/>
      <c r="D24" s="978" t="s">
        <v>1819</v>
      </c>
      <c r="E24" s="978" t="s">
        <v>402</v>
      </c>
      <c r="F24" s="978" t="s">
        <v>150</v>
      </c>
      <c r="G24" s="1000" t="s">
        <v>1766</v>
      </c>
      <c r="H24" s="1001"/>
      <c r="I24" s="1001"/>
      <c r="J24" s="1001">
        <f>-87000+87000</f>
        <v>0</v>
      </c>
      <c r="K24" s="1001"/>
      <c r="L24" s="1001"/>
      <c r="M24" s="1001"/>
      <c r="N24" s="1001"/>
      <c r="O24" s="1001"/>
      <c r="P24" s="1002"/>
      <c r="Q24" s="1003"/>
      <c r="R24" s="1001"/>
      <c r="S24" s="1001"/>
      <c r="T24" s="1001"/>
      <c r="U24" s="1001"/>
      <c r="V24" s="1001"/>
      <c r="W24" s="1001"/>
      <c r="X24" s="1002"/>
      <c r="Y24" s="995"/>
      <c r="Z24" s="995"/>
      <c r="AA24" s="995"/>
      <c r="AB24" s="995"/>
      <c r="AC24" s="995"/>
      <c r="AD24" s="995"/>
      <c r="AE24" s="995"/>
      <c r="AF24" s="995"/>
      <c r="AG24" s="995"/>
      <c r="AH24" s="995"/>
      <c r="AI24" s="995"/>
      <c r="AJ24" s="995"/>
      <c r="AK24" s="995"/>
    </row>
    <row r="25" spans="1:37" ht="16.5" customHeight="1" x14ac:dyDescent="0.25">
      <c r="A25" s="2062"/>
      <c r="B25" s="2061"/>
      <c r="C25" s="2028"/>
      <c r="D25" s="978" t="s">
        <v>1819</v>
      </c>
      <c r="E25" s="978" t="s">
        <v>166</v>
      </c>
      <c r="F25" s="978" t="s">
        <v>151</v>
      </c>
      <c r="G25" s="1000" t="s">
        <v>1766</v>
      </c>
      <c r="H25" s="1001"/>
      <c r="I25" s="1001"/>
      <c r="J25" s="1001">
        <f>-44000+44000</f>
        <v>0</v>
      </c>
      <c r="K25" s="1001"/>
      <c r="L25" s="1001"/>
      <c r="M25" s="1001"/>
      <c r="N25" s="1001"/>
      <c r="O25" s="1001"/>
      <c r="P25" s="1002"/>
      <c r="Q25" s="1003"/>
      <c r="R25" s="1001"/>
      <c r="S25" s="1001"/>
      <c r="T25" s="1001"/>
      <c r="U25" s="1001"/>
      <c r="V25" s="1001"/>
      <c r="W25" s="1001"/>
      <c r="X25" s="1002"/>
      <c r="Y25" s="995"/>
      <c r="Z25" s="995"/>
      <c r="AA25" s="995"/>
      <c r="AB25" s="995"/>
      <c r="AC25" s="995"/>
      <c r="AD25" s="995"/>
      <c r="AE25" s="995"/>
      <c r="AF25" s="995"/>
      <c r="AG25" s="995"/>
      <c r="AH25" s="995"/>
      <c r="AI25" s="995"/>
      <c r="AJ25" s="995"/>
      <c r="AK25" s="995"/>
    </row>
    <row r="26" spans="1:37" ht="42" customHeight="1" x14ac:dyDescent="0.25">
      <c r="A26" s="1432" t="s">
        <v>198</v>
      </c>
      <c r="B26" s="1431" t="s">
        <v>234</v>
      </c>
      <c r="C26" s="977" t="s">
        <v>1825</v>
      </c>
      <c r="D26" s="978" t="s">
        <v>1819</v>
      </c>
      <c r="E26" s="978" t="s">
        <v>572</v>
      </c>
      <c r="F26" s="978" t="s">
        <v>90</v>
      </c>
      <c r="G26" s="1000" t="s">
        <v>1766</v>
      </c>
      <c r="H26" s="1001"/>
      <c r="I26" s="1001"/>
      <c r="J26" s="1001">
        <f>-500000+500000</f>
        <v>0</v>
      </c>
      <c r="K26" s="1001"/>
      <c r="L26" s="1001"/>
      <c r="M26" s="1001"/>
      <c r="N26" s="1001"/>
      <c r="O26" s="1001"/>
      <c r="P26" s="1002"/>
      <c r="Q26" s="1003"/>
      <c r="R26" s="1001"/>
      <c r="S26" s="1001"/>
      <c r="T26" s="1001"/>
      <c r="U26" s="1001"/>
      <c r="V26" s="1001"/>
      <c r="W26" s="1001"/>
      <c r="X26" s="1002"/>
      <c r="Y26" s="995"/>
      <c r="Z26" s="995"/>
      <c r="AA26" s="995"/>
      <c r="AB26" s="995"/>
      <c r="AC26" s="995"/>
      <c r="AD26" s="995"/>
      <c r="AE26" s="995"/>
      <c r="AF26" s="995"/>
      <c r="AG26" s="995"/>
      <c r="AH26" s="995"/>
      <c r="AI26" s="995"/>
      <c r="AJ26" s="995"/>
      <c r="AK26" s="995"/>
    </row>
    <row r="27" spans="1:37" ht="16.5" customHeight="1" x14ac:dyDescent="0.25">
      <c r="A27" s="2062" t="s">
        <v>199</v>
      </c>
      <c r="B27" s="2061" t="s">
        <v>235</v>
      </c>
      <c r="C27" s="2028" t="s">
        <v>1850</v>
      </c>
      <c r="D27" s="978" t="s">
        <v>1819</v>
      </c>
      <c r="E27" s="978" t="s">
        <v>572</v>
      </c>
      <c r="F27" s="978" t="s">
        <v>90</v>
      </c>
      <c r="G27" s="1000" t="s">
        <v>1766</v>
      </c>
      <c r="H27" s="1001">
        <f>-670033+30033+640000</f>
        <v>0</v>
      </c>
      <c r="I27" s="1001"/>
      <c r="J27" s="1001"/>
      <c r="K27" s="1001"/>
      <c r="L27" s="1001"/>
      <c r="M27" s="1001"/>
      <c r="N27" s="1001"/>
      <c r="O27" s="1001"/>
      <c r="P27" s="1002"/>
      <c r="Q27" s="1003"/>
      <c r="R27" s="1001"/>
      <c r="S27" s="1001"/>
      <c r="T27" s="1001"/>
      <c r="U27" s="1001"/>
      <c r="V27" s="1001"/>
      <c r="W27" s="1001"/>
      <c r="X27" s="1002"/>
      <c r="Y27" s="995"/>
      <c r="Z27" s="995"/>
      <c r="AA27" s="995"/>
      <c r="AB27" s="995"/>
      <c r="AC27" s="995"/>
      <c r="AD27" s="995"/>
      <c r="AE27" s="995"/>
      <c r="AF27" s="995"/>
      <c r="AG27" s="995"/>
      <c r="AH27" s="995"/>
      <c r="AI27" s="995"/>
      <c r="AJ27" s="995"/>
      <c r="AK27" s="995"/>
    </row>
    <row r="28" spans="1:37" ht="16.5" customHeight="1" x14ac:dyDescent="0.25">
      <c r="A28" s="2062"/>
      <c r="B28" s="2061"/>
      <c r="C28" s="2028"/>
      <c r="D28" s="978" t="s">
        <v>1819</v>
      </c>
      <c r="E28" s="978" t="s">
        <v>525</v>
      </c>
      <c r="F28" s="978" t="s">
        <v>131</v>
      </c>
      <c r="G28" s="1000" t="s">
        <v>1766</v>
      </c>
      <c r="H28" s="1001">
        <f>-80000+80000</f>
        <v>0</v>
      </c>
      <c r="I28" s="1001"/>
      <c r="J28" s="1001"/>
      <c r="K28" s="1001"/>
      <c r="L28" s="1001"/>
      <c r="M28" s="1001"/>
      <c r="N28" s="1001"/>
      <c r="O28" s="1001"/>
      <c r="P28" s="1002"/>
      <c r="Q28" s="1003"/>
      <c r="R28" s="1001"/>
      <c r="S28" s="1001"/>
      <c r="T28" s="1001"/>
      <c r="U28" s="1001"/>
      <c r="V28" s="1001"/>
      <c r="W28" s="1001"/>
      <c r="X28" s="1002"/>
      <c r="Y28" s="995"/>
      <c r="Z28" s="995"/>
      <c r="AA28" s="995"/>
      <c r="AB28" s="995"/>
      <c r="AC28" s="995"/>
      <c r="AD28" s="995"/>
      <c r="AE28" s="995"/>
      <c r="AF28" s="995"/>
      <c r="AG28" s="995"/>
      <c r="AH28" s="995"/>
      <c r="AI28" s="995"/>
      <c r="AJ28" s="995"/>
      <c r="AK28" s="995"/>
    </row>
    <row r="29" spans="1:37" ht="16.5" customHeight="1" x14ac:dyDescent="0.25">
      <c r="A29" s="2062"/>
      <c r="B29" s="2061"/>
      <c r="C29" s="2028"/>
      <c r="D29" s="978" t="s">
        <v>1819</v>
      </c>
      <c r="E29" s="978" t="s">
        <v>402</v>
      </c>
      <c r="F29" s="978" t="s">
        <v>150</v>
      </c>
      <c r="G29" s="1000" t="s">
        <v>1766</v>
      </c>
      <c r="H29" s="1001">
        <f>-77058+75000+2058</f>
        <v>0</v>
      </c>
      <c r="I29" s="1001"/>
      <c r="J29" s="1001"/>
      <c r="K29" s="1001"/>
      <c r="L29" s="1001"/>
      <c r="M29" s="1001"/>
      <c r="N29" s="1001"/>
      <c r="O29" s="1001"/>
      <c r="P29" s="1002"/>
      <c r="Q29" s="1003"/>
      <c r="R29" s="1001"/>
      <c r="S29" s="1001"/>
      <c r="T29" s="1001"/>
      <c r="U29" s="1001"/>
      <c r="V29" s="1001"/>
      <c r="W29" s="1001"/>
      <c r="X29" s="1002"/>
      <c r="Y29" s="995"/>
      <c r="Z29" s="995"/>
      <c r="AA29" s="995"/>
      <c r="AB29" s="995"/>
      <c r="AC29" s="995"/>
      <c r="AD29" s="995"/>
      <c r="AE29" s="995"/>
      <c r="AF29" s="995"/>
      <c r="AG29" s="995"/>
      <c r="AH29" s="995"/>
      <c r="AI29" s="995"/>
      <c r="AJ29" s="995"/>
      <c r="AK29" s="995"/>
    </row>
    <row r="30" spans="1:37" ht="16.5" customHeight="1" x14ac:dyDescent="0.25">
      <c r="A30" s="2062"/>
      <c r="B30" s="2061"/>
      <c r="C30" s="2028"/>
      <c r="D30" s="978" t="s">
        <v>1819</v>
      </c>
      <c r="E30" s="978" t="s">
        <v>166</v>
      </c>
      <c r="F30" s="978" t="s">
        <v>151</v>
      </c>
      <c r="G30" s="1000" t="s">
        <v>1766</v>
      </c>
      <c r="H30" s="1001">
        <f>-80000+80000</f>
        <v>0</v>
      </c>
      <c r="I30" s="1001"/>
      <c r="J30" s="1001"/>
      <c r="K30" s="1001"/>
      <c r="L30" s="1001"/>
      <c r="M30" s="1001"/>
      <c r="N30" s="1001"/>
      <c r="O30" s="1001"/>
      <c r="P30" s="1002"/>
      <c r="Q30" s="1003"/>
      <c r="R30" s="1001"/>
      <c r="S30" s="1001"/>
      <c r="T30" s="1001"/>
      <c r="U30" s="1001"/>
      <c r="V30" s="1001"/>
      <c r="W30" s="1001"/>
      <c r="X30" s="1002"/>
      <c r="Y30" s="995"/>
      <c r="Z30" s="995"/>
      <c r="AA30" s="995"/>
      <c r="AB30" s="995"/>
      <c r="AC30" s="995"/>
      <c r="AD30" s="995"/>
      <c r="AE30" s="995"/>
      <c r="AF30" s="995"/>
      <c r="AG30" s="995"/>
      <c r="AH30" s="995"/>
      <c r="AI30" s="995"/>
      <c r="AJ30" s="995"/>
      <c r="AK30" s="995"/>
    </row>
    <row r="31" spans="1:37" ht="16.5" customHeight="1" x14ac:dyDescent="0.25">
      <c r="A31" s="2062"/>
      <c r="B31" s="2061"/>
      <c r="C31" s="2028"/>
      <c r="D31" s="978" t="s">
        <v>1819</v>
      </c>
      <c r="E31" s="978" t="s">
        <v>529</v>
      </c>
      <c r="F31" s="978" t="s">
        <v>479</v>
      </c>
      <c r="G31" s="1000" t="s">
        <v>1766</v>
      </c>
      <c r="H31" s="1001">
        <f>-6840+6840</f>
        <v>0</v>
      </c>
      <c r="I31" s="1001"/>
      <c r="J31" s="1001"/>
      <c r="K31" s="1001"/>
      <c r="L31" s="1001"/>
      <c r="M31" s="1001"/>
      <c r="N31" s="1001"/>
      <c r="O31" s="1001"/>
      <c r="P31" s="1002"/>
      <c r="Q31" s="1003"/>
      <c r="R31" s="1001"/>
      <c r="S31" s="1001"/>
      <c r="T31" s="1001"/>
      <c r="U31" s="1001"/>
      <c r="V31" s="1001"/>
      <c r="W31" s="1001"/>
      <c r="X31" s="1002"/>
      <c r="Y31" s="995"/>
      <c r="Z31" s="995"/>
      <c r="AA31" s="995"/>
      <c r="AB31" s="995"/>
      <c r="AC31" s="995"/>
      <c r="AD31" s="995"/>
      <c r="AE31" s="995"/>
      <c r="AF31" s="995"/>
      <c r="AG31" s="995"/>
      <c r="AH31" s="995"/>
      <c r="AI31" s="995"/>
      <c r="AJ31" s="995"/>
      <c r="AK31" s="995"/>
    </row>
    <row r="32" spans="1:37" ht="16.5" customHeight="1" x14ac:dyDescent="0.25">
      <c r="A32" s="2062"/>
      <c r="B32" s="2061"/>
      <c r="C32" s="2028"/>
      <c r="D32" s="978" t="s">
        <v>1819</v>
      </c>
      <c r="E32" s="978" t="s">
        <v>168</v>
      </c>
      <c r="F32" s="978" t="s">
        <v>152</v>
      </c>
      <c r="G32" s="1000" t="s">
        <v>1766</v>
      </c>
      <c r="H32" s="1001">
        <f>-5430+5430</f>
        <v>0</v>
      </c>
      <c r="I32" s="1001"/>
      <c r="J32" s="1001"/>
      <c r="K32" s="1001"/>
      <c r="L32" s="1001"/>
      <c r="M32" s="1001"/>
      <c r="N32" s="1001"/>
      <c r="O32" s="1001"/>
      <c r="P32" s="1002"/>
      <c r="Q32" s="1003"/>
      <c r="R32" s="1001"/>
      <c r="S32" s="1001"/>
      <c r="T32" s="1001"/>
      <c r="U32" s="1001"/>
      <c r="V32" s="1001"/>
      <c r="W32" s="1001"/>
      <c r="X32" s="1002"/>
      <c r="Y32" s="995"/>
      <c r="Z32" s="995"/>
      <c r="AA32" s="995"/>
      <c r="AB32" s="995"/>
      <c r="AC32" s="995"/>
      <c r="AD32" s="995"/>
      <c r="AE32" s="995"/>
      <c r="AF32" s="995"/>
      <c r="AG32" s="995"/>
      <c r="AH32" s="995"/>
      <c r="AI32" s="995"/>
      <c r="AJ32" s="995"/>
      <c r="AK32" s="995"/>
    </row>
    <row r="33" spans="1:37" ht="16.5" customHeight="1" x14ac:dyDescent="0.25">
      <c r="A33" s="2062" t="s">
        <v>200</v>
      </c>
      <c r="B33" s="2061" t="s">
        <v>236</v>
      </c>
      <c r="C33" s="2028" t="s">
        <v>1852</v>
      </c>
      <c r="D33" s="978" t="s">
        <v>1819</v>
      </c>
      <c r="E33" s="978" t="s">
        <v>572</v>
      </c>
      <c r="F33" s="978" t="s">
        <v>90</v>
      </c>
      <c r="G33" s="1000" t="s">
        <v>1754</v>
      </c>
      <c r="H33" s="1001"/>
      <c r="I33" s="1001"/>
      <c r="J33" s="1001"/>
      <c r="K33" s="1001"/>
      <c r="L33" s="1001"/>
      <c r="M33" s="1001"/>
      <c r="N33" s="1001"/>
      <c r="O33" s="1001"/>
      <c r="P33" s="1002"/>
      <c r="Q33" s="1003"/>
      <c r="R33" s="1001"/>
      <c r="S33" s="1001"/>
      <c r="T33" s="1001">
        <v>211770</v>
      </c>
      <c r="U33" s="1001"/>
      <c r="V33" s="1001"/>
      <c r="W33" s="1001"/>
      <c r="X33" s="1002"/>
      <c r="Y33" s="995"/>
      <c r="Z33" s="995"/>
      <c r="AA33" s="995"/>
      <c r="AB33" s="995"/>
      <c r="AC33" s="995"/>
      <c r="AD33" s="995"/>
      <c r="AE33" s="995"/>
      <c r="AF33" s="995"/>
      <c r="AG33" s="995"/>
      <c r="AH33" s="995"/>
      <c r="AI33" s="995"/>
      <c r="AJ33" s="995"/>
      <c r="AK33" s="995"/>
    </row>
    <row r="34" spans="1:37" ht="16.5" customHeight="1" x14ac:dyDescent="0.25">
      <c r="A34" s="2062"/>
      <c r="B34" s="2061"/>
      <c r="C34" s="2028"/>
      <c r="D34" s="978" t="s">
        <v>1819</v>
      </c>
      <c r="E34" s="978" t="s">
        <v>791</v>
      </c>
      <c r="F34" s="978" t="s">
        <v>134</v>
      </c>
      <c r="G34" s="1000" t="s">
        <v>1754</v>
      </c>
      <c r="H34" s="1001"/>
      <c r="I34" s="1001"/>
      <c r="J34" s="1001">
        <v>211770</v>
      </c>
      <c r="K34" s="1001"/>
      <c r="L34" s="1001"/>
      <c r="M34" s="1001"/>
      <c r="N34" s="1001"/>
      <c r="O34" s="1001"/>
      <c r="P34" s="1002"/>
      <c r="Q34" s="1003"/>
      <c r="R34" s="1001"/>
      <c r="S34" s="1001"/>
      <c r="T34" s="1001"/>
      <c r="U34" s="1001"/>
      <c r="V34" s="1001"/>
      <c r="W34" s="1001"/>
      <c r="X34" s="1002"/>
      <c r="Y34" s="995"/>
      <c r="Z34" s="995"/>
      <c r="AA34" s="995"/>
      <c r="AB34" s="995"/>
      <c r="AC34" s="995"/>
      <c r="AD34" s="995"/>
      <c r="AE34" s="995"/>
      <c r="AF34" s="995"/>
      <c r="AG34" s="995"/>
      <c r="AH34" s="995"/>
      <c r="AI34" s="995"/>
      <c r="AJ34" s="995"/>
      <c r="AK34" s="995"/>
    </row>
    <row r="35" spans="1:37" ht="26.25" customHeight="1" x14ac:dyDescent="0.25">
      <c r="A35" s="1432" t="s">
        <v>201</v>
      </c>
      <c r="B35" s="1431" t="s">
        <v>237</v>
      </c>
      <c r="C35" s="1425" t="s">
        <v>1853</v>
      </c>
      <c r="D35" s="978" t="s">
        <v>1819</v>
      </c>
      <c r="E35" s="978" t="s">
        <v>573</v>
      </c>
      <c r="F35" s="978" t="s">
        <v>66</v>
      </c>
      <c r="G35" s="1000" t="s">
        <v>1754</v>
      </c>
      <c r="H35" s="1001"/>
      <c r="I35" s="1001"/>
      <c r="J35" s="1001">
        <v>50000</v>
      </c>
      <c r="K35" s="1001"/>
      <c r="L35" s="1001"/>
      <c r="M35" s="1001"/>
      <c r="N35" s="1001"/>
      <c r="O35" s="1001"/>
      <c r="P35" s="1002"/>
      <c r="Q35" s="1003"/>
      <c r="R35" s="1001"/>
      <c r="S35" s="1001"/>
      <c r="T35" s="1001">
        <v>50000</v>
      </c>
      <c r="U35" s="1001"/>
      <c r="V35" s="1001"/>
      <c r="W35" s="1001"/>
      <c r="X35" s="1002"/>
      <c r="Y35" s="995"/>
      <c r="Z35" s="995"/>
      <c r="AA35" s="995"/>
      <c r="AB35" s="995"/>
      <c r="AC35" s="995"/>
      <c r="AD35" s="995"/>
      <c r="AE35" s="995"/>
      <c r="AF35" s="995"/>
      <c r="AG35" s="995"/>
      <c r="AH35" s="995"/>
      <c r="AI35" s="995"/>
      <c r="AJ35" s="995"/>
      <c r="AK35" s="995"/>
    </row>
    <row r="36" spans="1:37" ht="27.75" customHeight="1" x14ac:dyDescent="0.25">
      <c r="A36" s="1432" t="s">
        <v>202</v>
      </c>
      <c r="B36" s="1431" t="s">
        <v>238</v>
      </c>
      <c r="C36" s="1425" t="s">
        <v>1859</v>
      </c>
      <c r="D36" s="978" t="s">
        <v>1819</v>
      </c>
      <c r="E36" s="978" t="s">
        <v>572</v>
      </c>
      <c r="F36" s="978" t="s">
        <v>90</v>
      </c>
      <c r="G36" s="1000" t="s">
        <v>1766</v>
      </c>
      <c r="H36" s="1001"/>
      <c r="I36" s="1001"/>
      <c r="J36" s="1001">
        <f>-100000+100000</f>
        <v>0</v>
      </c>
      <c r="K36" s="1001"/>
      <c r="L36" s="1001"/>
      <c r="M36" s="1001"/>
      <c r="N36" s="1001"/>
      <c r="O36" s="1001"/>
      <c r="P36" s="1002"/>
      <c r="Q36" s="1003"/>
      <c r="R36" s="1001"/>
      <c r="S36" s="1001"/>
      <c r="T36" s="1001"/>
      <c r="U36" s="1001"/>
      <c r="V36" s="1001"/>
      <c r="W36" s="1001"/>
      <c r="X36" s="1002"/>
      <c r="Y36" s="995"/>
      <c r="Z36" s="995"/>
      <c r="AA36" s="995"/>
      <c r="AB36" s="995"/>
      <c r="AC36" s="995"/>
      <c r="AD36" s="995"/>
      <c r="AE36" s="995"/>
      <c r="AF36" s="995"/>
      <c r="AG36" s="995"/>
      <c r="AH36" s="995"/>
      <c r="AI36" s="995"/>
      <c r="AJ36" s="995"/>
      <c r="AK36" s="995"/>
    </row>
    <row r="37" spans="1:37" ht="26.25" customHeight="1" x14ac:dyDescent="0.25">
      <c r="A37" s="1432" t="s">
        <v>203</v>
      </c>
      <c r="B37" s="1431" t="s">
        <v>239</v>
      </c>
      <c r="C37" s="1425" t="s">
        <v>1860</v>
      </c>
      <c r="D37" s="978" t="s">
        <v>1819</v>
      </c>
      <c r="E37" s="978" t="s">
        <v>525</v>
      </c>
      <c r="F37" s="978" t="s">
        <v>131</v>
      </c>
      <c r="G37" s="1000" t="s">
        <v>1766</v>
      </c>
      <c r="H37" s="1001"/>
      <c r="I37" s="1001"/>
      <c r="J37" s="1001">
        <f>-1700+1700</f>
        <v>0</v>
      </c>
      <c r="K37" s="1001"/>
      <c r="L37" s="1001"/>
      <c r="M37" s="1001"/>
      <c r="N37" s="1001"/>
      <c r="O37" s="1001"/>
      <c r="P37" s="1002"/>
      <c r="Q37" s="1003"/>
      <c r="R37" s="1001"/>
      <c r="S37" s="1001"/>
      <c r="T37" s="1001"/>
      <c r="U37" s="1001"/>
      <c r="V37" s="1001"/>
      <c r="W37" s="1001"/>
      <c r="X37" s="1002"/>
      <c r="Y37" s="995"/>
      <c r="Z37" s="995"/>
      <c r="AA37" s="995"/>
      <c r="AB37" s="995"/>
      <c r="AC37" s="995"/>
      <c r="AD37" s="995"/>
      <c r="AE37" s="995"/>
      <c r="AF37" s="995"/>
      <c r="AG37" s="995"/>
      <c r="AH37" s="995"/>
      <c r="AI37" s="995"/>
      <c r="AJ37" s="995"/>
      <c r="AK37" s="995"/>
    </row>
    <row r="38" spans="1:37" ht="17.25" customHeight="1" x14ac:dyDescent="0.25">
      <c r="A38" s="2062" t="s">
        <v>204</v>
      </c>
      <c r="B38" s="2061" t="s">
        <v>266</v>
      </c>
      <c r="C38" s="2028" t="s">
        <v>1928</v>
      </c>
      <c r="D38" s="978" t="s">
        <v>1819</v>
      </c>
      <c r="E38" s="978" t="s">
        <v>572</v>
      </c>
      <c r="F38" s="978" t="s">
        <v>90</v>
      </c>
      <c r="G38" s="1000" t="s">
        <v>1766</v>
      </c>
      <c r="H38" s="1001">
        <f>-28524+28524</f>
        <v>0</v>
      </c>
      <c r="I38" s="1001"/>
      <c r="J38" s="1001"/>
      <c r="K38" s="1001"/>
      <c r="L38" s="1001"/>
      <c r="M38" s="1001"/>
      <c r="N38" s="1001"/>
      <c r="O38" s="1001"/>
      <c r="P38" s="1002"/>
      <c r="Q38" s="1003"/>
      <c r="R38" s="1001"/>
      <c r="S38" s="1001"/>
      <c r="T38" s="1001"/>
      <c r="U38" s="1001"/>
      <c r="V38" s="1001"/>
      <c r="W38" s="1001"/>
      <c r="X38" s="1002"/>
      <c r="Y38" s="995"/>
      <c r="Z38" s="995"/>
      <c r="AA38" s="995"/>
      <c r="AB38" s="995"/>
      <c r="AC38" s="995"/>
      <c r="AD38" s="995"/>
      <c r="AE38" s="995"/>
      <c r="AF38" s="995"/>
      <c r="AG38" s="995"/>
      <c r="AH38" s="995"/>
      <c r="AI38" s="995"/>
      <c r="AJ38" s="995"/>
      <c r="AK38" s="995"/>
    </row>
    <row r="39" spans="1:37" ht="17.25" customHeight="1" x14ac:dyDescent="0.25">
      <c r="A39" s="2062"/>
      <c r="B39" s="2061"/>
      <c r="C39" s="2028"/>
      <c r="D39" s="978" t="s">
        <v>1819</v>
      </c>
      <c r="E39" s="978" t="s">
        <v>402</v>
      </c>
      <c r="F39" s="978" t="s">
        <v>150</v>
      </c>
      <c r="G39" s="1000" t="s">
        <v>1766</v>
      </c>
      <c r="H39" s="1001">
        <f>-279170+75000+200000+4170</f>
        <v>0</v>
      </c>
      <c r="I39" s="1001"/>
      <c r="J39" s="1001"/>
      <c r="K39" s="1001"/>
      <c r="L39" s="1001"/>
      <c r="M39" s="1001"/>
      <c r="N39" s="1001"/>
      <c r="O39" s="1001"/>
      <c r="P39" s="1002"/>
      <c r="Q39" s="1003"/>
      <c r="R39" s="1001"/>
      <c r="S39" s="1001"/>
      <c r="T39" s="1001"/>
      <c r="U39" s="1001"/>
      <c r="V39" s="1001"/>
      <c r="W39" s="1001"/>
      <c r="X39" s="1002"/>
      <c r="Y39" s="995"/>
      <c r="Z39" s="995"/>
      <c r="AA39" s="995"/>
      <c r="AB39" s="995"/>
      <c r="AC39" s="995"/>
      <c r="AD39" s="995"/>
      <c r="AE39" s="995"/>
      <c r="AF39" s="995"/>
      <c r="AG39" s="995"/>
      <c r="AH39" s="995"/>
      <c r="AI39" s="995"/>
      <c r="AJ39" s="995"/>
      <c r="AK39" s="995"/>
    </row>
    <row r="40" spans="1:37" ht="17.25" customHeight="1" x14ac:dyDescent="0.25">
      <c r="A40" s="2062"/>
      <c r="B40" s="2061"/>
      <c r="C40" s="2028"/>
      <c r="D40" s="978" t="s">
        <v>1819</v>
      </c>
      <c r="E40" s="978" t="s">
        <v>529</v>
      </c>
      <c r="F40" s="978" t="s">
        <v>479</v>
      </c>
      <c r="G40" s="1000" t="s">
        <v>1766</v>
      </c>
      <c r="H40" s="1001">
        <f>-7182+7182</f>
        <v>0</v>
      </c>
      <c r="I40" s="1001"/>
      <c r="J40" s="1001"/>
      <c r="K40" s="1001"/>
      <c r="L40" s="1001"/>
      <c r="M40" s="1001"/>
      <c r="N40" s="1001"/>
      <c r="O40" s="1001"/>
      <c r="P40" s="1002"/>
      <c r="Q40" s="1003"/>
      <c r="R40" s="1001"/>
      <c r="S40" s="1001"/>
      <c r="T40" s="1001"/>
      <c r="U40" s="1001"/>
      <c r="V40" s="1001"/>
      <c r="W40" s="1001"/>
      <c r="X40" s="1002"/>
      <c r="Y40" s="995"/>
      <c r="Z40" s="995"/>
      <c r="AA40" s="995"/>
      <c r="AB40" s="995"/>
      <c r="AC40" s="995"/>
      <c r="AD40" s="995"/>
      <c r="AE40" s="995"/>
      <c r="AF40" s="995"/>
      <c r="AG40" s="995"/>
      <c r="AH40" s="995"/>
      <c r="AI40" s="995"/>
      <c r="AJ40" s="995"/>
      <c r="AK40" s="995"/>
    </row>
    <row r="41" spans="1:37" ht="17.25" customHeight="1" x14ac:dyDescent="0.25">
      <c r="A41" s="2062"/>
      <c r="B41" s="2061"/>
      <c r="C41" s="2028"/>
      <c r="D41" s="978" t="s">
        <v>1819</v>
      </c>
      <c r="E41" s="978" t="s">
        <v>168</v>
      </c>
      <c r="F41" s="978" t="s">
        <v>152</v>
      </c>
      <c r="G41" s="1000" t="s">
        <v>1766</v>
      </c>
      <c r="H41" s="1001">
        <f>-6324+6324</f>
        <v>0</v>
      </c>
      <c r="I41" s="1001"/>
      <c r="J41" s="1001"/>
      <c r="K41" s="1001"/>
      <c r="L41" s="1001"/>
      <c r="M41" s="1001"/>
      <c r="N41" s="1001"/>
      <c r="O41" s="1001"/>
      <c r="P41" s="1002"/>
      <c r="Q41" s="1003"/>
      <c r="R41" s="1001"/>
      <c r="S41" s="1001"/>
      <c r="T41" s="1001"/>
      <c r="U41" s="1001"/>
      <c r="V41" s="1001"/>
      <c r="W41" s="1001"/>
      <c r="X41" s="1002"/>
      <c r="Y41" s="995"/>
      <c r="Z41" s="995"/>
      <c r="AA41" s="995"/>
      <c r="AB41" s="995"/>
      <c r="AC41" s="995"/>
      <c r="AD41" s="995"/>
      <c r="AE41" s="995"/>
      <c r="AF41" s="995"/>
      <c r="AG41" s="995"/>
      <c r="AH41" s="995"/>
      <c r="AI41" s="995"/>
      <c r="AJ41" s="995"/>
      <c r="AK41" s="995"/>
    </row>
    <row r="42" spans="1:37" ht="27.75" customHeight="1" x14ac:dyDescent="0.25">
      <c r="A42" s="1432" t="s">
        <v>231</v>
      </c>
      <c r="B42" s="1431" t="s">
        <v>267</v>
      </c>
      <c r="C42" s="1425" t="s">
        <v>2037</v>
      </c>
      <c r="D42" s="978" t="s">
        <v>1819</v>
      </c>
      <c r="E42" s="978" t="s">
        <v>572</v>
      </c>
      <c r="F42" s="978" t="s">
        <v>90</v>
      </c>
      <c r="G42" s="1000" t="s">
        <v>1766</v>
      </c>
      <c r="H42" s="1001"/>
      <c r="I42" s="1001"/>
      <c r="J42" s="1001"/>
      <c r="K42" s="1001"/>
      <c r="L42" s="1001"/>
      <c r="M42" s="1001">
        <f>-88575+88575</f>
        <v>0</v>
      </c>
      <c r="N42" s="1001"/>
      <c r="O42" s="1001"/>
      <c r="P42" s="1002"/>
      <c r="Q42" s="1003"/>
      <c r="R42" s="1001"/>
      <c r="S42" s="1001"/>
      <c r="T42" s="1001"/>
      <c r="U42" s="1001"/>
      <c r="V42" s="1001"/>
      <c r="W42" s="1001"/>
      <c r="X42" s="1002"/>
      <c r="Y42" s="995"/>
      <c r="Z42" s="995"/>
      <c r="AA42" s="995"/>
      <c r="AB42" s="995"/>
      <c r="AC42" s="995"/>
      <c r="AD42" s="995"/>
      <c r="AE42" s="995"/>
      <c r="AF42" s="995"/>
      <c r="AG42" s="995"/>
      <c r="AH42" s="995"/>
      <c r="AI42" s="995"/>
      <c r="AJ42" s="995"/>
      <c r="AK42" s="995"/>
    </row>
    <row r="43" spans="1:37" ht="27.75" customHeight="1" x14ac:dyDescent="0.25">
      <c r="A43" s="1432" t="s">
        <v>232</v>
      </c>
      <c r="B43" s="1431" t="s">
        <v>2104</v>
      </c>
      <c r="C43" s="1425" t="s">
        <v>2105</v>
      </c>
      <c r="D43" s="978" t="s">
        <v>1819</v>
      </c>
      <c r="E43" s="978" t="s">
        <v>573</v>
      </c>
      <c r="F43" s="978" t="s">
        <v>154</v>
      </c>
      <c r="G43" s="1000" t="s">
        <v>1754</v>
      </c>
      <c r="H43" s="1001"/>
      <c r="I43" s="1001"/>
      <c r="J43" s="1001">
        <f>396377+107080</f>
        <v>503457</v>
      </c>
      <c r="K43" s="1001"/>
      <c r="L43" s="1001"/>
      <c r="M43" s="1001"/>
      <c r="N43" s="1001"/>
      <c r="O43" s="1001"/>
      <c r="P43" s="1002"/>
      <c r="Q43" s="1003"/>
      <c r="R43" s="1001"/>
      <c r="S43" s="1001"/>
      <c r="T43" s="1001">
        <f>396377+107080</f>
        <v>503457</v>
      </c>
      <c r="U43" s="1001"/>
      <c r="V43" s="1001"/>
      <c r="W43" s="1001"/>
      <c r="X43" s="1002"/>
      <c r="Y43" s="995"/>
      <c r="Z43" s="995"/>
      <c r="AA43" s="995"/>
      <c r="AB43" s="995"/>
      <c r="AC43" s="995"/>
      <c r="AD43" s="995"/>
      <c r="AE43" s="995"/>
      <c r="AF43" s="995"/>
      <c r="AG43" s="995"/>
      <c r="AH43" s="995"/>
      <c r="AI43" s="995"/>
      <c r="AJ43" s="995"/>
      <c r="AK43" s="995"/>
    </row>
    <row r="44" spans="1:37" ht="27" customHeight="1" x14ac:dyDescent="0.25">
      <c r="A44" s="1432" t="s">
        <v>233</v>
      </c>
      <c r="B44" s="1431" t="s">
        <v>270</v>
      </c>
      <c r="C44" s="977" t="s">
        <v>2106</v>
      </c>
      <c r="D44" s="978" t="s">
        <v>1819</v>
      </c>
      <c r="E44" s="978" t="s">
        <v>574</v>
      </c>
      <c r="F44" s="978" t="s">
        <v>165</v>
      </c>
      <c r="G44" s="1000" t="s">
        <v>1754</v>
      </c>
      <c r="H44" s="1001"/>
      <c r="I44" s="1001"/>
      <c r="J44" s="1001">
        <v>1</v>
      </c>
      <c r="K44" s="1001"/>
      <c r="L44" s="1001"/>
      <c r="M44" s="1001"/>
      <c r="N44" s="1001"/>
      <c r="O44" s="1001"/>
      <c r="P44" s="1002"/>
      <c r="Q44" s="1003"/>
      <c r="R44" s="1001"/>
      <c r="S44" s="1001"/>
      <c r="T44" s="1001">
        <v>1</v>
      </c>
      <c r="U44" s="1001"/>
      <c r="V44" s="1001"/>
      <c r="W44" s="1001"/>
      <c r="X44" s="1002"/>
      <c r="Y44" s="995"/>
      <c r="Z44" s="995"/>
      <c r="AA44" s="995"/>
      <c r="AB44" s="995"/>
      <c r="AC44" s="995"/>
      <c r="AD44" s="995"/>
      <c r="AE44" s="995"/>
      <c r="AF44" s="995"/>
      <c r="AG44" s="995"/>
      <c r="AH44" s="995"/>
      <c r="AI44" s="995"/>
      <c r="AJ44" s="995"/>
      <c r="AK44" s="995"/>
    </row>
    <row r="45" spans="1:37" ht="19.5" customHeight="1" x14ac:dyDescent="0.25">
      <c r="A45" s="1170"/>
      <c r="B45" s="1171"/>
      <c r="C45" s="1172"/>
      <c r="D45" s="983"/>
      <c r="E45" s="983"/>
      <c r="F45" s="983"/>
      <c r="G45" s="984"/>
      <c r="H45" s="1004"/>
      <c r="I45" s="1004"/>
      <c r="J45" s="1004"/>
      <c r="K45" s="1004"/>
      <c r="L45" s="1004"/>
      <c r="M45" s="1004"/>
      <c r="N45" s="1004"/>
      <c r="O45" s="1004"/>
      <c r="P45" s="1005"/>
      <c r="Q45" s="1006"/>
      <c r="R45" s="1004"/>
      <c r="S45" s="1004"/>
      <c r="T45" s="1004"/>
      <c r="U45" s="1004"/>
      <c r="V45" s="1004"/>
      <c r="W45" s="1004"/>
      <c r="X45" s="1005"/>
    </row>
    <row r="46" spans="1:37" ht="18.75" x14ac:dyDescent="0.3">
      <c r="A46" s="2021" t="s">
        <v>1663</v>
      </c>
      <c r="B46" s="2022"/>
      <c r="C46" s="2022"/>
      <c r="D46" s="956"/>
      <c r="E46" s="956"/>
      <c r="F46" s="956"/>
      <c r="G46" s="956"/>
      <c r="H46" s="1595">
        <f t="shared" ref="H46:X46" si="0">SUM(H7:H45)</f>
        <v>0</v>
      </c>
      <c r="I46" s="1595">
        <f t="shared" si="0"/>
        <v>0</v>
      </c>
      <c r="J46" s="1595">
        <f t="shared" si="0"/>
        <v>765228</v>
      </c>
      <c r="K46" s="1595">
        <f t="shared" si="0"/>
        <v>0</v>
      </c>
      <c r="L46" s="1595">
        <f t="shared" si="0"/>
        <v>0</v>
      </c>
      <c r="M46" s="1595">
        <f t="shared" si="0"/>
        <v>0</v>
      </c>
      <c r="N46" s="1595">
        <f t="shared" si="0"/>
        <v>0</v>
      </c>
      <c r="O46" s="1595">
        <f t="shared" si="0"/>
        <v>0</v>
      </c>
      <c r="P46" s="1596">
        <f t="shared" si="0"/>
        <v>0</v>
      </c>
      <c r="Q46" s="1597">
        <f t="shared" si="0"/>
        <v>0</v>
      </c>
      <c r="R46" s="1595">
        <f t="shared" si="0"/>
        <v>0</v>
      </c>
      <c r="S46" s="1595">
        <f t="shared" si="0"/>
        <v>0</v>
      </c>
      <c r="T46" s="1595">
        <f t="shared" si="0"/>
        <v>765228</v>
      </c>
      <c r="U46" s="1595">
        <f t="shared" si="0"/>
        <v>0</v>
      </c>
      <c r="V46" s="1595">
        <f t="shared" si="0"/>
        <v>0</v>
      </c>
      <c r="W46" s="1595">
        <f t="shared" si="0"/>
        <v>0</v>
      </c>
      <c r="X46" s="1596">
        <f t="shared" si="0"/>
        <v>0</v>
      </c>
    </row>
    <row r="47" spans="1:37" x14ac:dyDescent="0.25">
      <c r="A47" s="1007"/>
      <c r="B47" s="1007"/>
      <c r="C47" s="1008"/>
      <c r="D47" s="970"/>
      <c r="E47" s="1009"/>
      <c r="F47" s="1009"/>
      <c r="G47" s="1009"/>
      <c r="H47" s="995"/>
      <c r="I47" s="995"/>
      <c r="J47" s="995"/>
      <c r="K47" s="995"/>
      <c r="L47" s="995"/>
      <c r="M47" s="995"/>
      <c r="N47" s="995"/>
      <c r="O47" s="995"/>
      <c r="P47" s="995"/>
      <c r="Q47" s="995"/>
      <c r="R47" s="995"/>
      <c r="S47" s="995"/>
      <c r="T47" s="995"/>
      <c r="U47" s="995"/>
      <c r="V47" s="995"/>
      <c r="W47" s="995"/>
      <c r="X47" s="995"/>
    </row>
    <row r="48" spans="1:37" x14ac:dyDescent="0.25">
      <c r="A48" s="1007"/>
      <c r="B48" s="1007"/>
      <c r="C48" s="1008"/>
      <c r="D48" s="970"/>
      <c r="E48" s="1009"/>
      <c r="F48" s="1009"/>
      <c r="G48" s="1009"/>
      <c r="H48" s="995"/>
      <c r="I48" s="995"/>
      <c r="J48" s="995"/>
      <c r="K48" s="995"/>
      <c r="L48" s="995"/>
      <c r="M48" s="995"/>
      <c r="N48" s="995"/>
      <c r="O48" s="995"/>
      <c r="P48" s="995"/>
      <c r="Q48" s="995"/>
      <c r="R48" s="995"/>
      <c r="S48" s="995"/>
      <c r="T48" s="995"/>
      <c r="U48" s="995"/>
      <c r="V48" s="995"/>
      <c r="W48" s="995"/>
      <c r="X48" s="995"/>
    </row>
    <row r="49" spans="1:24" x14ac:dyDescent="0.25">
      <c r="H49" s="995"/>
      <c r="I49" s="995"/>
      <c r="J49" s="995"/>
      <c r="K49" s="995"/>
      <c r="L49" s="995"/>
      <c r="M49" s="995"/>
      <c r="N49" s="995"/>
      <c r="O49" s="995"/>
      <c r="P49" s="995"/>
      <c r="Q49" s="995"/>
      <c r="R49" s="995"/>
      <c r="S49" s="995"/>
      <c r="T49" s="995"/>
      <c r="U49" s="995"/>
      <c r="V49" s="995"/>
      <c r="W49" s="995"/>
      <c r="X49" s="995"/>
    </row>
    <row r="50" spans="1:24" ht="21.75" customHeight="1" x14ac:dyDescent="0.25">
      <c r="H50" s="995"/>
      <c r="I50" s="2042" t="s">
        <v>1664</v>
      </c>
      <c r="J50" s="2042"/>
      <c r="K50" s="2042"/>
      <c r="L50" s="2042">
        <v>1082738514</v>
      </c>
      <c r="M50" s="2042"/>
      <c r="N50" s="996"/>
      <c r="O50" s="996"/>
      <c r="P50" s="996"/>
      <c r="Q50" s="996"/>
      <c r="R50" s="2042" t="s">
        <v>1665</v>
      </c>
      <c r="S50" s="2042"/>
      <c r="T50" s="2042"/>
      <c r="U50" s="2042">
        <v>1082738514</v>
      </c>
      <c r="V50" s="2042"/>
      <c r="W50" s="995"/>
      <c r="X50" s="995"/>
    </row>
    <row r="51" spans="1:24" ht="21.75" customHeight="1" x14ac:dyDescent="0.25">
      <c r="H51" s="995"/>
      <c r="I51" s="2042" t="s">
        <v>1666</v>
      </c>
      <c r="J51" s="2042"/>
      <c r="K51" s="2042"/>
      <c r="L51" s="2042">
        <f>SUM(H46:P46)</f>
        <v>765228</v>
      </c>
      <c r="M51" s="2042"/>
      <c r="N51" s="996"/>
      <c r="O51" s="996"/>
      <c r="P51" s="996"/>
      <c r="Q51" s="996"/>
      <c r="R51" s="2042" t="s">
        <v>1666</v>
      </c>
      <c r="S51" s="2042"/>
      <c r="T51" s="2042"/>
      <c r="U51" s="2042">
        <f>SUM(Q46:X46)</f>
        <v>765228</v>
      </c>
      <c r="V51" s="2042"/>
      <c r="W51" s="995"/>
      <c r="X51" s="995"/>
    </row>
    <row r="52" spans="1:24" ht="21.75" customHeight="1" x14ac:dyDescent="0.25">
      <c r="H52" s="995"/>
      <c r="I52" s="2042" t="s">
        <v>1512</v>
      </c>
      <c r="J52" s="2042"/>
      <c r="K52" s="2042"/>
      <c r="L52" s="2042">
        <f>+L50+L51</f>
        <v>1083503742</v>
      </c>
      <c r="M52" s="2042"/>
      <c r="N52" s="996"/>
      <c r="O52" s="996"/>
      <c r="P52" s="996"/>
      <c r="Q52" s="996"/>
      <c r="R52" s="2042" t="s">
        <v>1512</v>
      </c>
      <c r="S52" s="2042"/>
      <c r="T52" s="2042"/>
      <c r="U52" s="2042">
        <f>+U50+U51</f>
        <v>1083503742</v>
      </c>
      <c r="V52" s="2042"/>
      <c r="W52" s="995"/>
      <c r="X52" s="995"/>
    </row>
    <row r="53" spans="1:24" ht="21.75" customHeight="1" x14ac:dyDescent="0.25">
      <c r="H53" s="995"/>
      <c r="I53" s="1249"/>
      <c r="J53" s="1249"/>
      <c r="K53" s="1249"/>
      <c r="L53" s="1249"/>
      <c r="M53" s="1249"/>
      <c r="N53" s="996"/>
      <c r="O53" s="996"/>
      <c r="P53" s="996"/>
      <c r="Q53" s="996"/>
      <c r="R53" s="1249"/>
      <c r="S53" s="1249"/>
      <c r="T53" s="1249"/>
      <c r="U53" s="1249"/>
      <c r="V53" s="1249"/>
      <c r="W53" s="995"/>
      <c r="X53" s="995"/>
    </row>
    <row r="54" spans="1:24" ht="21.75" customHeight="1" x14ac:dyDescent="0.25">
      <c r="H54" s="995"/>
      <c r="I54" s="1249"/>
      <c r="J54" s="1249"/>
      <c r="K54" s="1249"/>
      <c r="L54" s="1249"/>
      <c r="M54" s="1249"/>
      <c r="N54" s="996"/>
      <c r="O54" s="996"/>
      <c r="P54" s="996"/>
      <c r="Q54" s="996"/>
      <c r="R54" s="1249"/>
      <c r="S54" s="1249"/>
      <c r="T54" s="1249"/>
      <c r="U54" s="1249"/>
      <c r="V54" s="1249"/>
      <c r="W54" s="995"/>
      <c r="X54" s="995"/>
    </row>
    <row r="55" spans="1:24" ht="21.75" customHeight="1" x14ac:dyDescent="0.25">
      <c r="H55" s="995"/>
      <c r="I55" s="1249"/>
      <c r="J55" s="1249"/>
      <c r="K55" s="1249"/>
      <c r="L55" s="1249"/>
      <c r="M55" s="1249"/>
      <c r="N55" s="996"/>
      <c r="O55" s="996"/>
      <c r="P55" s="996"/>
      <c r="Q55" s="996"/>
      <c r="R55" s="1249"/>
      <c r="S55" s="1249"/>
      <c r="T55" s="1249"/>
      <c r="U55" s="1249"/>
      <c r="V55" s="1249"/>
      <c r="W55" s="995"/>
      <c r="X55" s="995"/>
    </row>
    <row r="56" spans="1:24" ht="15.75" x14ac:dyDescent="0.25">
      <c r="A56" s="2010" t="s">
        <v>2555</v>
      </c>
      <c r="B56" s="2010"/>
      <c r="C56" s="2010"/>
      <c r="D56" s="2010"/>
      <c r="E56" s="2010"/>
      <c r="F56" s="2010"/>
      <c r="G56" s="2010"/>
      <c r="H56" s="2010"/>
      <c r="I56" s="2010"/>
      <c r="J56" s="2010"/>
      <c r="K56" s="2010"/>
      <c r="L56" s="2010"/>
      <c r="M56" s="2010"/>
      <c r="N56" s="2010"/>
      <c r="O56" s="2010"/>
      <c r="P56" s="2010"/>
      <c r="Q56" s="2010"/>
      <c r="R56" s="2010"/>
      <c r="S56" s="2010"/>
      <c r="T56" s="2010"/>
      <c r="U56" s="2010"/>
      <c r="V56" s="2010"/>
      <c r="W56" s="2010"/>
      <c r="X56" s="2010"/>
    </row>
    <row r="57" spans="1:24" ht="15.75" x14ac:dyDescent="0.25">
      <c r="A57" s="1246"/>
      <c r="B57" s="1246"/>
      <c r="C57" s="1246"/>
      <c r="D57" s="1246"/>
      <c r="E57" s="1246"/>
      <c r="F57" s="1246"/>
      <c r="G57" s="1246"/>
      <c r="H57" s="1246"/>
      <c r="I57" s="1246"/>
      <c r="J57" s="1246"/>
      <c r="K57" s="1246"/>
      <c r="L57" s="1246"/>
      <c r="M57" s="1246"/>
      <c r="N57" s="1246"/>
      <c r="O57" s="1246"/>
      <c r="P57" s="1246"/>
      <c r="Q57" s="1246"/>
      <c r="R57" s="1246"/>
      <c r="S57" s="1246"/>
      <c r="T57" s="1246"/>
      <c r="U57" s="1246"/>
      <c r="V57" s="1246"/>
      <c r="W57" s="1246"/>
      <c r="X57" s="1246"/>
    </row>
    <row r="58" spans="1:24" x14ac:dyDescent="0.25">
      <c r="A58" s="970"/>
      <c r="B58" s="970"/>
      <c r="C58" s="969"/>
      <c r="D58" s="970"/>
      <c r="E58" s="970"/>
      <c r="F58" s="970"/>
      <c r="G58" s="970"/>
      <c r="H58" s="970"/>
      <c r="I58" s="970"/>
      <c r="J58" s="970"/>
      <c r="K58" s="970"/>
      <c r="L58" s="970"/>
      <c r="M58" s="970"/>
      <c r="N58" s="970"/>
      <c r="O58" s="970"/>
      <c r="P58" s="970"/>
      <c r="Q58" s="970"/>
      <c r="R58" s="970"/>
      <c r="S58" s="970"/>
      <c r="T58" s="970"/>
      <c r="U58" s="970"/>
      <c r="V58" s="970"/>
      <c r="W58" s="970"/>
      <c r="X58" s="970"/>
    </row>
    <row r="59" spans="1:24" x14ac:dyDescent="0.25">
      <c r="A59" s="2055" t="s">
        <v>25</v>
      </c>
      <c r="B59" s="2055"/>
      <c r="C59" s="2055"/>
      <c r="D59" s="2055"/>
      <c r="E59" s="2055"/>
      <c r="F59" s="2055"/>
      <c r="G59" s="2055"/>
      <c r="H59" s="2055"/>
      <c r="I59" s="2055"/>
      <c r="J59" s="2055"/>
      <c r="K59" s="2055"/>
      <c r="L59" s="2055"/>
      <c r="M59" s="2055"/>
      <c r="N59" s="2055"/>
      <c r="O59" s="2055"/>
      <c r="P59" s="2055"/>
      <c r="Q59" s="2055"/>
      <c r="R59" s="2055"/>
      <c r="S59" s="2055"/>
      <c r="T59" s="2055"/>
      <c r="U59" s="2055"/>
      <c r="V59" s="2055"/>
      <c r="W59" s="2055"/>
      <c r="X59" s="2055"/>
    </row>
    <row r="60" spans="1:24" ht="18" customHeight="1" x14ac:dyDescent="0.25">
      <c r="Q60" s="972"/>
    </row>
    <row r="61" spans="1:24" ht="15" customHeight="1" x14ac:dyDescent="0.25">
      <c r="A61" s="2056" t="s">
        <v>37</v>
      </c>
      <c r="B61" s="1773" t="s">
        <v>1640</v>
      </c>
      <c r="C61" s="2058" t="s">
        <v>2</v>
      </c>
      <c r="D61" s="2037" t="s">
        <v>1641</v>
      </c>
      <c r="E61" s="2037" t="s">
        <v>116</v>
      </c>
      <c r="F61" s="2037" t="s">
        <v>1642</v>
      </c>
      <c r="G61" s="2037" t="s">
        <v>1643</v>
      </c>
      <c r="H61" s="2039" t="s">
        <v>1644</v>
      </c>
      <c r="I61" s="2039"/>
      <c r="J61" s="2039"/>
      <c r="K61" s="2039"/>
      <c r="L61" s="2039"/>
      <c r="M61" s="2039"/>
      <c r="N61" s="2039"/>
      <c r="O61" s="2066"/>
      <c r="P61" s="1434"/>
      <c r="Q61" s="2040" t="s">
        <v>1645</v>
      </c>
      <c r="R61" s="2039"/>
      <c r="S61" s="2039"/>
      <c r="T61" s="2039"/>
      <c r="U61" s="2039"/>
      <c r="V61" s="2039"/>
      <c r="W61" s="2039"/>
      <c r="X61" s="2041"/>
    </row>
    <row r="62" spans="1:24" ht="83.25" customHeight="1" x14ac:dyDescent="0.25">
      <c r="A62" s="2057"/>
      <c r="B62" s="1774"/>
      <c r="C62" s="2059"/>
      <c r="D62" s="2038"/>
      <c r="E62" s="2038"/>
      <c r="F62" s="2038"/>
      <c r="G62" s="2038"/>
      <c r="H62" s="941" t="s">
        <v>1667</v>
      </c>
      <c r="I62" s="941" t="s">
        <v>1678</v>
      </c>
      <c r="J62" s="941" t="s">
        <v>1679</v>
      </c>
      <c r="K62" s="941" t="s">
        <v>1680</v>
      </c>
      <c r="L62" s="941" t="s">
        <v>1681</v>
      </c>
      <c r="M62" s="941" t="s">
        <v>1682</v>
      </c>
      <c r="N62" s="941" t="s">
        <v>1673</v>
      </c>
      <c r="O62" s="941" t="s">
        <v>1653</v>
      </c>
      <c r="P62" s="944" t="s">
        <v>1654</v>
      </c>
      <c r="Q62" s="999" t="s">
        <v>1683</v>
      </c>
      <c r="R62" s="941" t="s">
        <v>1684</v>
      </c>
      <c r="S62" s="941" t="s">
        <v>1685</v>
      </c>
      <c r="T62" s="941" t="s">
        <v>1686</v>
      </c>
      <c r="U62" s="941" t="s">
        <v>1659</v>
      </c>
      <c r="V62" s="941" t="s">
        <v>1687</v>
      </c>
      <c r="W62" s="941" t="s">
        <v>1661</v>
      </c>
      <c r="X62" s="944" t="s">
        <v>1688</v>
      </c>
    </row>
    <row r="63" spans="1:24" ht="17.25" customHeight="1" x14ac:dyDescent="0.25">
      <c r="A63" s="2056" t="s">
        <v>234</v>
      </c>
      <c r="B63" s="2058" t="s">
        <v>271</v>
      </c>
      <c r="C63" s="2060" t="s">
        <v>2158</v>
      </c>
      <c r="D63" s="974" t="s">
        <v>1819</v>
      </c>
      <c r="E63" s="974" t="s">
        <v>1297</v>
      </c>
      <c r="F63" s="974" t="s">
        <v>127</v>
      </c>
      <c r="G63" s="975" t="s">
        <v>1754</v>
      </c>
      <c r="H63" s="1019"/>
      <c r="I63" s="1019"/>
      <c r="J63" s="1019"/>
      <c r="K63" s="1019"/>
      <c r="L63" s="1019"/>
      <c r="M63" s="1019"/>
      <c r="N63" s="1019"/>
      <c r="O63" s="1019"/>
      <c r="P63" s="1020"/>
      <c r="Q63" s="1320"/>
      <c r="R63" s="1019"/>
      <c r="S63" s="1019"/>
      <c r="T63" s="1019"/>
      <c r="U63" s="1019"/>
      <c r="V63" s="1019"/>
      <c r="W63" s="1019"/>
      <c r="X63" s="1020">
        <v>423750</v>
      </c>
    </row>
    <row r="64" spans="1:24" ht="17.25" customHeight="1" x14ac:dyDescent="0.25">
      <c r="A64" s="2062"/>
      <c r="B64" s="2061"/>
      <c r="C64" s="2028"/>
      <c r="D64" s="978" t="s">
        <v>1819</v>
      </c>
      <c r="E64" s="978" t="s">
        <v>572</v>
      </c>
      <c r="F64" s="978" t="s">
        <v>90</v>
      </c>
      <c r="G64" s="1000" t="s">
        <v>1754</v>
      </c>
      <c r="H64" s="1001">
        <v>375000</v>
      </c>
      <c r="I64" s="1001">
        <v>48750</v>
      </c>
      <c r="J64" s="1001"/>
      <c r="K64" s="1001"/>
      <c r="L64" s="1001"/>
      <c r="M64" s="1001"/>
      <c r="N64" s="1001"/>
      <c r="O64" s="1001"/>
      <c r="P64" s="1002"/>
      <c r="Q64" s="1321"/>
      <c r="R64" s="1001"/>
      <c r="S64" s="1001"/>
      <c r="T64" s="1001"/>
      <c r="U64" s="1001"/>
      <c r="V64" s="1001"/>
      <c r="W64" s="1001"/>
      <c r="X64" s="1002"/>
    </row>
    <row r="65" spans="1:24" ht="12.75" customHeight="1" x14ac:dyDescent="0.25">
      <c r="A65" s="2062" t="s">
        <v>235</v>
      </c>
      <c r="B65" s="2061" t="s">
        <v>272</v>
      </c>
      <c r="C65" s="2028" t="s">
        <v>2159</v>
      </c>
      <c r="D65" s="978" t="s">
        <v>1819</v>
      </c>
      <c r="E65" s="978" t="s">
        <v>1297</v>
      </c>
      <c r="F65" s="978" t="s">
        <v>127</v>
      </c>
      <c r="G65" s="1000" t="s">
        <v>1754</v>
      </c>
      <c r="H65" s="1001"/>
      <c r="I65" s="1001"/>
      <c r="J65" s="1001"/>
      <c r="K65" s="1001"/>
      <c r="L65" s="1001"/>
      <c r="M65" s="1001"/>
      <c r="N65" s="1001"/>
      <c r="O65" s="1001"/>
      <c r="P65" s="1002"/>
      <c r="Q65" s="1321"/>
      <c r="R65" s="1001"/>
      <c r="S65" s="1001"/>
      <c r="T65" s="1001"/>
      <c r="U65" s="1001"/>
      <c r="V65" s="1001"/>
      <c r="W65" s="1001"/>
      <c r="X65" s="1002">
        <v>3955000</v>
      </c>
    </row>
    <row r="66" spans="1:24" ht="12.75" customHeight="1" x14ac:dyDescent="0.25">
      <c r="A66" s="2062"/>
      <c r="B66" s="2061"/>
      <c r="C66" s="2028"/>
      <c r="D66" s="978" t="s">
        <v>1819</v>
      </c>
      <c r="E66" s="978" t="s">
        <v>572</v>
      </c>
      <c r="F66" s="978" t="s">
        <v>90</v>
      </c>
      <c r="G66" s="1000" t="s">
        <v>1754</v>
      </c>
      <c r="H66" s="1001">
        <v>900000</v>
      </c>
      <c r="I66" s="1001">
        <v>117000</v>
      </c>
      <c r="J66" s="1001"/>
      <c r="K66" s="1001"/>
      <c r="L66" s="1001"/>
      <c r="M66" s="1001"/>
      <c r="N66" s="1001"/>
      <c r="O66" s="1001"/>
      <c r="P66" s="1002"/>
      <c r="Q66" s="1321"/>
      <c r="R66" s="1001"/>
      <c r="S66" s="1001"/>
      <c r="T66" s="1001"/>
      <c r="U66" s="1001"/>
      <c r="V66" s="1001"/>
      <c r="W66" s="1001"/>
      <c r="X66" s="1002"/>
    </row>
    <row r="67" spans="1:24" ht="12.75" customHeight="1" x14ac:dyDescent="0.25">
      <c r="A67" s="2062"/>
      <c r="B67" s="2061"/>
      <c r="C67" s="2028"/>
      <c r="D67" s="978" t="s">
        <v>1819</v>
      </c>
      <c r="E67" s="978" t="s">
        <v>525</v>
      </c>
      <c r="F67" s="978" t="s">
        <v>131</v>
      </c>
      <c r="G67" s="1000" t="s">
        <v>1754</v>
      </c>
      <c r="H67" s="1001">
        <v>100000</v>
      </c>
      <c r="I67" s="1001">
        <v>13000</v>
      </c>
      <c r="J67" s="1001"/>
      <c r="K67" s="1001"/>
      <c r="L67" s="1001"/>
      <c r="M67" s="1001"/>
      <c r="N67" s="1001"/>
      <c r="O67" s="1001"/>
      <c r="P67" s="1002"/>
      <c r="Q67" s="1321"/>
      <c r="R67" s="1001"/>
      <c r="S67" s="1001"/>
      <c r="T67" s="1001"/>
      <c r="U67" s="1001"/>
      <c r="V67" s="1001"/>
      <c r="W67" s="1001"/>
      <c r="X67" s="1002"/>
    </row>
    <row r="68" spans="1:24" ht="12.75" customHeight="1" x14ac:dyDescent="0.25">
      <c r="A68" s="2062"/>
      <c r="B68" s="2061"/>
      <c r="C68" s="2028"/>
      <c r="D68" s="978" t="s">
        <v>1819</v>
      </c>
      <c r="E68" s="978" t="s">
        <v>402</v>
      </c>
      <c r="F68" s="978" t="s">
        <v>150</v>
      </c>
      <c r="G68" s="1000" t="s">
        <v>1754</v>
      </c>
      <c r="H68" s="1001">
        <v>500000</v>
      </c>
      <c r="I68" s="1001">
        <v>65000</v>
      </c>
      <c r="J68" s="1001"/>
      <c r="K68" s="1001"/>
      <c r="L68" s="1001"/>
      <c r="M68" s="1001"/>
      <c r="N68" s="1001"/>
      <c r="O68" s="1001"/>
      <c r="P68" s="1002"/>
      <c r="Q68" s="1321"/>
      <c r="R68" s="1001"/>
      <c r="S68" s="1001"/>
      <c r="T68" s="1001"/>
      <c r="U68" s="1001"/>
      <c r="V68" s="1001"/>
      <c r="W68" s="1001"/>
      <c r="X68" s="1002"/>
    </row>
    <row r="69" spans="1:24" ht="12.75" customHeight="1" x14ac:dyDescent="0.25">
      <c r="A69" s="2062"/>
      <c r="B69" s="2061"/>
      <c r="C69" s="2028"/>
      <c r="D69" s="978" t="s">
        <v>1819</v>
      </c>
      <c r="E69" s="978" t="s">
        <v>166</v>
      </c>
      <c r="F69" s="978" t="s">
        <v>151</v>
      </c>
      <c r="G69" s="1000" t="s">
        <v>1754</v>
      </c>
      <c r="H69" s="1001">
        <v>100000</v>
      </c>
      <c r="I69" s="1001">
        <v>13000</v>
      </c>
      <c r="J69" s="1001"/>
      <c r="K69" s="1001"/>
      <c r="L69" s="1001"/>
      <c r="M69" s="1001"/>
      <c r="N69" s="1001"/>
      <c r="O69" s="1001"/>
      <c r="P69" s="1002"/>
      <c r="Q69" s="1321"/>
      <c r="R69" s="1001"/>
      <c r="S69" s="1001"/>
      <c r="T69" s="1001"/>
      <c r="U69" s="1001"/>
      <c r="V69" s="1001"/>
      <c r="W69" s="1001"/>
      <c r="X69" s="1002"/>
    </row>
    <row r="70" spans="1:24" ht="12.75" customHeight="1" x14ac:dyDescent="0.25">
      <c r="A70" s="2062"/>
      <c r="B70" s="2061"/>
      <c r="C70" s="2028"/>
      <c r="D70" s="978" t="s">
        <v>1819</v>
      </c>
      <c r="E70" s="978" t="s">
        <v>791</v>
      </c>
      <c r="F70" s="978" t="s">
        <v>134</v>
      </c>
      <c r="G70" s="1000" t="s">
        <v>1754</v>
      </c>
      <c r="H70" s="1001">
        <v>100000</v>
      </c>
      <c r="I70" s="1001">
        <v>13000</v>
      </c>
      <c r="J70" s="1001"/>
      <c r="K70" s="1001"/>
      <c r="L70" s="1001"/>
      <c r="M70" s="1001"/>
      <c r="N70" s="1001"/>
      <c r="O70" s="1001"/>
      <c r="P70" s="1002"/>
      <c r="Q70" s="1321"/>
      <c r="R70" s="1001"/>
      <c r="S70" s="1001"/>
      <c r="T70" s="1001"/>
      <c r="U70" s="1001"/>
      <c r="V70" s="1001"/>
      <c r="W70" s="1001"/>
      <c r="X70" s="1002"/>
    </row>
    <row r="71" spans="1:24" ht="12.75" customHeight="1" x14ac:dyDescent="0.25">
      <c r="A71" s="2062"/>
      <c r="B71" s="2061"/>
      <c r="C71" s="2028"/>
      <c r="D71" s="978" t="s">
        <v>1819</v>
      </c>
      <c r="E71" s="978" t="s">
        <v>529</v>
      </c>
      <c r="F71" s="978" t="s">
        <v>479</v>
      </c>
      <c r="G71" s="1000" t="s">
        <v>1754</v>
      </c>
      <c r="H71" s="1001">
        <v>200000</v>
      </c>
      <c r="I71" s="1001">
        <v>26000</v>
      </c>
      <c r="J71" s="1001"/>
      <c r="K71" s="1001"/>
      <c r="L71" s="1001"/>
      <c r="M71" s="1001"/>
      <c r="N71" s="1001"/>
      <c r="O71" s="1001"/>
      <c r="P71" s="1002"/>
      <c r="Q71" s="1321"/>
      <c r="R71" s="1001"/>
      <c r="S71" s="1001"/>
      <c r="T71" s="1001"/>
      <c r="U71" s="1001"/>
      <c r="V71" s="1001"/>
      <c r="W71" s="1001"/>
      <c r="X71" s="1002"/>
    </row>
    <row r="72" spans="1:24" ht="12.75" customHeight="1" x14ac:dyDescent="0.25">
      <c r="A72" s="2062"/>
      <c r="B72" s="2061"/>
      <c r="C72" s="2028"/>
      <c r="D72" s="978" t="s">
        <v>1819</v>
      </c>
      <c r="E72" s="978" t="s">
        <v>531</v>
      </c>
      <c r="F72" s="978" t="s">
        <v>481</v>
      </c>
      <c r="G72" s="1000" t="s">
        <v>1754</v>
      </c>
      <c r="H72" s="1001">
        <v>200000</v>
      </c>
      <c r="I72" s="1001">
        <v>26000</v>
      </c>
      <c r="J72" s="1001"/>
      <c r="K72" s="1001"/>
      <c r="L72" s="1001"/>
      <c r="M72" s="1001"/>
      <c r="N72" s="1001"/>
      <c r="O72" s="1001"/>
      <c r="P72" s="1002"/>
      <c r="Q72" s="1321"/>
      <c r="R72" s="1001"/>
      <c r="S72" s="1001"/>
      <c r="T72" s="1001"/>
      <c r="U72" s="1001"/>
      <c r="V72" s="1001"/>
      <c r="W72" s="1001"/>
      <c r="X72" s="1002"/>
    </row>
    <row r="73" spans="1:24" ht="12.75" customHeight="1" x14ac:dyDescent="0.25">
      <c r="A73" s="2062"/>
      <c r="B73" s="2061"/>
      <c r="C73" s="2028"/>
      <c r="D73" s="978" t="s">
        <v>1819</v>
      </c>
      <c r="E73" s="978" t="s">
        <v>168</v>
      </c>
      <c r="F73" s="978" t="s">
        <v>152</v>
      </c>
      <c r="G73" s="1000" t="s">
        <v>1754</v>
      </c>
      <c r="H73" s="1001">
        <v>1000000</v>
      </c>
      <c r="I73" s="1001">
        <v>130000</v>
      </c>
      <c r="J73" s="1001"/>
      <c r="K73" s="1001"/>
      <c r="L73" s="1001"/>
      <c r="M73" s="1001"/>
      <c r="N73" s="1001"/>
      <c r="O73" s="1001"/>
      <c r="P73" s="1002"/>
      <c r="Q73" s="1321"/>
      <c r="R73" s="1001"/>
      <c r="S73" s="1001"/>
      <c r="T73" s="1001"/>
      <c r="U73" s="1001"/>
      <c r="V73" s="1001"/>
      <c r="W73" s="1001"/>
      <c r="X73" s="1002"/>
    </row>
    <row r="74" spans="1:24" ht="12.75" customHeight="1" x14ac:dyDescent="0.25">
      <c r="A74" s="2062"/>
      <c r="B74" s="2061"/>
      <c r="C74" s="2028"/>
      <c r="D74" s="978" t="s">
        <v>1819</v>
      </c>
      <c r="E74" s="978" t="s">
        <v>169</v>
      </c>
      <c r="F74" s="978" t="s">
        <v>65</v>
      </c>
      <c r="G74" s="1000" t="s">
        <v>1754</v>
      </c>
      <c r="H74" s="1001">
        <v>300000</v>
      </c>
      <c r="I74" s="1001">
        <v>39000</v>
      </c>
      <c r="J74" s="1001"/>
      <c r="K74" s="1001"/>
      <c r="L74" s="1001"/>
      <c r="M74" s="1001"/>
      <c r="N74" s="1001"/>
      <c r="O74" s="1001"/>
      <c r="P74" s="1002"/>
      <c r="Q74" s="1321"/>
      <c r="R74" s="1001"/>
      <c r="S74" s="1001"/>
      <c r="T74" s="1001"/>
      <c r="U74" s="1001"/>
      <c r="V74" s="1001"/>
      <c r="W74" s="1001"/>
      <c r="X74" s="1002"/>
    </row>
    <row r="75" spans="1:24" ht="12.75" customHeight="1" x14ac:dyDescent="0.25">
      <c r="A75" s="2062"/>
      <c r="B75" s="2061"/>
      <c r="C75" s="2028"/>
      <c r="D75" s="978" t="s">
        <v>1819</v>
      </c>
      <c r="E75" s="978" t="s">
        <v>573</v>
      </c>
      <c r="F75" s="978" t="s">
        <v>153</v>
      </c>
      <c r="G75" s="1000" t="s">
        <v>1754</v>
      </c>
      <c r="H75" s="1001">
        <v>100000</v>
      </c>
      <c r="I75" s="1001">
        <v>13000</v>
      </c>
      <c r="J75" s="1001"/>
      <c r="K75" s="1001"/>
      <c r="L75" s="1001"/>
      <c r="M75" s="1001"/>
      <c r="N75" s="1001"/>
      <c r="O75" s="1001"/>
      <c r="P75" s="1002"/>
      <c r="Q75" s="1321"/>
      <c r="R75" s="1001"/>
      <c r="S75" s="1001"/>
      <c r="T75" s="1001"/>
      <c r="U75" s="1001"/>
      <c r="V75" s="1001"/>
      <c r="W75" s="1001"/>
      <c r="X75" s="1002"/>
    </row>
    <row r="76" spans="1:24" ht="18" customHeight="1" x14ac:dyDescent="0.25">
      <c r="A76" s="2062" t="s">
        <v>236</v>
      </c>
      <c r="B76" s="2061" t="s">
        <v>273</v>
      </c>
      <c r="C76" s="2028" t="s">
        <v>2235</v>
      </c>
      <c r="D76" s="978" t="s">
        <v>1819</v>
      </c>
      <c r="E76" s="978" t="s">
        <v>1297</v>
      </c>
      <c r="F76" s="978" t="s">
        <v>127</v>
      </c>
      <c r="G76" s="1000" t="s">
        <v>1754</v>
      </c>
      <c r="H76" s="1001"/>
      <c r="I76" s="1001"/>
      <c r="J76" s="1001"/>
      <c r="K76" s="1001"/>
      <c r="L76" s="1001"/>
      <c r="M76" s="1001"/>
      <c r="N76" s="1001"/>
      <c r="O76" s="1001"/>
      <c r="P76" s="1002"/>
      <c r="Q76" s="1321"/>
      <c r="R76" s="1001"/>
      <c r="S76" s="1001"/>
      <c r="T76" s="1001"/>
      <c r="U76" s="1001"/>
      <c r="V76" s="1001"/>
      <c r="W76" s="1001"/>
      <c r="X76" s="1002">
        <v>50800</v>
      </c>
    </row>
    <row r="77" spans="1:24" ht="18" customHeight="1" x14ac:dyDescent="0.25">
      <c r="A77" s="2062"/>
      <c r="B77" s="2061"/>
      <c r="C77" s="2028"/>
      <c r="D77" s="978" t="s">
        <v>1819</v>
      </c>
      <c r="E77" s="978" t="s">
        <v>573</v>
      </c>
      <c r="F77" s="978" t="s">
        <v>153</v>
      </c>
      <c r="G77" s="1000" t="s">
        <v>1754</v>
      </c>
      <c r="H77" s="1001"/>
      <c r="I77" s="1001"/>
      <c r="J77" s="1001">
        <f>40000+10800</f>
        <v>50800</v>
      </c>
      <c r="K77" s="1001"/>
      <c r="L77" s="1001"/>
      <c r="M77" s="1001"/>
      <c r="N77" s="1001"/>
      <c r="O77" s="1001"/>
      <c r="P77" s="1002"/>
      <c r="Q77" s="1321"/>
      <c r="R77" s="1001"/>
      <c r="S77" s="1001"/>
      <c r="T77" s="1001"/>
      <c r="U77" s="1001"/>
      <c r="V77" s="1001"/>
      <c r="W77" s="1001"/>
      <c r="X77" s="1002"/>
    </row>
    <row r="78" spans="1:24" ht="13.5" customHeight="1" x14ac:dyDescent="0.25">
      <c r="A78" s="2062" t="s">
        <v>237</v>
      </c>
      <c r="B78" s="2061" t="s">
        <v>274</v>
      </c>
      <c r="C78" s="2028" t="s">
        <v>2226</v>
      </c>
      <c r="D78" s="978" t="s">
        <v>1819</v>
      </c>
      <c r="E78" s="978" t="s">
        <v>572</v>
      </c>
      <c r="F78" s="978" t="s">
        <v>90</v>
      </c>
      <c r="G78" s="1000" t="s">
        <v>1766</v>
      </c>
      <c r="H78" s="1001">
        <f>-24279+24279</f>
        <v>0</v>
      </c>
      <c r="I78" s="1001"/>
      <c r="J78" s="1001"/>
      <c r="K78" s="1001"/>
      <c r="L78" s="1001"/>
      <c r="M78" s="1001"/>
      <c r="N78" s="1001"/>
      <c r="O78" s="1001"/>
      <c r="P78" s="1002"/>
      <c r="Q78" s="1321"/>
      <c r="R78" s="1001"/>
      <c r="S78" s="1001"/>
      <c r="T78" s="1001"/>
      <c r="U78" s="1001"/>
      <c r="V78" s="1001"/>
      <c r="W78" s="1001"/>
      <c r="X78" s="1002"/>
    </row>
    <row r="79" spans="1:24" ht="13.5" customHeight="1" x14ac:dyDescent="0.25">
      <c r="A79" s="2062"/>
      <c r="B79" s="2061"/>
      <c r="C79" s="2028"/>
      <c r="D79" s="978" t="s">
        <v>1819</v>
      </c>
      <c r="E79" s="978" t="s">
        <v>402</v>
      </c>
      <c r="F79" s="978" t="s">
        <v>150</v>
      </c>
      <c r="G79" s="1000" t="s">
        <v>1766</v>
      </c>
      <c r="H79" s="1001">
        <f>-78600+75000+3600</f>
        <v>0</v>
      </c>
      <c r="I79" s="1001"/>
      <c r="J79" s="1001"/>
      <c r="K79" s="1001"/>
      <c r="L79" s="1001"/>
      <c r="M79" s="1001"/>
      <c r="N79" s="1001"/>
      <c r="O79" s="1001"/>
      <c r="P79" s="1002"/>
      <c r="Q79" s="1321"/>
      <c r="R79" s="1001"/>
      <c r="S79" s="1001"/>
      <c r="T79" s="1001"/>
      <c r="U79" s="1001"/>
      <c r="V79" s="1001"/>
      <c r="W79" s="1001"/>
      <c r="X79" s="1002"/>
    </row>
    <row r="80" spans="1:24" ht="13.5" customHeight="1" x14ac:dyDescent="0.25">
      <c r="A80" s="2062"/>
      <c r="B80" s="2061"/>
      <c r="C80" s="2028"/>
      <c r="D80" s="978" t="s">
        <v>1819</v>
      </c>
      <c r="E80" s="978" t="s">
        <v>166</v>
      </c>
      <c r="F80" s="978" t="s">
        <v>151</v>
      </c>
      <c r="G80" s="1000" t="s">
        <v>1766</v>
      </c>
      <c r="H80" s="1001">
        <f>-150786+150786</f>
        <v>0</v>
      </c>
      <c r="I80" s="1001"/>
      <c r="J80" s="1001"/>
      <c r="K80" s="1001"/>
      <c r="L80" s="1001"/>
      <c r="M80" s="1001"/>
      <c r="N80" s="1001"/>
      <c r="O80" s="1001"/>
      <c r="P80" s="1002"/>
      <c r="Q80" s="1321"/>
      <c r="R80" s="1001"/>
      <c r="S80" s="1001"/>
      <c r="T80" s="1001"/>
      <c r="U80" s="1001"/>
      <c r="V80" s="1001"/>
      <c r="W80" s="1001"/>
      <c r="X80" s="1002"/>
    </row>
    <row r="81" spans="1:24" ht="13.5" customHeight="1" x14ac:dyDescent="0.25">
      <c r="A81" s="2062"/>
      <c r="B81" s="2061"/>
      <c r="C81" s="2028"/>
      <c r="D81" s="978" t="s">
        <v>1819</v>
      </c>
      <c r="E81" s="978" t="s">
        <v>529</v>
      </c>
      <c r="F81" s="978" t="s">
        <v>479</v>
      </c>
      <c r="G81" s="1000" t="s">
        <v>1766</v>
      </c>
      <c r="H81" s="1001">
        <f>-6498+6498</f>
        <v>0</v>
      </c>
      <c r="I81" s="1001"/>
      <c r="J81" s="1001"/>
      <c r="K81" s="1001"/>
      <c r="L81" s="1001"/>
      <c r="M81" s="1001"/>
      <c r="N81" s="1001"/>
      <c r="O81" s="1001"/>
      <c r="P81" s="1002"/>
      <c r="Q81" s="1321"/>
      <c r="R81" s="1001"/>
      <c r="S81" s="1001"/>
      <c r="T81" s="1001"/>
      <c r="U81" s="1001"/>
      <c r="V81" s="1001"/>
      <c r="W81" s="1001"/>
      <c r="X81" s="1002"/>
    </row>
    <row r="82" spans="1:24" ht="13.5" customHeight="1" x14ac:dyDescent="0.25">
      <c r="A82" s="2062"/>
      <c r="B82" s="2061"/>
      <c r="C82" s="2028"/>
      <c r="D82" s="978" t="s">
        <v>1819</v>
      </c>
      <c r="E82" s="978" t="s">
        <v>168</v>
      </c>
      <c r="F82" s="978" t="s">
        <v>152</v>
      </c>
      <c r="G82" s="1000" t="s">
        <v>1766</v>
      </c>
      <c r="H82" s="1001">
        <f>-5442+5442</f>
        <v>0</v>
      </c>
      <c r="I82" s="1001"/>
      <c r="J82" s="1001"/>
      <c r="K82" s="1001"/>
      <c r="L82" s="1001"/>
      <c r="M82" s="1001"/>
      <c r="N82" s="1001"/>
      <c r="O82" s="1001"/>
      <c r="P82" s="1002"/>
      <c r="Q82" s="1321"/>
      <c r="R82" s="1001"/>
      <c r="S82" s="1001"/>
      <c r="T82" s="1001"/>
      <c r="U82" s="1001"/>
      <c r="V82" s="1001"/>
      <c r="W82" s="1001"/>
      <c r="X82" s="1002"/>
    </row>
    <row r="83" spans="1:24" ht="26.25" customHeight="1" x14ac:dyDescent="0.25">
      <c r="A83" s="1432" t="s">
        <v>238</v>
      </c>
      <c r="B83" s="1431" t="s">
        <v>275</v>
      </c>
      <c r="C83" s="1425" t="s">
        <v>2247</v>
      </c>
      <c r="D83" s="978" t="s">
        <v>1819</v>
      </c>
      <c r="E83" s="978" t="s">
        <v>572</v>
      </c>
      <c r="F83" s="978" t="s">
        <v>90</v>
      </c>
      <c r="G83" s="1000" t="s">
        <v>1836</v>
      </c>
      <c r="H83" s="1001"/>
      <c r="I83" s="1001"/>
      <c r="J83" s="1001">
        <f>-50000+50000</f>
        <v>0</v>
      </c>
      <c r="K83" s="1001"/>
      <c r="L83" s="1001"/>
      <c r="M83" s="1001"/>
      <c r="N83" s="1001"/>
      <c r="O83" s="1001"/>
      <c r="P83" s="1002"/>
      <c r="Q83" s="1321"/>
      <c r="R83" s="1001"/>
      <c r="S83" s="1001"/>
      <c r="T83" s="1001"/>
      <c r="U83" s="1001"/>
      <c r="V83" s="1001"/>
      <c r="W83" s="1001"/>
      <c r="X83" s="1002"/>
    </row>
    <row r="84" spans="1:24" ht="27" customHeight="1" x14ac:dyDescent="0.25">
      <c r="A84" s="1432" t="s">
        <v>239</v>
      </c>
      <c r="B84" s="1431" t="s">
        <v>276</v>
      </c>
      <c r="C84" s="1425" t="s">
        <v>2248</v>
      </c>
      <c r="D84" s="978" t="s">
        <v>1819</v>
      </c>
      <c r="E84" s="978" t="s">
        <v>791</v>
      </c>
      <c r="F84" s="978" t="s">
        <v>134</v>
      </c>
      <c r="G84" s="1000" t="s">
        <v>1766</v>
      </c>
      <c r="H84" s="1001"/>
      <c r="I84" s="1001"/>
      <c r="J84" s="1001">
        <f>-100000+100000</f>
        <v>0</v>
      </c>
      <c r="K84" s="1001"/>
      <c r="L84" s="1001"/>
      <c r="M84" s="1001"/>
      <c r="N84" s="1001"/>
      <c r="O84" s="1001"/>
      <c r="P84" s="1002"/>
      <c r="Q84" s="1321"/>
      <c r="R84" s="1001"/>
      <c r="S84" s="1001"/>
      <c r="T84" s="1001"/>
      <c r="U84" s="1001"/>
      <c r="V84" s="1001"/>
      <c r="W84" s="1001"/>
      <c r="X84" s="1002"/>
    </row>
    <row r="85" spans="1:24" ht="40.5" customHeight="1" x14ac:dyDescent="0.25">
      <c r="A85" s="1432" t="s">
        <v>266</v>
      </c>
      <c r="B85" s="1431" t="s">
        <v>277</v>
      </c>
      <c r="C85" s="977" t="s">
        <v>2251</v>
      </c>
      <c r="D85" s="978" t="s">
        <v>1819</v>
      </c>
      <c r="E85" s="978" t="s">
        <v>169</v>
      </c>
      <c r="F85" s="978" t="s">
        <v>65</v>
      </c>
      <c r="G85" s="1000" t="s">
        <v>1766</v>
      </c>
      <c r="H85" s="1001"/>
      <c r="I85" s="1001"/>
      <c r="J85" s="1001">
        <f>-78740-21260+100000</f>
        <v>0</v>
      </c>
      <c r="K85" s="1001"/>
      <c r="L85" s="1001"/>
      <c r="M85" s="1001"/>
      <c r="N85" s="1001"/>
      <c r="O85" s="1001"/>
      <c r="P85" s="1002"/>
      <c r="Q85" s="1321"/>
      <c r="R85" s="1001"/>
      <c r="S85" s="1001"/>
      <c r="T85" s="1001"/>
      <c r="U85" s="1001"/>
      <c r="V85" s="1001"/>
      <c r="W85" s="1001"/>
      <c r="X85" s="1002"/>
    </row>
    <row r="86" spans="1:24" ht="21.75" customHeight="1" x14ac:dyDescent="0.25">
      <c r="A86" s="2062" t="s">
        <v>267</v>
      </c>
      <c r="B86" s="2061" t="s">
        <v>2303</v>
      </c>
      <c r="C86" s="2028" t="s">
        <v>2304</v>
      </c>
      <c r="D86" s="978" t="s">
        <v>1819</v>
      </c>
      <c r="E86" s="978" t="s">
        <v>1297</v>
      </c>
      <c r="F86" s="978" t="s">
        <v>127</v>
      </c>
      <c r="G86" s="1000" t="s">
        <v>1754</v>
      </c>
      <c r="H86" s="1001"/>
      <c r="I86" s="1001"/>
      <c r="J86" s="1001"/>
      <c r="K86" s="1001"/>
      <c r="L86" s="1001"/>
      <c r="M86" s="1001"/>
      <c r="N86" s="1001"/>
      <c r="O86" s="1001"/>
      <c r="P86" s="1002"/>
      <c r="Q86" s="1321"/>
      <c r="R86" s="1001"/>
      <c r="S86" s="1001"/>
      <c r="T86" s="1001"/>
      <c r="U86" s="1001"/>
      <c r="V86" s="1001"/>
      <c r="W86" s="1001"/>
      <c r="X86" s="1002">
        <v>281108</v>
      </c>
    </row>
    <row r="87" spans="1:24" ht="21.75" customHeight="1" x14ac:dyDescent="0.25">
      <c r="A87" s="2062"/>
      <c r="B87" s="2061"/>
      <c r="C87" s="2028"/>
      <c r="D87" s="978" t="s">
        <v>1819</v>
      </c>
      <c r="E87" s="978" t="s">
        <v>573</v>
      </c>
      <c r="F87" s="978" t="s">
        <v>153</v>
      </c>
      <c r="G87" s="1000" t="s">
        <v>1754</v>
      </c>
      <c r="H87" s="1001"/>
      <c r="I87" s="1001"/>
      <c r="J87" s="1001">
        <f>221345+59763</f>
        <v>281108</v>
      </c>
      <c r="K87" s="1001"/>
      <c r="L87" s="1001"/>
      <c r="M87" s="1001"/>
      <c r="N87" s="1001"/>
      <c r="O87" s="1001"/>
      <c r="P87" s="1002"/>
      <c r="Q87" s="1321"/>
      <c r="R87" s="1001"/>
      <c r="S87" s="1001"/>
      <c r="T87" s="1001"/>
      <c r="U87" s="1001"/>
      <c r="V87" s="1001"/>
      <c r="W87" s="1001"/>
      <c r="X87" s="1002"/>
    </row>
    <row r="88" spans="1:24" ht="27.75" customHeight="1" x14ac:dyDescent="0.25">
      <c r="A88" s="1432" t="s">
        <v>268</v>
      </c>
      <c r="B88" s="1431" t="s">
        <v>282</v>
      </c>
      <c r="C88" s="1425" t="s">
        <v>2311</v>
      </c>
      <c r="D88" s="978" t="s">
        <v>1819</v>
      </c>
      <c r="E88" s="978" t="s">
        <v>169</v>
      </c>
      <c r="F88" s="978" t="s">
        <v>65</v>
      </c>
      <c r="G88" s="1000" t="s">
        <v>1766</v>
      </c>
      <c r="H88" s="1001"/>
      <c r="I88" s="1001"/>
      <c r="J88" s="1001">
        <f>-86606-5736</f>
        <v>-92342</v>
      </c>
      <c r="K88" s="1001"/>
      <c r="L88" s="1001"/>
      <c r="M88" s="1001">
        <f>86606+5736</f>
        <v>92342</v>
      </c>
      <c r="N88" s="1001"/>
      <c r="O88" s="1001"/>
      <c r="P88" s="1002"/>
      <c r="Q88" s="1321"/>
      <c r="R88" s="1001"/>
      <c r="S88" s="1001"/>
      <c r="T88" s="1001"/>
      <c r="U88" s="1001"/>
      <c r="V88" s="1001"/>
      <c r="W88" s="1001"/>
      <c r="X88" s="1002"/>
    </row>
    <row r="89" spans="1:24" ht="41.25" customHeight="1" x14ac:dyDescent="0.25">
      <c r="A89" s="1432" t="s">
        <v>269</v>
      </c>
      <c r="B89" s="1431" t="s">
        <v>283</v>
      </c>
      <c r="C89" s="1425" t="s">
        <v>2331</v>
      </c>
      <c r="D89" s="978" t="s">
        <v>1819</v>
      </c>
      <c r="E89" s="978" t="s">
        <v>168</v>
      </c>
      <c r="F89" s="978" t="s">
        <v>152</v>
      </c>
      <c r="G89" s="1000" t="s">
        <v>1766</v>
      </c>
      <c r="H89" s="1001">
        <f>-17549+17549</f>
        <v>0</v>
      </c>
      <c r="I89" s="1001"/>
      <c r="J89" s="1001"/>
      <c r="K89" s="1001"/>
      <c r="L89" s="1001"/>
      <c r="M89" s="1001"/>
      <c r="N89" s="1001"/>
      <c r="O89" s="1001"/>
      <c r="P89" s="1002"/>
      <c r="Q89" s="1321"/>
      <c r="R89" s="1001"/>
      <c r="S89" s="1001"/>
      <c r="T89" s="1001"/>
      <c r="U89" s="1001"/>
      <c r="V89" s="1001"/>
      <c r="W89" s="1001"/>
      <c r="X89" s="1002"/>
    </row>
    <row r="90" spans="1:24" ht="29.25" customHeight="1" x14ac:dyDescent="0.25">
      <c r="A90" s="1432" t="s">
        <v>270</v>
      </c>
      <c r="B90" s="1431" t="s">
        <v>284</v>
      </c>
      <c r="C90" s="977" t="s">
        <v>2330</v>
      </c>
      <c r="D90" s="978" t="s">
        <v>1819</v>
      </c>
      <c r="E90" s="978" t="s">
        <v>1297</v>
      </c>
      <c r="F90" s="978" t="s">
        <v>127</v>
      </c>
      <c r="G90" s="1000" t="s">
        <v>1754</v>
      </c>
      <c r="H90" s="1001"/>
      <c r="I90" s="1001"/>
      <c r="J90" s="1001"/>
      <c r="K90" s="1001"/>
      <c r="L90" s="1001">
        <v>63201781</v>
      </c>
      <c r="M90" s="1001"/>
      <c r="N90" s="1001"/>
      <c r="O90" s="1001"/>
      <c r="P90" s="1002"/>
      <c r="Q90" s="1321"/>
      <c r="R90" s="1001"/>
      <c r="S90" s="1001"/>
      <c r="T90" s="1001"/>
      <c r="U90" s="1001"/>
      <c r="V90" s="1001"/>
      <c r="W90" s="1001"/>
      <c r="X90" s="1002">
        <v>63201781</v>
      </c>
    </row>
    <row r="91" spans="1:24" ht="29.25" customHeight="1" x14ac:dyDescent="0.25">
      <c r="A91" s="1432" t="s">
        <v>271</v>
      </c>
      <c r="B91" s="1431" t="s">
        <v>285</v>
      </c>
      <c r="C91" s="977" t="s">
        <v>2105</v>
      </c>
      <c r="D91" s="978" t="s">
        <v>1819</v>
      </c>
      <c r="E91" s="978" t="s">
        <v>573</v>
      </c>
      <c r="F91" s="978" t="s">
        <v>154</v>
      </c>
      <c r="G91" s="1000" t="s">
        <v>1754</v>
      </c>
      <c r="H91" s="1001"/>
      <c r="I91" s="1001"/>
      <c r="J91" s="1001">
        <f>351759+94987</f>
        <v>446746</v>
      </c>
      <c r="K91" s="1001"/>
      <c r="L91" s="1001"/>
      <c r="M91" s="1001"/>
      <c r="N91" s="1001"/>
      <c r="O91" s="1001"/>
      <c r="P91" s="1002"/>
      <c r="Q91" s="1321"/>
      <c r="R91" s="1001"/>
      <c r="S91" s="1001"/>
      <c r="T91" s="1001">
        <f>351759+94987</f>
        <v>446746</v>
      </c>
      <c r="U91" s="1001"/>
      <c r="V91" s="1001"/>
      <c r="W91" s="1001"/>
      <c r="X91" s="1002"/>
    </row>
    <row r="92" spans="1:24" ht="29.25" customHeight="1" x14ac:dyDescent="0.25">
      <c r="A92" s="1428" t="s">
        <v>272</v>
      </c>
      <c r="B92" s="1427" t="s">
        <v>286</v>
      </c>
      <c r="C92" s="1367" t="s">
        <v>2387</v>
      </c>
      <c r="D92" s="1368" t="s">
        <v>1819</v>
      </c>
      <c r="E92" s="1368" t="s">
        <v>166</v>
      </c>
      <c r="F92" s="1368" t="s">
        <v>151</v>
      </c>
      <c r="G92" s="1369" t="s">
        <v>1766</v>
      </c>
      <c r="H92" s="1370"/>
      <c r="I92" s="1370"/>
      <c r="J92" s="1370">
        <f>-6000+6000</f>
        <v>0</v>
      </c>
      <c r="K92" s="1370"/>
      <c r="L92" s="1370"/>
      <c r="M92" s="1370"/>
      <c r="N92" s="1370"/>
      <c r="O92" s="1370"/>
      <c r="P92" s="1371"/>
      <c r="Q92" s="1372"/>
      <c r="R92" s="1370"/>
      <c r="S92" s="1370"/>
      <c r="T92" s="1370"/>
      <c r="U92" s="1370"/>
      <c r="V92" s="1370"/>
      <c r="W92" s="1370"/>
      <c r="X92" s="1371"/>
    </row>
    <row r="93" spans="1:24" ht="15.75" customHeight="1" x14ac:dyDescent="0.25">
      <c r="A93" s="2047" t="s">
        <v>273</v>
      </c>
      <c r="B93" s="2045" t="s">
        <v>287</v>
      </c>
      <c r="C93" s="2067" t="s">
        <v>2411</v>
      </c>
      <c r="D93" s="1368" t="s">
        <v>1819</v>
      </c>
      <c r="E93" s="1368" t="s">
        <v>572</v>
      </c>
      <c r="F93" s="1368" t="s">
        <v>90</v>
      </c>
      <c r="G93" s="1369" t="s">
        <v>1766</v>
      </c>
      <c r="H93" s="1370">
        <f>-164717+24717+140000</f>
        <v>0</v>
      </c>
      <c r="I93" s="1370"/>
      <c r="J93" s="1370"/>
      <c r="K93" s="1370"/>
      <c r="L93" s="1370"/>
      <c r="M93" s="1370"/>
      <c r="N93" s="1370"/>
      <c r="O93" s="1370"/>
      <c r="P93" s="1371"/>
      <c r="Q93" s="1372"/>
      <c r="R93" s="1370"/>
      <c r="S93" s="1370"/>
      <c r="T93" s="1370"/>
      <c r="U93" s="1370"/>
      <c r="V93" s="1370"/>
      <c r="W93" s="1370"/>
      <c r="X93" s="1371"/>
    </row>
    <row r="94" spans="1:24" ht="15.75" customHeight="1" x14ac:dyDescent="0.25">
      <c r="A94" s="2054"/>
      <c r="B94" s="2053"/>
      <c r="C94" s="2068"/>
      <c r="D94" s="1368" t="s">
        <v>1819</v>
      </c>
      <c r="E94" s="1368" t="s">
        <v>402</v>
      </c>
      <c r="F94" s="1368" t="s">
        <v>150</v>
      </c>
      <c r="G94" s="1369" t="s">
        <v>1766</v>
      </c>
      <c r="H94" s="1370">
        <f>-78375+75000+3375</f>
        <v>0</v>
      </c>
      <c r="I94" s="1370"/>
      <c r="J94" s="1370"/>
      <c r="K94" s="1370"/>
      <c r="L94" s="1370"/>
      <c r="M94" s="1370"/>
      <c r="N94" s="1370"/>
      <c r="O94" s="1370"/>
      <c r="P94" s="1371"/>
      <c r="Q94" s="1372"/>
      <c r="R94" s="1370"/>
      <c r="S94" s="1370"/>
      <c r="T94" s="1370"/>
      <c r="U94" s="1370"/>
      <c r="V94" s="1370"/>
      <c r="W94" s="1370"/>
      <c r="X94" s="1371"/>
    </row>
    <row r="95" spans="1:24" ht="15.75" customHeight="1" x14ac:dyDescent="0.25">
      <c r="A95" s="2054"/>
      <c r="B95" s="2053"/>
      <c r="C95" s="2068"/>
      <c r="D95" s="1368" t="s">
        <v>1819</v>
      </c>
      <c r="E95" s="1368" t="s">
        <v>166</v>
      </c>
      <c r="F95" s="1368" t="s">
        <v>151</v>
      </c>
      <c r="G95" s="1369" t="s">
        <v>1766</v>
      </c>
      <c r="H95" s="1370">
        <f>-337274+337274</f>
        <v>0</v>
      </c>
      <c r="I95" s="1370"/>
      <c r="J95" s="1370"/>
      <c r="K95" s="1370"/>
      <c r="L95" s="1370"/>
      <c r="M95" s="1370"/>
      <c r="N95" s="1370"/>
      <c r="O95" s="1370"/>
      <c r="P95" s="1371"/>
      <c r="Q95" s="1372"/>
      <c r="R95" s="1370"/>
      <c r="S95" s="1370"/>
      <c r="T95" s="1370"/>
      <c r="U95" s="1370"/>
      <c r="V95" s="1370"/>
      <c r="W95" s="1370"/>
      <c r="X95" s="1371"/>
    </row>
    <row r="96" spans="1:24" ht="15.75" customHeight="1" x14ac:dyDescent="0.25">
      <c r="A96" s="2054"/>
      <c r="B96" s="2053"/>
      <c r="C96" s="2068"/>
      <c r="D96" s="1368" t="s">
        <v>1819</v>
      </c>
      <c r="E96" s="1368" t="s">
        <v>529</v>
      </c>
      <c r="F96" s="1368" t="s">
        <v>479</v>
      </c>
      <c r="G96" s="1369" t="s">
        <v>1766</v>
      </c>
      <c r="H96" s="1370">
        <f>-7524+7524</f>
        <v>0</v>
      </c>
      <c r="I96" s="1370"/>
      <c r="J96" s="1370"/>
      <c r="K96" s="1370"/>
      <c r="L96" s="1370"/>
      <c r="M96" s="1370"/>
      <c r="N96" s="1370"/>
      <c r="O96" s="1370"/>
      <c r="P96" s="1371"/>
      <c r="Q96" s="1372"/>
      <c r="R96" s="1370"/>
      <c r="S96" s="1370"/>
      <c r="T96" s="1370"/>
      <c r="U96" s="1370"/>
      <c r="V96" s="1370"/>
      <c r="W96" s="1370"/>
      <c r="X96" s="1371"/>
    </row>
    <row r="97" spans="1:24" ht="15.75" customHeight="1" x14ac:dyDescent="0.25">
      <c r="A97" s="2054"/>
      <c r="B97" s="2053"/>
      <c r="C97" s="2068"/>
      <c r="D97" s="1368" t="s">
        <v>1819</v>
      </c>
      <c r="E97" s="1368" t="s">
        <v>168</v>
      </c>
      <c r="F97" s="1368" t="s">
        <v>152</v>
      </c>
      <c r="G97" s="1369" t="s">
        <v>1766</v>
      </c>
      <c r="H97" s="1370">
        <f>-72264+6318+49676+16270</f>
        <v>0</v>
      </c>
      <c r="I97" s="1370"/>
      <c r="J97" s="1370"/>
      <c r="K97" s="1370"/>
      <c r="L97" s="1370"/>
      <c r="M97" s="1370"/>
      <c r="N97" s="1370"/>
      <c r="O97" s="1370"/>
      <c r="P97" s="1371"/>
      <c r="Q97" s="1372"/>
      <c r="R97" s="1370"/>
      <c r="S97" s="1370"/>
      <c r="T97" s="1370"/>
      <c r="U97" s="1370"/>
      <c r="V97" s="1370"/>
      <c r="W97" s="1370"/>
      <c r="X97" s="1371"/>
    </row>
    <row r="98" spans="1:24" ht="15.75" customHeight="1" x14ac:dyDescent="0.25">
      <c r="A98" s="2048"/>
      <c r="B98" s="2046"/>
      <c r="C98" s="2069"/>
      <c r="D98" s="1368" t="s">
        <v>1819</v>
      </c>
      <c r="E98" s="1368" t="s">
        <v>573</v>
      </c>
      <c r="F98" s="1368" t="s">
        <v>153</v>
      </c>
      <c r="G98" s="1369" t="s">
        <v>1766</v>
      </c>
      <c r="H98" s="1370">
        <f>-40000+40000</f>
        <v>0</v>
      </c>
      <c r="I98" s="1370"/>
      <c r="J98" s="1370"/>
      <c r="K98" s="1370"/>
      <c r="L98" s="1370"/>
      <c r="M98" s="1370"/>
      <c r="N98" s="1370"/>
      <c r="O98" s="1370"/>
      <c r="P98" s="1371"/>
      <c r="Q98" s="1372"/>
      <c r="R98" s="1370"/>
      <c r="S98" s="1370"/>
      <c r="T98" s="1370"/>
      <c r="U98" s="1370"/>
      <c r="V98" s="1370"/>
      <c r="W98" s="1370"/>
      <c r="X98" s="1371"/>
    </row>
    <row r="99" spans="1:24" ht="29.25" customHeight="1" x14ac:dyDescent="0.25">
      <c r="A99" s="1428" t="s">
        <v>274</v>
      </c>
      <c r="B99" s="1427" t="s">
        <v>288</v>
      </c>
      <c r="C99" s="1367" t="s">
        <v>2433</v>
      </c>
      <c r="D99" s="1368" t="s">
        <v>1819</v>
      </c>
      <c r="E99" s="1368" t="s">
        <v>574</v>
      </c>
      <c r="F99" s="1368" t="s">
        <v>165</v>
      </c>
      <c r="G99" s="1369" t="s">
        <v>1766</v>
      </c>
      <c r="H99" s="1370"/>
      <c r="I99" s="1370"/>
      <c r="J99" s="1370">
        <f>-20000+20000</f>
        <v>0</v>
      </c>
      <c r="K99" s="1370"/>
      <c r="L99" s="1370"/>
      <c r="M99" s="1370"/>
      <c r="N99" s="1370"/>
      <c r="O99" s="1370"/>
      <c r="P99" s="1371"/>
      <c r="Q99" s="1372"/>
      <c r="R99" s="1370"/>
      <c r="S99" s="1370"/>
      <c r="T99" s="1370"/>
      <c r="U99" s="1370"/>
      <c r="V99" s="1370"/>
      <c r="W99" s="1370"/>
      <c r="X99" s="1371"/>
    </row>
    <row r="100" spans="1:24" ht="43.5" customHeight="1" x14ac:dyDescent="0.25">
      <c r="A100" s="1428" t="s">
        <v>275</v>
      </c>
      <c r="B100" s="1427" t="s">
        <v>289</v>
      </c>
      <c r="C100" s="1367" t="s">
        <v>2469</v>
      </c>
      <c r="D100" s="1368" t="s">
        <v>1819</v>
      </c>
      <c r="E100" s="1368" t="s">
        <v>573</v>
      </c>
      <c r="F100" s="1368" t="s">
        <v>153</v>
      </c>
      <c r="G100" s="1369" t="s">
        <v>1766</v>
      </c>
      <c r="H100" s="1370"/>
      <c r="I100" s="1370"/>
      <c r="J100" s="1370">
        <f>-82677+82677</f>
        <v>0</v>
      </c>
      <c r="K100" s="1370"/>
      <c r="L100" s="1370"/>
      <c r="M100" s="1370"/>
      <c r="N100" s="1370"/>
      <c r="O100" s="1370"/>
      <c r="P100" s="1371"/>
      <c r="Q100" s="1372"/>
      <c r="R100" s="1370"/>
      <c r="S100" s="1370"/>
      <c r="T100" s="1370"/>
      <c r="U100" s="1370"/>
      <c r="V100" s="1370"/>
      <c r="W100" s="1370"/>
      <c r="X100" s="1371"/>
    </row>
    <row r="101" spans="1:24" ht="29.25" customHeight="1" x14ac:dyDescent="0.25">
      <c r="A101" s="1428" t="s">
        <v>276</v>
      </c>
      <c r="B101" s="1427" t="s">
        <v>290</v>
      </c>
      <c r="C101" s="1367" t="s">
        <v>2470</v>
      </c>
      <c r="D101" s="1368" t="s">
        <v>1819</v>
      </c>
      <c r="E101" s="1368" t="s">
        <v>169</v>
      </c>
      <c r="F101" s="1368" t="s">
        <v>65</v>
      </c>
      <c r="G101" s="1369" t="s">
        <v>1766</v>
      </c>
      <c r="H101" s="1370"/>
      <c r="I101" s="1370"/>
      <c r="J101" s="1370"/>
      <c r="K101" s="1370"/>
      <c r="L101" s="1370"/>
      <c r="M101" s="1370">
        <f>-16528+16528</f>
        <v>0</v>
      </c>
      <c r="N101" s="1370"/>
      <c r="O101" s="1370"/>
      <c r="P101" s="1371"/>
      <c r="Q101" s="1372"/>
      <c r="R101" s="1370"/>
      <c r="S101" s="1370"/>
      <c r="T101" s="1370"/>
      <c r="U101" s="1370"/>
      <c r="V101" s="1370"/>
      <c r="W101" s="1370"/>
      <c r="X101" s="1371"/>
    </row>
    <row r="102" spans="1:24" ht="16.5" customHeight="1" x14ac:dyDescent="0.25">
      <c r="A102" s="2047" t="s">
        <v>277</v>
      </c>
      <c r="B102" s="2045" t="s">
        <v>291</v>
      </c>
      <c r="C102" s="2043" t="s">
        <v>2942</v>
      </c>
      <c r="D102" s="1368" t="s">
        <v>1819</v>
      </c>
      <c r="E102" s="1368" t="s">
        <v>1297</v>
      </c>
      <c r="F102" s="1368" t="s">
        <v>127</v>
      </c>
      <c r="G102" s="1369" t="s">
        <v>1754</v>
      </c>
      <c r="H102" s="1370"/>
      <c r="I102" s="1370"/>
      <c r="J102" s="1370"/>
      <c r="K102" s="1370"/>
      <c r="L102" s="1370"/>
      <c r="M102" s="1370"/>
      <c r="N102" s="1370"/>
      <c r="O102" s="1370"/>
      <c r="P102" s="1371"/>
      <c r="Q102" s="1372"/>
      <c r="R102" s="1370"/>
      <c r="S102" s="1370"/>
      <c r="T102" s="1370"/>
      <c r="U102" s="1370"/>
      <c r="V102" s="1370"/>
      <c r="W102" s="1370"/>
      <c r="X102" s="1371">
        <v>3556000</v>
      </c>
    </row>
    <row r="103" spans="1:24" ht="16.5" customHeight="1" x14ac:dyDescent="0.25">
      <c r="A103" s="2048"/>
      <c r="B103" s="2046"/>
      <c r="C103" s="2044"/>
      <c r="D103" s="1368" t="s">
        <v>1819</v>
      </c>
      <c r="E103" s="1368" t="s">
        <v>167</v>
      </c>
      <c r="F103" s="1368" t="s">
        <v>132</v>
      </c>
      <c r="G103" s="1369" t="s">
        <v>1754</v>
      </c>
      <c r="H103" s="1370"/>
      <c r="I103" s="1370"/>
      <c r="J103" s="1370">
        <f>2800000+756000</f>
        <v>3556000</v>
      </c>
      <c r="K103" s="1370"/>
      <c r="L103" s="1370"/>
      <c r="M103" s="1370"/>
      <c r="N103" s="1370"/>
      <c r="O103" s="1370"/>
      <c r="P103" s="1371"/>
      <c r="Q103" s="1372"/>
      <c r="R103" s="1370"/>
      <c r="S103" s="1370"/>
      <c r="T103" s="1370"/>
      <c r="U103" s="1370"/>
      <c r="V103" s="1370"/>
      <c r="W103" s="1370"/>
      <c r="X103" s="1371"/>
    </row>
    <row r="104" spans="1:24" ht="29.25" customHeight="1" x14ac:dyDescent="0.25">
      <c r="A104" s="1428" t="s">
        <v>278</v>
      </c>
      <c r="B104" s="1427" t="s">
        <v>292</v>
      </c>
      <c r="C104" s="1367" t="s">
        <v>2105</v>
      </c>
      <c r="D104" s="1368" t="s">
        <v>1819</v>
      </c>
      <c r="E104" s="1368" t="s">
        <v>573</v>
      </c>
      <c r="F104" s="1368" t="s">
        <v>154</v>
      </c>
      <c r="G104" s="1369" t="s">
        <v>1754</v>
      </c>
      <c r="H104" s="1370"/>
      <c r="I104" s="1370"/>
      <c r="J104" s="1370">
        <f>1000000+270000</f>
        <v>1270000</v>
      </c>
      <c r="K104" s="1370"/>
      <c r="L104" s="1370"/>
      <c r="M104" s="1370"/>
      <c r="N104" s="1370"/>
      <c r="O104" s="1370"/>
      <c r="P104" s="1371"/>
      <c r="Q104" s="1372"/>
      <c r="R104" s="1370"/>
      <c r="S104" s="1370"/>
      <c r="T104" s="1370">
        <f>1000000+270000</f>
        <v>1270000</v>
      </c>
      <c r="U104" s="1370"/>
      <c r="V104" s="1370"/>
      <c r="W104" s="1370"/>
      <c r="X104" s="1371"/>
    </row>
    <row r="105" spans="1:24" ht="21.75" customHeight="1" x14ac:dyDescent="0.25">
      <c r="A105" s="2047" t="s">
        <v>282</v>
      </c>
      <c r="B105" s="2045" t="s">
        <v>293</v>
      </c>
      <c r="C105" s="2043" t="s">
        <v>2943</v>
      </c>
      <c r="D105" s="1368" t="s">
        <v>1819</v>
      </c>
      <c r="E105" s="1368" t="s">
        <v>1297</v>
      </c>
      <c r="F105" s="1368" t="s">
        <v>127</v>
      </c>
      <c r="G105" s="1369" t="s">
        <v>1754</v>
      </c>
      <c r="H105" s="1370"/>
      <c r="I105" s="1370"/>
      <c r="J105" s="1370"/>
      <c r="K105" s="1370"/>
      <c r="L105" s="1370"/>
      <c r="M105" s="1370"/>
      <c r="N105" s="1370"/>
      <c r="O105" s="1370"/>
      <c r="P105" s="1371"/>
      <c r="Q105" s="1372"/>
      <c r="R105" s="1370"/>
      <c r="S105" s="1370"/>
      <c r="T105" s="1370"/>
      <c r="U105" s="1370"/>
      <c r="V105" s="1370"/>
      <c r="W105" s="1370"/>
      <c r="X105" s="1371">
        <v>2534552</v>
      </c>
    </row>
    <row r="106" spans="1:24" ht="21.75" customHeight="1" x14ac:dyDescent="0.25">
      <c r="A106" s="2048"/>
      <c r="B106" s="2046"/>
      <c r="C106" s="2044"/>
      <c r="D106" s="1368" t="s">
        <v>1819</v>
      </c>
      <c r="E106" s="1368" t="s">
        <v>167</v>
      </c>
      <c r="F106" s="1368" t="s">
        <v>133</v>
      </c>
      <c r="G106" s="1369" t="s">
        <v>1754</v>
      </c>
      <c r="H106" s="1370"/>
      <c r="I106" s="1370"/>
      <c r="J106" s="1370">
        <f>1995710+538842</f>
        <v>2534552</v>
      </c>
      <c r="K106" s="1370"/>
      <c r="L106" s="1370"/>
      <c r="M106" s="1370"/>
      <c r="N106" s="1370"/>
      <c r="O106" s="1370"/>
      <c r="P106" s="1371"/>
      <c r="Q106" s="1372"/>
      <c r="R106" s="1370"/>
      <c r="S106" s="1370"/>
      <c r="T106" s="1370"/>
      <c r="U106" s="1370"/>
      <c r="V106" s="1370"/>
      <c r="W106" s="1370"/>
      <c r="X106" s="1371"/>
    </row>
    <row r="107" spans="1:24" ht="32.25" customHeight="1" x14ac:dyDescent="0.25">
      <c r="A107" s="1428" t="s">
        <v>283</v>
      </c>
      <c r="B107" s="1427" t="s">
        <v>294</v>
      </c>
      <c r="C107" s="1367" t="s">
        <v>2357</v>
      </c>
      <c r="D107" s="1368" t="s">
        <v>1819</v>
      </c>
      <c r="E107" s="1368" t="s">
        <v>572</v>
      </c>
      <c r="F107" s="1368" t="s">
        <v>866</v>
      </c>
      <c r="G107" s="1369" t="s">
        <v>1754</v>
      </c>
      <c r="H107" s="1370"/>
      <c r="I107" s="1370"/>
      <c r="J107" s="1370">
        <f>2000000+540000</f>
        <v>2540000</v>
      </c>
      <c r="K107" s="1370"/>
      <c r="L107" s="1370"/>
      <c r="M107" s="1370"/>
      <c r="N107" s="1370"/>
      <c r="O107" s="1370"/>
      <c r="P107" s="1371"/>
      <c r="Q107" s="1372"/>
      <c r="R107" s="1370"/>
      <c r="S107" s="1370"/>
      <c r="T107" s="1370">
        <f>2000000+540000</f>
        <v>2540000</v>
      </c>
      <c r="U107" s="1370"/>
      <c r="V107" s="1370"/>
      <c r="W107" s="1370"/>
      <c r="X107" s="1371"/>
    </row>
    <row r="108" spans="1:24" ht="18.75" customHeight="1" x14ac:dyDescent="0.25">
      <c r="A108" s="2047" t="s">
        <v>284</v>
      </c>
      <c r="B108" s="2045" t="s">
        <v>295</v>
      </c>
      <c r="C108" s="2043" t="s">
        <v>2616</v>
      </c>
      <c r="D108" s="1368" t="s">
        <v>1819</v>
      </c>
      <c r="E108" s="1368" t="s">
        <v>572</v>
      </c>
      <c r="F108" s="1368" t="s">
        <v>90</v>
      </c>
      <c r="G108" s="1369" t="s">
        <v>1766</v>
      </c>
      <c r="H108" s="1370">
        <f>-25647+25647</f>
        <v>0</v>
      </c>
      <c r="I108" s="1370"/>
      <c r="J108" s="1370"/>
      <c r="K108" s="1370"/>
      <c r="L108" s="1370"/>
      <c r="M108" s="1370"/>
      <c r="N108" s="1370"/>
      <c r="O108" s="1370"/>
      <c r="P108" s="1371"/>
      <c r="Q108" s="1372"/>
      <c r="R108" s="1370"/>
      <c r="S108" s="1370"/>
      <c r="T108" s="1370"/>
      <c r="U108" s="1370"/>
      <c r="V108" s="1370"/>
      <c r="W108" s="1370"/>
      <c r="X108" s="1371"/>
    </row>
    <row r="109" spans="1:24" ht="18.75" customHeight="1" x14ac:dyDescent="0.25">
      <c r="A109" s="2054"/>
      <c r="B109" s="2053"/>
      <c r="C109" s="2049"/>
      <c r="D109" s="1368" t="s">
        <v>1819</v>
      </c>
      <c r="E109" s="1368" t="s">
        <v>402</v>
      </c>
      <c r="F109" s="1368" t="s">
        <v>150</v>
      </c>
      <c r="G109" s="1369" t="s">
        <v>1766</v>
      </c>
      <c r="H109" s="1370">
        <f>-75000+75000</f>
        <v>0</v>
      </c>
      <c r="I109" s="1370"/>
      <c r="J109" s="1370"/>
      <c r="K109" s="1370"/>
      <c r="L109" s="1370"/>
      <c r="M109" s="1370"/>
      <c r="N109" s="1370"/>
      <c r="O109" s="1370"/>
      <c r="P109" s="1371"/>
      <c r="Q109" s="1372"/>
      <c r="R109" s="1370"/>
      <c r="S109" s="1370"/>
      <c r="T109" s="1370"/>
      <c r="U109" s="1370"/>
      <c r="V109" s="1370"/>
      <c r="W109" s="1370"/>
      <c r="X109" s="1371"/>
    </row>
    <row r="110" spans="1:24" ht="18.75" customHeight="1" x14ac:dyDescent="0.25">
      <c r="A110" s="2054"/>
      <c r="B110" s="2053"/>
      <c r="C110" s="2049"/>
      <c r="D110" s="1368" t="s">
        <v>1819</v>
      </c>
      <c r="E110" s="1368" t="s">
        <v>166</v>
      </c>
      <c r="F110" s="1368" t="s">
        <v>151</v>
      </c>
      <c r="G110" s="1369" t="s">
        <v>1766</v>
      </c>
      <c r="H110" s="1370">
        <f>-317925+4725+313200</f>
        <v>0</v>
      </c>
      <c r="I110" s="1370"/>
      <c r="J110" s="1370"/>
      <c r="K110" s="1370"/>
      <c r="L110" s="1370"/>
      <c r="M110" s="1370"/>
      <c r="N110" s="1370"/>
      <c r="O110" s="1370"/>
      <c r="P110" s="1371"/>
      <c r="Q110" s="1372"/>
      <c r="R110" s="1370"/>
      <c r="S110" s="1370"/>
      <c r="T110" s="1370"/>
      <c r="U110" s="1370"/>
      <c r="V110" s="1370"/>
      <c r="W110" s="1370"/>
      <c r="X110" s="1371"/>
    </row>
    <row r="111" spans="1:24" ht="18.75" customHeight="1" x14ac:dyDescent="0.25">
      <c r="A111" s="2054"/>
      <c r="B111" s="2053"/>
      <c r="C111" s="2049"/>
      <c r="D111" s="1368" t="s">
        <v>1819</v>
      </c>
      <c r="E111" s="1368" t="s">
        <v>529</v>
      </c>
      <c r="F111" s="1368" t="s">
        <v>479</v>
      </c>
      <c r="G111" s="1369" t="s">
        <v>1766</v>
      </c>
      <c r="H111" s="1370">
        <f>-7182+7182</f>
        <v>0</v>
      </c>
      <c r="I111" s="1370"/>
      <c r="J111" s="1370"/>
      <c r="K111" s="1370"/>
      <c r="L111" s="1370"/>
      <c r="M111" s="1370"/>
      <c r="N111" s="1370"/>
      <c r="O111" s="1370"/>
      <c r="P111" s="1371"/>
      <c r="Q111" s="1372"/>
      <c r="R111" s="1370"/>
      <c r="S111" s="1370"/>
      <c r="T111" s="1370"/>
      <c r="U111" s="1370"/>
      <c r="V111" s="1370"/>
      <c r="W111" s="1370"/>
      <c r="X111" s="1371"/>
    </row>
    <row r="112" spans="1:24" ht="18.75" customHeight="1" x14ac:dyDescent="0.25">
      <c r="A112" s="2054"/>
      <c r="B112" s="2053"/>
      <c r="C112" s="2049"/>
      <c r="D112" s="1368" t="s">
        <v>1819</v>
      </c>
      <c r="E112" s="1368" t="s">
        <v>168</v>
      </c>
      <c r="F112" s="1368" t="s">
        <v>152</v>
      </c>
      <c r="G112" s="1369" t="s">
        <v>1766</v>
      </c>
      <c r="H112" s="1370">
        <f>-11111+11111</f>
        <v>0</v>
      </c>
      <c r="I112" s="1370"/>
      <c r="J112" s="1370"/>
      <c r="K112" s="1370"/>
      <c r="L112" s="1370"/>
      <c r="M112" s="1370"/>
      <c r="N112" s="1370"/>
      <c r="O112" s="1370"/>
      <c r="P112" s="1371"/>
      <c r="Q112" s="1372"/>
      <c r="R112" s="1370"/>
      <c r="S112" s="1370"/>
      <c r="T112" s="1370"/>
      <c r="U112" s="1370"/>
      <c r="V112" s="1370"/>
      <c r="W112" s="1370"/>
      <c r="X112" s="1371"/>
    </row>
    <row r="113" spans="1:24" ht="18.75" customHeight="1" x14ac:dyDescent="0.25">
      <c r="A113" s="2054"/>
      <c r="B113" s="2053"/>
      <c r="C113" s="2049"/>
      <c r="D113" s="1368" t="s">
        <v>1819</v>
      </c>
      <c r="E113" s="1368" t="s">
        <v>169</v>
      </c>
      <c r="F113" s="1368" t="s">
        <v>65</v>
      </c>
      <c r="G113" s="1369" t="s">
        <v>1766</v>
      </c>
      <c r="H113" s="1370">
        <f>-35545+35545</f>
        <v>0</v>
      </c>
      <c r="I113" s="1370"/>
      <c r="J113" s="1370"/>
      <c r="K113" s="1370"/>
      <c r="L113" s="1370"/>
      <c r="M113" s="1370"/>
      <c r="N113" s="1370"/>
      <c r="O113" s="1370"/>
      <c r="P113" s="1371"/>
      <c r="Q113" s="1372"/>
      <c r="R113" s="1370"/>
      <c r="S113" s="1370"/>
      <c r="T113" s="1370"/>
      <c r="U113" s="1370"/>
      <c r="V113" s="1370"/>
      <c r="W113" s="1370"/>
      <c r="X113" s="1371"/>
    </row>
    <row r="114" spans="1:24" ht="18.75" customHeight="1" x14ac:dyDescent="0.25">
      <c r="A114" s="2048"/>
      <c r="B114" s="2046"/>
      <c r="C114" s="2044"/>
      <c r="D114" s="1368" t="s">
        <v>1819</v>
      </c>
      <c r="E114" s="1368" t="s">
        <v>573</v>
      </c>
      <c r="F114" s="1368" t="s">
        <v>153</v>
      </c>
      <c r="G114" s="1369" t="s">
        <v>1766</v>
      </c>
      <c r="H114" s="1370">
        <f>-40000+40000</f>
        <v>0</v>
      </c>
      <c r="I114" s="1370"/>
      <c r="J114" s="1370"/>
      <c r="K114" s="1370"/>
      <c r="L114" s="1370"/>
      <c r="M114" s="1370"/>
      <c r="N114" s="1370"/>
      <c r="O114" s="1370"/>
      <c r="P114" s="1371"/>
      <c r="Q114" s="1372"/>
      <c r="R114" s="1370"/>
      <c r="S114" s="1370"/>
      <c r="T114" s="1370"/>
      <c r="U114" s="1370"/>
      <c r="V114" s="1370"/>
      <c r="W114" s="1370"/>
      <c r="X114" s="1371"/>
    </row>
    <row r="115" spans="1:24" ht="32.25" customHeight="1" x14ac:dyDescent="0.25">
      <c r="A115" s="1428" t="s">
        <v>285</v>
      </c>
      <c r="B115" s="1427" t="s">
        <v>296</v>
      </c>
      <c r="C115" s="1367" t="s">
        <v>2666</v>
      </c>
      <c r="D115" s="1368" t="s">
        <v>1819</v>
      </c>
      <c r="E115" s="1368" t="s">
        <v>529</v>
      </c>
      <c r="F115" s="1368" t="s">
        <v>479</v>
      </c>
      <c r="G115" s="1369" t="s">
        <v>1766</v>
      </c>
      <c r="H115" s="1370"/>
      <c r="I115" s="1370"/>
      <c r="J115" s="1370">
        <f>-500000+500000</f>
        <v>0</v>
      </c>
      <c r="K115" s="1370"/>
      <c r="L115" s="1370"/>
      <c r="M115" s="1370"/>
      <c r="N115" s="1370"/>
      <c r="O115" s="1370"/>
      <c r="P115" s="1371"/>
      <c r="Q115" s="1372"/>
      <c r="R115" s="1370"/>
      <c r="S115" s="1370"/>
      <c r="T115" s="1370"/>
      <c r="U115" s="1370"/>
      <c r="V115" s="1370"/>
      <c r="W115" s="1370"/>
      <c r="X115" s="1371"/>
    </row>
    <row r="116" spans="1:24" ht="29.25" customHeight="1" x14ac:dyDescent="0.25">
      <c r="A116" s="1428" t="s">
        <v>286</v>
      </c>
      <c r="B116" s="1427" t="s">
        <v>297</v>
      </c>
      <c r="C116" s="1367" t="s">
        <v>2702</v>
      </c>
      <c r="D116" s="1368" t="s">
        <v>1819</v>
      </c>
      <c r="E116" s="1368" t="s">
        <v>573</v>
      </c>
      <c r="F116" s="1368" t="s">
        <v>153</v>
      </c>
      <c r="G116" s="1369" t="s">
        <v>1766</v>
      </c>
      <c r="H116" s="1370"/>
      <c r="I116" s="1370"/>
      <c r="J116" s="1370"/>
      <c r="K116" s="1370"/>
      <c r="L116" s="1370"/>
      <c r="M116" s="1370">
        <f>-116528+116528</f>
        <v>0</v>
      </c>
      <c r="N116" s="1370"/>
      <c r="O116" s="1370"/>
      <c r="P116" s="1371"/>
      <c r="Q116" s="1372"/>
      <c r="R116" s="1370"/>
      <c r="S116" s="1370"/>
      <c r="T116" s="1370"/>
      <c r="U116" s="1370"/>
      <c r="V116" s="1370"/>
      <c r="W116" s="1370"/>
      <c r="X116" s="1371"/>
    </row>
    <row r="117" spans="1:24" ht="29.25" customHeight="1" x14ac:dyDescent="0.25">
      <c r="A117" s="1428" t="s">
        <v>287</v>
      </c>
      <c r="B117" s="1427" t="s">
        <v>298</v>
      </c>
      <c r="C117" s="1367" t="s">
        <v>2703</v>
      </c>
      <c r="D117" s="1368" t="s">
        <v>1819</v>
      </c>
      <c r="E117" s="1368" t="s">
        <v>573</v>
      </c>
      <c r="F117" s="1368" t="s">
        <v>154</v>
      </c>
      <c r="G117" s="1369" t="s">
        <v>1754</v>
      </c>
      <c r="H117" s="1370"/>
      <c r="I117" s="1370"/>
      <c r="J117" s="1370">
        <v>59680</v>
      </c>
      <c r="K117" s="1370"/>
      <c r="L117" s="1370"/>
      <c r="M117" s="1370"/>
      <c r="N117" s="1370"/>
      <c r="O117" s="1370"/>
      <c r="P117" s="1371"/>
      <c r="Q117" s="1372"/>
      <c r="R117" s="1370"/>
      <c r="S117" s="1370"/>
      <c r="T117" s="1370">
        <v>59680</v>
      </c>
      <c r="U117" s="1370"/>
      <c r="V117" s="1370"/>
      <c r="W117" s="1370"/>
      <c r="X117" s="1371"/>
    </row>
    <row r="118" spans="1:24" ht="29.25" customHeight="1" x14ac:dyDescent="0.25">
      <c r="A118" s="1428" t="s">
        <v>288</v>
      </c>
      <c r="B118" s="1427" t="s">
        <v>299</v>
      </c>
      <c r="C118" s="1367" t="s">
        <v>2704</v>
      </c>
      <c r="D118" s="1368" t="s">
        <v>1819</v>
      </c>
      <c r="E118" s="1368" t="s">
        <v>1762</v>
      </c>
      <c r="F118" s="1368" t="s">
        <v>2705</v>
      </c>
      <c r="G118" s="1369" t="s">
        <v>1754</v>
      </c>
      <c r="H118" s="1370"/>
      <c r="I118" s="1370"/>
      <c r="J118" s="1370">
        <f>281764+75802</f>
        <v>357566</v>
      </c>
      <c r="K118" s="1370"/>
      <c r="L118" s="1370"/>
      <c r="M118" s="1370"/>
      <c r="N118" s="1370"/>
      <c r="O118" s="1370"/>
      <c r="P118" s="1371"/>
      <c r="Q118" s="1372"/>
      <c r="R118" s="1370"/>
      <c r="S118" s="1370"/>
      <c r="T118" s="1370">
        <f>281764+75802</f>
        <v>357566</v>
      </c>
      <c r="U118" s="1370"/>
      <c r="V118" s="1370"/>
      <c r="W118" s="1370"/>
      <c r="X118" s="1371"/>
    </row>
    <row r="119" spans="1:24" ht="17.25" customHeight="1" x14ac:dyDescent="0.25">
      <c r="A119" s="2047" t="s">
        <v>289</v>
      </c>
      <c r="B119" s="2045" t="s">
        <v>300</v>
      </c>
      <c r="C119" s="2043" t="s">
        <v>2706</v>
      </c>
      <c r="D119" s="1368" t="s">
        <v>1819</v>
      </c>
      <c r="E119" s="1368" t="s">
        <v>1297</v>
      </c>
      <c r="F119" s="1368" t="s">
        <v>127</v>
      </c>
      <c r="G119" s="1369" t="s">
        <v>1754</v>
      </c>
      <c r="H119" s="1370"/>
      <c r="I119" s="1370"/>
      <c r="J119" s="1370"/>
      <c r="K119" s="1370"/>
      <c r="L119" s="1370"/>
      <c r="M119" s="1370"/>
      <c r="N119" s="1370"/>
      <c r="O119" s="1370"/>
      <c r="P119" s="1371"/>
      <c r="Q119" s="1372"/>
      <c r="R119" s="1370"/>
      <c r="S119" s="1370"/>
      <c r="T119" s="1370"/>
      <c r="U119" s="1370"/>
      <c r="V119" s="1370"/>
      <c r="W119" s="1370"/>
      <c r="X119" s="1371">
        <v>635000</v>
      </c>
    </row>
    <row r="120" spans="1:24" ht="17.25" customHeight="1" x14ac:dyDescent="0.25">
      <c r="A120" s="2048"/>
      <c r="B120" s="2046"/>
      <c r="C120" s="2044"/>
      <c r="D120" s="1368" t="s">
        <v>1819</v>
      </c>
      <c r="E120" s="1368" t="s">
        <v>791</v>
      </c>
      <c r="F120" s="1368" t="s">
        <v>134</v>
      </c>
      <c r="G120" s="1369" t="s">
        <v>1754</v>
      </c>
      <c r="H120" s="1370"/>
      <c r="I120" s="1370"/>
      <c r="J120" s="1370">
        <f>500000+135000</f>
        <v>635000</v>
      </c>
      <c r="K120" s="1370"/>
      <c r="L120" s="1370"/>
      <c r="M120" s="1370"/>
      <c r="N120" s="1370"/>
      <c r="O120" s="1370"/>
      <c r="P120" s="1371"/>
      <c r="Q120" s="1372"/>
      <c r="R120" s="1370"/>
      <c r="S120" s="1370"/>
      <c r="T120" s="1370"/>
      <c r="U120" s="1370"/>
      <c r="V120" s="1370"/>
      <c r="W120" s="1370"/>
      <c r="X120" s="1371"/>
    </row>
    <row r="121" spans="1:24" x14ac:dyDescent="0.25">
      <c r="A121" s="1429"/>
      <c r="B121" s="1430"/>
      <c r="C121" s="982"/>
      <c r="D121" s="983"/>
      <c r="E121" s="983"/>
      <c r="F121" s="983"/>
      <c r="G121" s="1083"/>
      <c r="H121" s="1004"/>
      <c r="I121" s="1004"/>
      <c r="J121" s="1004"/>
      <c r="K121" s="1004"/>
      <c r="L121" s="1004"/>
      <c r="M121" s="1004"/>
      <c r="N121" s="1004"/>
      <c r="O121" s="1004"/>
      <c r="P121" s="1005"/>
      <c r="Q121" s="1322"/>
      <c r="R121" s="1004"/>
      <c r="S121" s="1004"/>
      <c r="T121" s="1004"/>
      <c r="U121" s="1004"/>
      <c r="V121" s="1004"/>
      <c r="W121" s="1004"/>
      <c r="X121" s="1005"/>
    </row>
    <row r="122" spans="1:24" ht="18.75" x14ac:dyDescent="0.3">
      <c r="A122" s="2021" t="s">
        <v>1663</v>
      </c>
      <c r="B122" s="2022"/>
      <c r="C122" s="2022"/>
      <c r="D122" s="956"/>
      <c r="E122" s="956"/>
      <c r="F122" s="956"/>
      <c r="G122" s="956"/>
      <c r="H122" s="1595">
        <f t="shared" ref="H122:X122" si="1">SUM(H63:H121)+H46</f>
        <v>3875000</v>
      </c>
      <c r="I122" s="1595">
        <f t="shared" si="1"/>
        <v>503750</v>
      </c>
      <c r="J122" s="1595">
        <f t="shared" si="1"/>
        <v>12404338</v>
      </c>
      <c r="K122" s="1595">
        <f t="shared" si="1"/>
        <v>0</v>
      </c>
      <c r="L122" s="1595">
        <f t="shared" si="1"/>
        <v>63201781</v>
      </c>
      <c r="M122" s="1595">
        <f t="shared" si="1"/>
        <v>92342</v>
      </c>
      <c r="N122" s="1595">
        <f t="shared" si="1"/>
        <v>0</v>
      </c>
      <c r="O122" s="1595">
        <f t="shared" si="1"/>
        <v>0</v>
      </c>
      <c r="P122" s="1596">
        <f t="shared" si="1"/>
        <v>0</v>
      </c>
      <c r="Q122" s="1597">
        <f t="shared" si="1"/>
        <v>0</v>
      </c>
      <c r="R122" s="1595">
        <f t="shared" si="1"/>
        <v>0</v>
      </c>
      <c r="S122" s="1595">
        <f t="shared" si="1"/>
        <v>0</v>
      </c>
      <c r="T122" s="1595">
        <f t="shared" si="1"/>
        <v>5439220</v>
      </c>
      <c r="U122" s="1595">
        <f t="shared" si="1"/>
        <v>0</v>
      </c>
      <c r="V122" s="1595">
        <f t="shared" si="1"/>
        <v>0</v>
      </c>
      <c r="W122" s="1595">
        <f t="shared" si="1"/>
        <v>0</v>
      </c>
      <c r="X122" s="1596">
        <f t="shared" si="1"/>
        <v>74637991</v>
      </c>
    </row>
    <row r="123" spans="1:24" ht="16.5" customHeight="1" x14ac:dyDescent="0.25">
      <c r="H123" s="995"/>
      <c r="I123" s="995"/>
      <c r="J123" s="995"/>
      <c r="K123" s="995"/>
      <c r="L123" s="995"/>
      <c r="M123" s="995"/>
      <c r="N123" s="995"/>
      <c r="O123" s="995"/>
      <c r="P123" s="995"/>
      <c r="Q123" s="995"/>
      <c r="R123" s="995"/>
      <c r="S123" s="995"/>
      <c r="T123" s="995"/>
      <c r="U123" s="995"/>
      <c r="V123" s="995"/>
      <c r="W123" s="995"/>
      <c r="X123" s="995"/>
    </row>
    <row r="124" spans="1:24" ht="17.25" customHeight="1" x14ac:dyDescent="0.25">
      <c r="H124" s="995"/>
      <c r="I124" s="995"/>
      <c r="J124" s="995"/>
      <c r="K124" s="995"/>
      <c r="L124" s="995"/>
      <c r="M124" s="995"/>
      <c r="N124" s="995"/>
      <c r="O124" s="995"/>
      <c r="P124" s="995"/>
      <c r="Q124" s="995"/>
      <c r="R124" s="995"/>
      <c r="S124" s="995"/>
      <c r="T124" s="995"/>
      <c r="U124" s="995"/>
      <c r="V124" s="995"/>
      <c r="W124" s="995"/>
      <c r="X124" s="995"/>
    </row>
    <row r="125" spans="1:24" x14ac:dyDescent="0.25">
      <c r="Q125" s="968"/>
    </row>
    <row r="126" spans="1:24" x14ac:dyDescent="0.25">
      <c r="Q126" s="968"/>
    </row>
    <row r="127" spans="1:24" ht="21" customHeight="1" x14ac:dyDescent="0.25">
      <c r="I127" s="2042" t="s">
        <v>1664</v>
      </c>
      <c r="J127" s="2042"/>
      <c r="K127" s="2042"/>
      <c r="L127" s="2042">
        <v>1082738514</v>
      </c>
      <c r="M127" s="2042"/>
      <c r="N127" s="996"/>
      <c r="O127" s="996"/>
      <c r="P127" s="996"/>
      <c r="Q127" s="996"/>
      <c r="R127" s="2042" t="s">
        <v>1665</v>
      </c>
      <c r="S127" s="2042"/>
      <c r="T127" s="2042"/>
      <c r="U127" s="2042">
        <v>1082738514</v>
      </c>
      <c r="V127" s="2042"/>
    </row>
    <row r="128" spans="1:24" ht="21" customHeight="1" x14ac:dyDescent="0.25">
      <c r="I128" s="2042" t="s">
        <v>1666</v>
      </c>
      <c r="J128" s="2042"/>
      <c r="K128" s="2042"/>
      <c r="L128" s="2042">
        <f>SUM(H122:P122)</f>
        <v>80077211</v>
      </c>
      <c r="M128" s="2042"/>
      <c r="N128" s="996"/>
      <c r="O128" s="996"/>
      <c r="P128" s="996"/>
      <c r="Q128" s="996"/>
      <c r="R128" s="2042" t="s">
        <v>1666</v>
      </c>
      <c r="S128" s="2042"/>
      <c r="T128" s="2042"/>
      <c r="U128" s="2042">
        <f>SUM(Q122:X122)</f>
        <v>80077211</v>
      </c>
      <c r="V128" s="2042"/>
    </row>
    <row r="129" spans="1:24" ht="22.5" customHeight="1" x14ac:dyDescent="0.25">
      <c r="I129" s="2042" t="s">
        <v>1512</v>
      </c>
      <c r="J129" s="2042"/>
      <c r="K129" s="2042"/>
      <c r="L129" s="2042">
        <f>+L127+L128</f>
        <v>1162815725</v>
      </c>
      <c r="M129" s="2042"/>
      <c r="N129" s="996"/>
      <c r="O129" s="996"/>
      <c r="P129" s="996"/>
      <c r="Q129" s="996"/>
      <c r="R129" s="2042" t="s">
        <v>1512</v>
      </c>
      <c r="S129" s="2042"/>
      <c r="T129" s="2042"/>
      <c r="U129" s="2042">
        <f>+U127+U128</f>
        <v>1162815725</v>
      </c>
      <c r="V129" s="2042"/>
    </row>
    <row r="130" spans="1:24" x14ac:dyDescent="0.25">
      <c r="Q130" s="968"/>
    </row>
    <row r="131" spans="1:24" x14ac:dyDescent="0.25">
      <c r="Q131" s="968"/>
    </row>
    <row r="132" spans="1:24" x14ac:dyDescent="0.25">
      <c r="Q132" s="968"/>
    </row>
    <row r="133" spans="1:24" x14ac:dyDescent="0.25">
      <c r="Q133" s="968"/>
    </row>
    <row r="134" spans="1:24" ht="15.75" x14ac:dyDescent="0.25">
      <c r="A134" s="2010" t="s">
        <v>2861</v>
      </c>
      <c r="B134" s="2010"/>
      <c r="C134" s="2010"/>
      <c r="D134" s="2010"/>
      <c r="E134" s="2010"/>
      <c r="F134" s="2010"/>
      <c r="G134" s="2010"/>
      <c r="H134" s="2010"/>
      <c r="I134" s="2010"/>
      <c r="J134" s="2010"/>
      <c r="K134" s="2010"/>
      <c r="L134" s="2010"/>
      <c r="M134" s="2010"/>
      <c r="N134" s="2010"/>
      <c r="O134" s="2010"/>
      <c r="P134" s="2010"/>
      <c r="Q134" s="2010"/>
      <c r="R134" s="2010"/>
      <c r="S134" s="2010"/>
      <c r="T134" s="2010"/>
      <c r="U134" s="2010"/>
      <c r="V134" s="2010"/>
      <c r="W134" s="2010"/>
      <c r="X134" s="2010"/>
    </row>
    <row r="135" spans="1:24" ht="15.75" x14ac:dyDescent="0.25">
      <c r="A135" s="1246"/>
      <c r="B135" s="1246"/>
      <c r="C135" s="1246"/>
      <c r="D135" s="1246"/>
      <c r="E135" s="1246"/>
      <c r="F135" s="1246"/>
      <c r="G135" s="1246"/>
      <c r="H135" s="1246"/>
      <c r="I135" s="1246"/>
      <c r="J135" s="1246"/>
      <c r="K135" s="1246"/>
      <c r="L135" s="1246"/>
      <c r="M135" s="1246"/>
      <c r="N135" s="1246"/>
      <c r="O135" s="1246"/>
      <c r="P135" s="1246"/>
      <c r="Q135" s="1246"/>
      <c r="R135" s="1246"/>
      <c r="S135" s="1246"/>
      <c r="T135" s="1246"/>
      <c r="U135" s="1246"/>
      <c r="V135" s="1246"/>
      <c r="W135" s="1246"/>
      <c r="X135" s="1246"/>
    </row>
    <row r="136" spans="1:24" x14ac:dyDescent="0.25">
      <c r="A136" s="970"/>
      <c r="B136" s="970"/>
      <c r="C136" s="969"/>
      <c r="D136" s="970"/>
      <c r="E136" s="970"/>
      <c r="F136" s="970"/>
      <c r="G136" s="970"/>
      <c r="H136" s="970"/>
      <c r="I136" s="970"/>
      <c r="J136" s="970"/>
      <c r="K136" s="970"/>
      <c r="L136" s="970"/>
      <c r="M136" s="970"/>
      <c r="N136" s="970"/>
      <c r="O136" s="970"/>
      <c r="P136" s="970"/>
      <c r="Q136" s="970"/>
      <c r="R136" s="970"/>
      <c r="S136" s="970"/>
      <c r="T136" s="970"/>
      <c r="U136" s="970"/>
      <c r="V136" s="970"/>
      <c r="W136" s="970"/>
      <c r="X136" s="970"/>
    </row>
    <row r="137" spans="1:24" x14ac:dyDescent="0.25">
      <c r="A137" s="2055" t="s">
        <v>25</v>
      </c>
      <c r="B137" s="2055"/>
      <c r="C137" s="2055"/>
      <c r="D137" s="2055"/>
      <c r="E137" s="2055"/>
      <c r="F137" s="2055"/>
      <c r="G137" s="2055"/>
      <c r="H137" s="2055"/>
      <c r="I137" s="2055"/>
      <c r="J137" s="2055"/>
      <c r="K137" s="2055"/>
      <c r="L137" s="2055"/>
      <c r="M137" s="2055"/>
      <c r="N137" s="2055"/>
      <c r="O137" s="2055"/>
      <c r="P137" s="2055"/>
      <c r="Q137" s="2055"/>
      <c r="R137" s="2055"/>
      <c r="S137" s="2055"/>
      <c r="T137" s="2055"/>
      <c r="U137" s="2055"/>
      <c r="V137" s="2055"/>
      <c r="W137" s="2055"/>
      <c r="X137" s="2055"/>
    </row>
    <row r="138" spans="1:24" x14ac:dyDescent="0.25">
      <c r="Q138" s="972"/>
    </row>
    <row r="139" spans="1:24" ht="18.75" customHeight="1" x14ac:dyDescent="0.25">
      <c r="A139" s="2056" t="s">
        <v>37</v>
      </c>
      <c r="B139" s="1773" t="s">
        <v>1640</v>
      </c>
      <c r="C139" s="2058" t="s">
        <v>2</v>
      </c>
      <c r="D139" s="2037" t="s">
        <v>1641</v>
      </c>
      <c r="E139" s="2037" t="s">
        <v>116</v>
      </c>
      <c r="F139" s="2037" t="s">
        <v>1642</v>
      </c>
      <c r="G139" s="2037" t="s">
        <v>1643</v>
      </c>
      <c r="H139" s="2039" t="s">
        <v>1644</v>
      </c>
      <c r="I139" s="2039"/>
      <c r="J139" s="2039"/>
      <c r="K139" s="2039"/>
      <c r="L139" s="2039"/>
      <c r="M139" s="2039"/>
      <c r="N139" s="2039"/>
      <c r="O139" s="2066"/>
      <c r="P139" s="1434"/>
      <c r="Q139" s="2040" t="s">
        <v>1645</v>
      </c>
      <c r="R139" s="2039"/>
      <c r="S139" s="2039"/>
      <c r="T139" s="2039"/>
      <c r="U139" s="2039"/>
      <c r="V139" s="2039"/>
      <c r="W139" s="2039"/>
      <c r="X139" s="2041"/>
    </row>
    <row r="140" spans="1:24" ht="80.25" customHeight="1" x14ac:dyDescent="0.25">
      <c r="A140" s="2057"/>
      <c r="B140" s="1774"/>
      <c r="C140" s="2059"/>
      <c r="D140" s="2038"/>
      <c r="E140" s="2038"/>
      <c r="F140" s="2038"/>
      <c r="G140" s="2038"/>
      <c r="H140" s="941" t="s">
        <v>1667</v>
      </c>
      <c r="I140" s="941" t="s">
        <v>1678</v>
      </c>
      <c r="J140" s="941" t="s">
        <v>1679</v>
      </c>
      <c r="K140" s="941" t="s">
        <v>1680</v>
      </c>
      <c r="L140" s="941" t="s">
        <v>1681</v>
      </c>
      <c r="M140" s="941" t="s">
        <v>1682</v>
      </c>
      <c r="N140" s="941" t="s">
        <v>1673</v>
      </c>
      <c r="O140" s="941" t="s">
        <v>1653</v>
      </c>
      <c r="P140" s="944" t="s">
        <v>1654</v>
      </c>
      <c r="Q140" s="999" t="s">
        <v>1683</v>
      </c>
      <c r="R140" s="941" t="s">
        <v>1684</v>
      </c>
      <c r="S140" s="941" t="s">
        <v>1685</v>
      </c>
      <c r="T140" s="941" t="s">
        <v>1686</v>
      </c>
      <c r="U140" s="941" t="s">
        <v>1659</v>
      </c>
      <c r="V140" s="941" t="s">
        <v>1687</v>
      </c>
      <c r="W140" s="941" t="s">
        <v>1661</v>
      </c>
      <c r="X140" s="944" t="s">
        <v>1688</v>
      </c>
    </row>
    <row r="141" spans="1:24" ht="53.25" customHeight="1" x14ac:dyDescent="0.25">
      <c r="A141" s="1495" t="s">
        <v>290</v>
      </c>
      <c r="B141" s="1494" t="s">
        <v>759</v>
      </c>
      <c r="C141" s="973" t="s">
        <v>2779</v>
      </c>
      <c r="D141" s="974" t="s">
        <v>1819</v>
      </c>
      <c r="E141" s="974" t="s">
        <v>573</v>
      </c>
      <c r="F141" s="974" t="s">
        <v>153</v>
      </c>
      <c r="G141" s="975" t="s">
        <v>1766</v>
      </c>
      <c r="H141" s="1019"/>
      <c r="I141" s="1019"/>
      <c r="J141" s="1019">
        <f>-221345+221345</f>
        <v>0</v>
      </c>
      <c r="K141" s="1019"/>
      <c r="L141" s="1019"/>
      <c r="M141" s="1019"/>
      <c r="N141" s="1019"/>
      <c r="O141" s="1019"/>
      <c r="P141" s="1020"/>
      <c r="Q141" s="1021"/>
      <c r="R141" s="1019"/>
      <c r="S141" s="1019"/>
      <c r="T141" s="1019"/>
      <c r="U141" s="1019"/>
      <c r="V141" s="1019"/>
      <c r="W141" s="1019"/>
      <c r="X141" s="1020"/>
    </row>
    <row r="142" spans="1:24" ht="18" customHeight="1" x14ac:dyDescent="0.25">
      <c r="A142" s="2047" t="s">
        <v>291</v>
      </c>
      <c r="B142" s="2045" t="s">
        <v>301</v>
      </c>
      <c r="C142" s="2043" t="s">
        <v>2938</v>
      </c>
      <c r="D142" s="978" t="s">
        <v>1819</v>
      </c>
      <c r="E142" s="978" t="s">
        <v>1297</v>
      </c>
      <c r="F142" s="978" t="s">
        <v>127</v>
      </c>
      <c r="G142" s="1000" t="s">
        <v>1754</v>
      </c>
      <c r="H142" s="1001"/>
      <c r="I142" s="1001"/>
      <c r="J142" s="1001"/>
      <c r="K142" s="1001"/>
      <c r="L142" s="1001"/>
      <c r="M142" s="1001"/>
      <c r="N142" s="1001"/>
      <c r="O142" s="1001"/>
      <c r="P142" s="1002"/>
      <c r="Q142" s="1003"/>
      <c r="R142" s="1001"/>
      <c r="S142" s="1001"/>
      <c r="T142" s="1001"/>
      <c r="U142" s="1001"/>
      <c r="V142" s="1001"/>
      <c r="W142" s="1001"/>
      <c r="X142" s="1002">
        <v>166366</v>
      </c>
    </row>
    <row r="143" spans="1:24" ht="18" customHeight="1" x14ac:dyDescent="0.25">
      <c r="A143" s="2048"/>
      <c r="B143" s="2046"/>
      <c r="C143" s="2044"/>
      <c r="D143" s="978" t="s">
        <v>1819</v>
      </c>
      <c r="E143" s="978" t="s">
        <v>167</v>
      </c>
      <c r="F143" s="978" t="s">
        <v>132</v>
      </c>
      <c r="G143" s="1000" t="s">
        <v>1754</v>
      </c>
      <c r="H143" s="1001"/>
      <c r="I143" s="1001"/>
      <c r="J143" s="1001"/>
      <c r="K143" s="1001"/>
      <c r="L143" s="1001"/>
      <c r="M143" s="1001">
        <f>130997+35369</f>
        <v>166366</v>
      </c>
      <c r="N143" s="1001"/>
      <c r="O143" s="1001"/>
      <c r="P143" s="1002"/>
      <c r="Q143" s="1003"/>
      <c r="R143" s="1001"/>
      <c r="S143" s="1001"/>
      <c r="T143" s="1001"/>
      <c r="U143" s="1001"/>
      <c r="V143" s="1001"/>
      <c r="W143" s="1001"/>
      <c r="X143" s="1002"/>
    </row>
    <row r="144" spans="1:24" ht="16.5" customHeight="1" x14ac:dyDescent="0.25">
      <c r="A144" s="2047" t="s">
        <v>292</v>
      </c>
      <c r="B144" s="2045" t="s">
        <v>760</v>
      </c>
      <c r="C144" s="2043" t="s">
        <v>2782</v>
      </c>
      <c r="D144" s="978" t="s">
        <v>1819</v>
      </c>
      <c r="E144" s="978" t="s">
        <v>572</v>
      </c>
      <c r="F144" s="978" t="s">
        <v>90</v>
      </c>
      <c r="G144" s="1000" t="s">
        <v>2670</v>
      </c>
      <c r="H144" s="1001"/>
      <c r="I144" s="1001"/>
      <c r="J144" s="1001"/>
      <c r="K144" s="1001"/>
      <c r="L144" s="1001"/>
      <c r="M144" s="1001">
        <f>-500000-135000</f>
        <v>-635000</v>
      </c>
      <c r="N144" s="1001"/>
      <c r="O144" s="1001"/>
      <c r="P144" s="1002"/>
      <c r="Q144" s="1003"/>
      <c r="R144" s="1001"/>
      <c r="S144" s="1001"/>
      <c r="T144" s="1001"/>
      <c r="U144" s="1001"/>
      <c r="V144" s="1001"/>
      <c r="W144" s="1001"/>
      <c r="X144" s="1002"/>
    </row>
    <row r="145" spans="1:24" ht="16.5" customHeight="1" x14ac:dyDescent="0.25">
      <c r="A145" s="2048"/>
      <c r="B145" s="2046"/>
      <c r="C145" s="2044"/>
      <c r="D145" s="978" t="s">
        <v>1819</v>
      </c>
      <c r="E145" s="978" t="s">
        <v>525</v>
      </c>
      <c r="F145" s="978" t="s">
        <v>131</v>
      </c>
      <c r="G145" s="1000" t="s">
        <v>1754</v>
      </c>
      <c r="H145" s="1001"/>
      <c r="I145" s="1001"/>
      <c r="J145" s="1001">
        <f>500000+135000</f>
        <v>635000</v>
      </c>
      <c r="K145" s="1001"/>
      <c r="L145" s="1001"/>
      <c r="M145" s="1001"/>
      <c r="N145" s="1001"/>
      <c r="O145" s="1001"/>
      <c r="P145" s="1002"/>
      <c r="Q145" s="1003"/>
      <c r="R145" s="1001"/>
      <c r="S145" s="1001"/>
      <c r="T145" s="1001"/>
      <c r="U145" s="1001"/>
      <c r="V145" s="1001"/>
      <c r="W145" s="1001"/>
      <c r="X145" s="1002"/>
    </row>
    <row r="146" spans="1:24" ht="14.25" customHeight="1" x14ac:dyDescent="0.25">
      <c r="A146" s="2047" t="s">
        <v>293</v>
      </c>
      <c r="B146" s="2045" t="s">
        <v>302</v>
      </c>
      <c r="C146" s="2043" t="s">
        <v>2783</v>
      </c>
      <c r="D146" s="978" t="s">
        <v>1819</v>
      </c>
      <c r="E146" s="978" t="s">
        <v>572</v>
      </c>
      <c r="F146" s="978" t="s">
        <v>90</v>
      </c>
      <c r="G146" s="1000" t="s">
        <v>1766</v>
      </c>
      <c r="H146" s="1001">
        <f>-23163+23163</f>
        <v>0</v>
      </c>
      <c r="I146" s="1001"/>
      <c r="J146" s="1001"/>
      <c r="K146" s="1001"/>
      <c r="L146" s="1001"/>
      <c r="M146" s="1001"/>
      <c r="N146" s="1001"/>
      <c r="O146" s="1001"/>
      <c r="P146" s="1002"/>
      <c r="Q146" s="1003"/>
      <c r="R146" s="1001"/>
      <c r="S146" s="1001"/>
      <c r="T146" s="1001"/>
      <c r="U146" s="1001"/>
      <c r="V146" s="1001"/>
      <c r="W146" s="1001"/>
      <c r="X146" s="1002"/>
    </row>
    <row r="147" spans="1:24" ht="14.25" customHeight="1" x14ac:dyDescent="0.25">
      <c r="A147" s="2054"/>
      <c r="B147" s="2053"/>
      <c r="C147" s="2049"/>
      <c r="D147" s="978" t="s">
        <v>1819</v>
      </c>
      <c r="E147" s="978" t="s">
        <v>525</v>
      </c>
      <c r="F147" s="978" t="s">
        <v>131</v>
      </c>
      <c r="G147" s="1000" t="s">
        <v>1766</v>
      </c>
      <c r="H147" s="1001">
        <f>-5108+5108</f>
        <v>0</v>
      </c>
      <c r="I147" s="1001"/>
      <c r="J147" s="1001"/>
      <c r="K147" s="1001"/>
      <c r="L147" s="1001"/>
      <c r="M147" s="1001"/>
      <c r="N147" s="1001"/>
      <c r="O147" s="1001"/>
      <c r="P147" s="1002"/>
      <c r="Q147" s="1003"/>
      <c r="R147" s="1001"/>
      <c r="S147" s="1001"/>
      <c r="T147" s="1001"/>
      <c r="U147" s="1001"/>
      <c r="V147" s="1001"/>
      <c r="W147" s="1001"/>
      <c r="X147" s="1002"/>
    </row>
    <row r="148" spans="1:24" ht="14.25" customHeight="1" x14ac:dyDescent="0.25">
      <c r="A148" s="2054"/>
      <c r="B148" s="2053"/>
      <c r="C148" s="2049"/>
      <c r="D148" s="978" t="s">
        <v>1819</v>
      </c>
      <c r="E148" s="978" t="s">
        <v>402</v>
      </c>
      <c r="F148" s="978" t="s">
        <v>150</v>
      </c>
      <c r="G148" s="1000" t="s">
        <v>1766</v>
      </c>
      <c r="H148" s="1001">
        <f>-75000+75000</f>
        <v>0</v>
      </c>
      <c r="I148" s="1001"/>
      <c r="J148" s="1001"/>
      <c r="K148" s="1001"/>
      <c r="L148" s="1001"/>
      <c r="M148" s="1001"/>
      <c r="N148" s="1001"/>
      <c r="O148" s="1001"/>
      <c r="P148" s="1002"/>
      <c r="Q148" s="1003"/>
      <c r="R148" s="1001"/>
      <c r="S148" s="1001"/>
      <c r="T148" s="1001"/>
      <c r="U148" s="1001"/>
      <c r="V148" s="1001"/>
      <c r="W148" s="1001"/>
      <c r="X148" s="1002"/>
    </row>
    <row r="149" spans="1:24" ht="14.25" customHeight="1" x14ac:dyDescent="0.25">
      <c r="A149" s="2054"/>
      <c r="B149" s="2053"/>
      <c r="C149" s="2049"/>
      <c r="D149" s="978" t="s">
        <v>1819</v>
      </c>
      <c r="E149" s="978" t="s">
        <v>166</v>
      </c>
      <c r="F149" s="978" t="s">
        <v>151</v>
      </c>
      <c r="G149" s="1000" t="s">
        <v>1766</v>
      </c>
      <c r="H149" s="1001">
        <f>-172425+4725+167700</f>
        <v>0</v>
      </c>
      <c r="I149" s="1001"/>
      <c r="J149" s="1001"/>
      <c r="K149" s="1001"/>
      <c r="L149" s="1001"/>
      <c r="M149" s="1001"/>
      <c r="N149" s="1001"/>
      <c r="O149" s="1001"/>
      <c r="P149" s="1002"/>
      <c r="Q149" s="1003"/>
      <c r="R149" s="1001"/>
      <c r="S149" s="1001"/>
      <c r="T149" s="1001"/>
      <c r="U149" s="1001"/>
      <c r="V149" s="1001"/>
      <c r="W149" s="1001"/>
      <c r="X149" s="1002"/>
    </row>
    <row r="150" spans="1:24" ht="14.25" customHeight="1" x14ac:dyDescent="0.25">
      <c r="A150" s="2054"/>
      <c r="B150" s="2053"/>
      <c r="C150" s="2049"/>
      <c r="D150" s="978" t="s">
        <v>1819</v>
      </c>
      <c r="E150" s="978" t="s">
        <v>529</v>
      </c>
      <c r="F150" s="978" t="s">
        <v>479</v>
      </c>
      <c r="G150" s="1000" t="s">
        <v>1766</v>
      </c>
      <c r="H150" s="1001">
        <f>-5130+5130</f>
        <v>0</v>
      </c>
      <c r="I150" s="1001"/>
      <c r="J150" s="1001"/>
      <c r="K150" s="1001"/>
      <c r="L150" s="1001"/>
      <c r="M150" s="1001"/>
      <c r="N150" s="1001"/>
      <c r="O150" s="1001"/>
      <c r="P150" s="1002"/>
      <c r="Q150" s="1003"/>
      <c r="R150" s="1001"/>
      <c r="S150" s="1001"/>
      <c r="T150" s="1001"/>
      <c r="U150" s="1001"/>
      <c r="V150" s="1001"/>
      <c r="W150" s="1001"/>
      <c r="X150" s="1002"/>
    </row>
    <row r="151" spans="1:24" ht="14.25" customHeight="1" x14ac:dyDescent="0.25">
      <c r="A151" s="2054"/>
      <c r="B151" s="2053"/>
      <c r="C151" s="2049"/>
      <c r="D151" s="978" t="s">
        <v>1819</v>
      </c>
      <c r="E151" s="978" t="s">
        <v>168</v>
      </c>
      <c r="F151" s="978" t="s">
        <v>152</v>
      </c>
      <c r="G151" s="1000" t="s">
        <v>1766</v>
      </c>
      <c r="H151" s="1001">
        <f>-15759+15759</f>
        <v>0</v>
      </c>
      <c r="I151" s="1001"/>
      <c r="J151" s="1001"/>
      <c r="K151" s="1001"/>
      <c r="L151" s="1001"/>
      <c r="M151" s="1001"/>
      <c r="N151" s="1001"/>
      <c r="O151" s="1001"/>
      <c r="P151" s="1002"/>
      <c r="Q151" s="1003"/>
      <c r="R151" s="1001"/>
      <c r="S151" s="1001"/>
      <c r="T151" s="1001"/>
      <c r="U151" s="1001"/>
      <c r="V151" s="1001"/>
      <c r="W151" s="1001"/>
      <c r="X151" s="1002"/>
    </row>
    <row r="152" spans="1:24" ht="14.25" customHeight="1" x14ac:dyDescent="0.25">
      <c r="A152" s="2054"/>
      <c r="B152" s="2053"/>
      <c r="C152" s="2049"/>
      <c r="D152" s="978" t="s">
        <v>1819</v>
      </c>
      <c r="E152" s="978" t="s">
        <v>169</v>
      </c>
      <c r="F152" s="978" t="s">
        <v>65</v>
      </c>
      <c r="G152" s="1000" t="s">
        <v>1766</v>
      </c>
      <c r="H152" s="1001">
        <f>-160310+160310</f>
        <v>0</v>
      </c>
      <c r="I152" s="1001"/>
      <c r="J152" s="1001"/>
      <c r="K152" s="1001"/>
      <c r="L152" s="1001"/>
      <c r="M152" s="1001"/>
      <c r="N152" s="1001"/>
      <c r="O152" s="1001"/>
      <c r="P152" s="1002"/>
      <c r="Q152" s="1003"/>
      <c r="R152" s="1001"/>
      <c r="S152" s="1001"/>
      <c r="T152" s="1001"/>
      <c r="U152" s="1001"/>
      <c r="V152" s="1001"/>
      <c r="W152" s="1001"/>
      <c r="X152" s="1002"/>
    </row>
    <row r="153" spans="1:24" ht="14.25" customHeight="1" x14ac:dyDescent="0.25">
      <c r="A153" s="2048"/>
      <c r="B153" s="2046"/>
      <c r="C153" s="2044"/>
      <c r="D153" s="978" t="s">
        <v>1819</v>
      </c>
      <c r="E153" s="978" t="s">
        <v>573</v>
      </c>
      <c r="F153" s="978" t="s">
        <v>153</v>
      </c>
      <c r="G153" s="1000" t="s">
        <v>1766</v>
      </c>
      <c r="H153" s="1001">
        <f>-40000+40000</f>
        <v>0</v>
      </c>
      <c r="I153" s="1001"/>
      <c r="J153" s="1001"/>
      <c r="K153" s="1001"/>
      <c r="L153" s="1001"/>
      <c r="M153" s="1001"/>
      <c r="N153" s="1001"/>
      <c r="O153" s="1001"/>
      <c r="P153" s="1002"/>
      <c r="Q153" s="1003"/>
      <c r="R153" s="1001"/>
      <c r="S153" s="1001"/>
      <c r="T153" s="1001"/>
      <c r="U153" s="1001"/>
      <c r="V153" s="1001"/>
      <c r="W153" s="1001"/>
      <c r="X153" s="1002"/>
    </row>
    <row r="154" spans="1:24" ht="38.25" x14ac:dyDescent="0.25">
      <c r="A154" s="1432" t="s">
        <v>294</v>
      </c>
      <c r="B154" s="1431" t="s">
        <v>2796</v>
      </c>
      <c r="C154" s="977" t="s">
        <v>2797</v>
      </c>
      <c r="D154" s="978" t="s">
        <v>1819</v>
      </c>
      <c r="E154" s="978" t="s">
        <v>573</v>
      </c>
      <c r="F154" s="978" t="s">
        <v>153</v>
      </c>
      <c r="G154" s="1000" t="s">
        <v>1766</v>
      </c>
      <c r="H154" s="1001"/>
      <c r="I154" s="1001"/>
      <c r="J154" s="1001">
        <f>-600000+600000</f>
        <v>0</v>
      </c>
      <c r="K154" s="1001"/>
      <c r="L154" s="1001"/>
      <c r="M154" s="1001"/>
      <c r="N154" s="1001"/>
      <c r="O154" s="1001"/>
      <c r="P154" s="1002"/>
      <c r="Q154" s="1003"/>
      <c r="R154" s="1001"/>
      <c r="S154" s="1001"/>
      <c r="T154" s="1001"/>
      <c r="U154" s="1001"/>
      <c r="V154" s="1001"/>
      <c r="W154" s="1001"/>
      <c r="X154" s="1002"/>
    </row>
    <row r="155" spans="1:24" ht="16.5" customHeight="1" x14ac:dyDescent="0.25">
      <c r="A155" s="2047" t="s">
        <v>295</v>
      </c>
      <c r="B155" s="2045" t="s">
        <v>305</v>
      </c>
      <c r="C155" s="2043" t="s">
        <v>2939</v>
      </c>
      <c r="D155" s="978" t="s">
        <v>1819</v>
      </c>
      <c r="E155" s="978" t="s">
        <v>1297</v>
      </c>
      <c r="F155" s="978" t="s">
        <v>127</v>
      </c>
      <c r="G155" s="1000" t="s">
        <v>1754</v>
      </c>
      <c r="H155" s="1001"/>
      <c r="I155" s="1001"/>
      <c r="J155" s="1001"/>
      <c r="K155" s="1001"/>
      <c r="L155" s="1001"/>
      <c r="M155" s="1001"/>
      <c r="N155" s="1001"/>
      <c r="O155" s="1001"/>
      <c r="P155" s="1002"/>
      <c r="Q155" s="1003"/>
      <c r="R155" s="1001"/>
      <c r="S155" s="1001"/>
      <c r="T155" s="1001"/>
      <c r="U155" s="1001"/>
      <c r="V155" s="1001"/>
      <c r="W155" s="1001"/>
      <c r="X155" s="1002">
        <v>171450</v>
      </c>
    </row>
    <row r="156" spans="1:24" ht="16.5" customHeight="1" x14ac:dyDescent="0.25">
      <c r="A156" s="2048"/>
      <c r="B156" s="2046"/>
      <c r="C156" s="2044"/>
      <c r="D156" s="978" t="s">
        <v>1819</v>
      </c>
      <c r="E156" s="978" t="s">
        <v>167</v>
      </c>
      <c r="F156" s="978" t="s">
        <v>133</v>
      </c>
      <c r="G156" s="1000" t="s">
        <v>1754</v>
      </c>
      <c r="H156" s="1001"/>
      <c r="I156" s="1001"/>
      <c r="J156" s="1001">
        <f>135000+36450</f>
        <v>171450</v>
      </c>
      <c r="K156" s="1001"/>
      <c r="L156" s="1001"/>
      <c r="M156" s="1001"/>
      <c r="N156" s="1001"/>
      <c r="O156" s="1001"/>
      <c r="P156" s="1002"/>
      <c r="Q156" s="1003"/>
      <c r="R156" s="1001"/>
      <c r="S156" s="1001"/>
      <c r="T156" s="1001"/>
      <c r="U156" s="1001"/>
      <c r="V156" s="1001"/>
      <c r="W156" s="1001"/>
      <c r="X156" s="1002"/>
    </row>
    <row r="157" spans="1:24" ht="17.25" customHeight="1" x14ac:dyDescent="0.25">
      <c r="A157" s="2047" t="s">
        <v>296</v>
      </c>
      <c r="B157" s="2045" t="s">
        <v>306</v>
      </c>
      <c r="C157" s="2043" t="s">
        <v>2940</v>
      </c>
      <c r="D157" s="978" t="s">
        <v>1819</v>
      </c>
      <c r="E157" s="978" t="s">
        <v>1297</v>
      </c>
      <c r="F157" s="978" t="s">
        <v>127</v>
      </c>
      <c r="G157" s="1000" t="s">
        <v>1754</v>
      </c>
      <c r="H157" s="1001"/>
      <c r="I157" s="1001"/>
      <c r="J157" s="1001"/>
      <c r="K157" s="1001"/>
      <c r="L157" s="1001"/>
      <c r="M157" s="1001"/>
      <c r="N157" s="1001"/>
      <c r="O157" s="1001"/>
      <c r="P157" s="1002"/>
      <c r="Q157" s="1003"/>
      <c r="R157" s="1001"/>
      <c r="S157" s="1001"/>
      <c r="T157" s="1001"/>
      <c r="U157" s="1001"/>
      <c r="V157" s="1001"/>
      <c r="W157" s="1001"/>
      <c r="X157" s="1002">
        <v>191001</v>
      </c>
    </row>
    <row r="158" spans="1:24" ht="17.25" customHeight="1" x14ac:dyDescent="0.25">
      <c r="A158" s="2048"/>
      <c r="B158" s="2046"/>
      <c r="C158" s="2044"/>
      <c r="D158" s="978" t="s">
        <v>1819</v>
      </c>
      <c r="E158" s="978" t="s">
        <v>167</v>
      </c>
      <c r="F158" s="978" t="s">
        <v>133</v>
      </c>
      <c r="G158" s="1000" t="s">
        <v>1754</v>
      </c>
      <c r="H158" s="1001"/>
      <c r="I158" s="1001"/>
      <c r="J158" s="1001">
        <f>150394+40607</f>
        <v>191001</v>
      </c>
      <c r="K158" s="1001"/>
      <c r="L158" s="1001"/>
      <c r="M158" s="1001"/>
      <c r="N158" s="1001"/>
      <c r="O158" s="1001"/>
      <c r="P158" s="1002"/>
      <c r="Q158" s="1003"/>
      <c r="R158" s="1001"/>
      <c r="S158" s="1001"/>
      <c r="T158" s="1001"/>
      <c r="U158" s="1001"/>
      <c r="V158" s="1001"/>
      <c r="W158" s="1001"/>
      <c r="X158" s="1002"/>
    </row>
    <row r="159" spans="1:24" ht="17.25" customHeight="1" x14ac:dyDescent="0.25">
      <c r="A159" s="2047" t="s">
        <v>297</v>
      </c>
      <c r="B159" s="2045" t="s">
        <v>307</v>
      </c>
      <c r="C159" s="2043" t="s">
        <v>2820</v>
      </c>
      <c r="D159" s="978" t="s">
        <v>1819</v>
      </c>
      <c r="E159" s="978" t="s">
        <v>1297</v>
      </c>
      <c r="F159" s="978" t="s">
        <v>127</v>
      </c>
      <c r="G159" s="1000" t="s">
        <v>1754</v>
      </c>
      <c r="H159" s="1001"/>
      <c r="I159" s="1001"/>
      <c r="J159" s="1001"/>
      <c r="K159" s="1001"/>
      <c r="L159" s="1001"/>
      <c r="M159" s="1001"/>
      <c r="N159" s="1001"/>
      <c r="O159" s="1001"/>
      <c r="P159" s="1002"/>
      <c r="Q159" s="1003"/>
      <c r="R159" s="1001"/>
      <c r="S159" s="1001"/>
      <c r="T159" s="1001"/>
      <c r="U159" s="1001"/>
      <c r="V159" s="1001"/>
      <c r="W159" s="1001"/>
      <c r="X159" s="1002">
        <v>3335000</v>
      </c>
    </row>
    <row r="160" spans="1:24" ht="17.25" customHeight="1" x14ac:dyDescent="0.25">
      <c r="A160" s="2054"/>
      <c r="B160" s="2053"/>
      <c r="C160" s="2049"/>
      <c r="D160" s="978" t="s">
        <v>1819</v>
      </c>
      <c r="E160" s="978" t="s">
        <v>529</v>
      </c>
      <c r="F160" s="978" t="s">
        <v>479</v>
      </c>
      <c r="G160" s="1000" t="s">
        <v>1754</v>
      </c>
      <c r="H160" s="1001"/>
      <c r="I160" s="1001"/>
      <c r="J160" s="1001">
        <f>200000+54000</f>
        <v>254000</v>
      </c>
      <c r="K160" s="1001"/>
      <c r="L160" s="1001"/>
      <c r="M160" s="1001"/>
      <c r="N160" s="1001"/>
      <c r="O160" s="1001"/>
      <c r="P160" s="1002"/>
      <c r="Q160" s="1003"/>
      <c r="R160" s="1001"/>
      <c r="S160" s="1001"/>
      <c r="T160" s="1001"/>
      <c r="U160" s="1001"/>
      <c r="V160" s="1001"/>
      <c r="W160" s="1001"/>
      <c r="X160" s="1002"/>
    </row>
    <row r="161" spans="1:24" ht="17.25" customHeight="1" x14ac:dyDescent="0.25">
      <c r="A161" s="2048"/>
      <c r="B161" s="2046"/>
      <c r="C161" s="2044"/>
      <c r="D161" s="978" t="s">
        <v>1819</v>
      </c>
      <c r="E161" s="978" t="s">
        <v>573</v>
      </c>
      <c r="F161" s="978" t="s">
        <v>153</v>
      </c>
      <c r="G161" s="1000" t="s">
        <v>1754</v>
      </c>
      <c r="H161" s="1001"/>
      <c r="I161" s="1001"/>
      <c r="J161" s="1001">
        <f>3000000+81000</f>
        <v>3081000</v>
      </c>
      <c r="K161" s="1001"/>
      <c r="L161" s="1001"/>
      <c r="M161" s="1001"/>
      <c r="N161" s="1001"/>
      <c r="O161" s="1001"/>
      <c r="P161" s="1002"/>
      <c r="Q161" s="1003"/>
      <c r="R161" s="1001"/>
      <c r="S161" s="1001"/>
      <c r="T161" s="1001"/>
      <c r="U161" s="1001"/>
      <c r="V161" s="1001"/>
      <c r="W161" s="1001"/>
      <c r="X161" s="1002"/>
    </row>
    <row r="162" spans="1:24" ht="30" customHeight="1" x14ac:dyDescent="0.25">
      <c r="A162" s="1432" t="s">
        <v>298</v>
      </c>
      <c r="B162" s="1431" t="s">
        <v>308</v>
      </c>
      <c r="C162" s="977" t="s">
        <v>2834</v>
      </c>
      <c r="D162" s="978" t="s">
        <v>1819</v>
      </c>
      <c r="E162" s="978" t="s">
        <v>169</v>
      </c>
      <c r="F162" s="978" t="s">
        <v>65</v>
      </c>
      <c r="G162" s="1000" t="s">
        <v>1766</v>
      </c>
      <c r="H162" s="1001"/>
      <c r="I162" s="1001"/>
      <c r="J162" s="1001"/>
      <c r="K162" s="1001"/>
      <c r="L162" s="1001"/>
      <c r="M162" s="1001">
        <f>-1425+1425</f>
        <v>0</v>
      </c>
      <c r="N162" s="1001"/>
      <c r="O162" s="1001"/>
      <c r="P162" s="1002"/>
      <c r="Q162" s="1003"/>
      <c r="R162" s="1001"/>
      <c r="S162" s="1001"/>
      <c r="T162" s="1001"/>
      <c r="U162" s="1001"/>
      <c r="V162" s="1001"/>
      <c r="W162" s="1001"/>
      <c r="X162" s="1002"/>
    </row>
    <row r="163" spans="1:24" ht="30.75" customHeight="1" x14ac:dyDescent="0.25">
      <c r="A163" s="1432" t="s">
        <v>299</v>
      </c>
      <c r="B163" s="1431" t="s">
        <v>309</v>
      </c>
      <c r="C163" s="977" t="s">
        <v>2844</v>
      </c>
      <c r="D163" s="978" t="s">
        <v>1819</v>
      </c>
      <c r="E163" s="978" t="s">
        <v>1762</v>
      </c>
      <c r="F163" s="978" t="s">
        <v>2705</v>
      </c>
      <c r="G163" s="1000" t="s">
        <v>1754</v>
      </c>
      <c r="H163" s="1001"/>
      <c r="I163" s="1001"/>
      <c r="J163" s="1001">
        <f>2418+652</f>
        <v>3070</v>
      </c>
      <c r="K163" s="1001"/>
      <c r="L163" s="1001"/>
      <c r="M163" s="1001"/>
      <c r="N163" s="1001"/>
      <c r="O163" s="1001"/>
      <c r="P163" s="1002"/>
      <c r="Q163" s="1003"/>
      <c r="R163" s="1001"/>
      <c r="S163" s="1001"/>
      <c r="T163" s="1001">
        <f>2418+652</f>
        <v>3070</v>
      </c>
      <c r="U163" s="1001"/>
      <c r="V163" s="1001"/>
      <c r="W163" s="1001"/>
      <c r="X163" s="1002"/>
    </row>
    <row r="164" spans="1:24" ht="21" customHeight="1" x14ac:dyDescent="0.25">
      <c r="A164" s="2047" t="s">
        <v>300</v>
      </c>
      <c r="B164" s="2045" t="s">
        <v>310</v>
      </c>
      <c r="C164" s="2043" t="s">
        <v>2845</v>
      </c>
      <c r="D164" s="978" t="s">
        <v>1819</v>
      </c>
      <c r="E164" s="978" t="s">
        <v>573</v>
      </c>
      <c r="F164" s="978" t="s">
        <v>153</v>
      </c>
      <c r="G164" s="1000" t="s">
        <v>1752</v>
      </c>
      <c r="H164" s="1001"/>
      <c r="I164" s="1001"/>
      <c r="J164" s="1001">
        <f>-221610-60109</f>
        <v>-281719</v>
      </c>
      <c r="K164" s="1001"/>
      <c r="L164" s="1001"/>
      <c r="M164" s="1001"/>
      <c r="N164" s="1001"/>
      <c r="O164" s="1001"/>
      <c r="P164" s="1002"/>
      <c r="Q164" s="1003"/>
      <c r="R164" s="1001"/>
      <c r="S164" s="1001"/>
      <c r="T164" s="1001"/>
      <c r="U164" s="1001"/>
      <c r="V164" s="1001"/>
      <c r="W164" s="1001"/>
      <c r="X164" s="1002"/>
    </row>
    <row r="165" spans="1:24" ht="21" customHeight="1" x14ac:dyDescent="0.25">
      <c r="A165" s="2048"/>
      <c r="B165" s="2046"/>
      <c r="C165" s="2044"/>
      <c r="D165" s="978" t="s">
        <v>1819</v>
      </c>
      <c r="E165" s="978" t="s">
        <v>1762</v>
      </c>
      <c r="F165" s="978" t="s">
        <v>2705</v>
      </c>
      <c r="G165" s="1000" t="s">
        <v>1754</v>
      </c>
      <c r="H165" s="1001"/>
      <c r="I165" s="1001"/>
      <c r="J165" s="1001">
        <f>221610+60109</f>
        <v>281719</v>
      </c>
      <c r="K165" s="1001"/>
      <c r="L165" s="1001"/>
      <c r="M165" s="1001"/>
      <c r="N165" s="1001"/>
      <c r="O165" s="1001"/>
      <c r="P165" s="1002"/>
      <c r="Q165" s="1003"/>
      <c r="R165" s="1001"/>
      <c r="S165" s="1001"/>
      <c r="T165" s="1001"/>
      <c r="U165" s="1001"/>
      <c r="V165" s="1001"/>
      <c r="W165" s="1001"/>
      <c r="X165" s="1002"/>
    </row>
    <row r="166" spans="1:24" ht="19.5" customHeight="1" x14ac:dyDescent="0.25">
      <c r="A166" s="2047" t="s">
        <v>759</v>
      </c>
      <c r="B166" s="2045" t="s">
        <v>311</v>
      </c>
      <c r="C166" s="2043" t="s">
        <v>2914</v>
      </c>
      <c r="D166" s="978" t="s">
        <v>1819</v>
      </c>
      <c r="E166" s="978" t="s">
        <v>1297</v>
      </c>
      <c r="F166" s="978" t="s">
        <v>127</v>
      </c>
      <c r="G166" s="1000" t="s">
        <v>1754</v>
      </c>
      <c r="H166" s="1001"/>
      <c r="I166" s="1001"/>
      <c r="J166" s="1001"/>
      <c r="K166" s="1001"/>
      <c r="L166" s="1001"/>
      <c r="M166" s="1001"/>
      <c r="N166" s="1001"/>
      <c r="O166" s="1001"/>
      <c r="P166" s="1002"/>
      <c r="Q166" s="1003"/>
      <c r="R166" s="1001"/>
      <c r="S166" s="1001"/>
      <c r="T166" s="1001"/>
      <c r="U166" s="1001"/>
      <c r="V166" s="1001"/>
      <c r="W166" s="1001"/>
      <c r="X166" s="1002">
        <v>960000</v>
      </c>
    </row>
    <row r="167" spans="1:24" ht="19.5" customHeight="1" x14ac:dyDescent="0.25">
      <c r="A167" s="2048"/>
      <c r="B167" s="2046"/>
      <c r="C167" s="2044"/>
      <c r="D167" s="978" t="s">
        <v>1819</v>
      </c>
      <c r="E167" s="978" t="s">
        <v>791</v>
      </c>
      <c r="F167" s="978" t="s">
        <v>134</v>
      </c>
      <c r="G167" s="1000" t="s">
        <v>1754</v>
      </c>
      <c r="H167" s="1001">
        <v>960000</v>
      </c>
      <c r="I167" s="1001"/>
      <c r="J167" s="1001"/>
      <c r="K167" s="1001"/>
      <c r="L167" s="1001"/>
      <c r="M167" s="1001"/>
      <c r="N167" s="1001"/>
      <c r="O167" s="1001"/>
      <c r="P167" s="1002"/>
      <c r="Q167" s="1003"/>
      <c r="R167" s="1001"/>
      <c r="S167" s="1001"/>
      <c r="T167" s="1001"/>
      <c r="U167" s="1001"/>
      <c r="V167" s="1001"/>
      <c r="W167" s="1001"/>
      <c r="X167" s="1002"/>
    </row>
    <row r="168" spans="1:24" ht="29.25" customHeight="1" x14ac:dyDescent="0.25">
      <c r="A168" s="1493" t="s">
        <v>301</v>
      </c>
      <c r="B168" s="1492" t="s">
        <v>312</v>
      </c>
      <c r="C168" s="1491" t="s">
        <v>2915</v>
      </c>
      <c r="D168" s="978" t="s">
        <v>1819</v>
      </c>
      <c r="E168" s="978" t="s">
        <v>572</v>
      </c>
      <c r="F168" s="978" t="s">
        <v>90</v>
      </c>
      <c r="G168" s="1000" t="s">
        <v>1766</v>
      </c>
      <c r="H168" s="1001"/>
      <c r="I168" s="1001"/>
      <c r="J168" s="1001">
        <f>-300000+300000</f>
        <v>0</v>
      </c>
      <c r="K168" s="1001"/>
      <c r="L168" s="1001"/>
      <c r="M168" s="1001"/>
      <c r="N168" s="1001"/>
      <c r="O168" s="1001"/>
      <c r="P168" s="1002"/>
      <c r="Q168" s="1003"/>
      <c r="R168" s="1001"/>
      <c r="S168" s="1001"/>
      <c r="T168" s="1001"/>
      <c r="U168" s="1001"/>
      <c r="V168" s="1001"/>
      <c r="W168" s="1001"/>
      <c r="X168" s="1002"/>
    </row>
    <row r="169" spans="1:24" ht="28.5" customHeight="1" x14ac:dyDescent="0.25">
      <c r="A169" s="1493" t="s">
        <v>760</v>
      </c>
      <c r="B169" s="1492" t="s">
        <v>313</v>
      </c>
      <c r="C169" s="1491" t="s">
        <v>2941</v>
      </c>
      <c r="D169" s="978" t="s">
        <v>1819</v>
      </c>
      <c r="E169" s="978" t="s">
        <v>167</v>
      </c>
      <c r="F169" s="978" t="s">
        <v>132</v>
      </c>
      <c r="G169" s="1000" t="s">
        <v>1766</v>
      </c>
      <c r="H169" s="1001"/>
      <c r="I169" s="1001"/>
      <c r="J169" s="1001">
        <f>-200000+200000</f>
        <v>0</v>
      </c>
      <c r="K169" s="1001"/>
      <c r="L169" s="1001"/>
      <c r="M169" s="1001"/>
      <c r="N169" s="1001"/>
      <c r="O169" s="1001"/>
      <c r="P169" s="1002"/>
      <c r="Q169" s="1003"/>
      <c r="R169" s="1001"/>
      <c r="S169" s="1001"/>
      <c r="T169" s="1001"/>
      <c r="U169" s="1001"/>
      <c r="V169" s="1001"/>
      <c r="W169" s="1001"/>
      <c r="X169" s="1002"/>
    </row>
    <row r="170" spans="1:24" ht="19.5" customHeight="1" x14ac:dyDescent="0.25">
      <c r="A170" s="2047" t="s">
        <v>302</v>
      </c>
      <c r="B170" s="2045" t="s">
        <v>314</v>
      </c>
      <c r="C170" s="2043" t="s">
        <v>2876</v>
      </c>
      <c r="D170" s="978" t="s">
        <v>1819</v>
      </c>
      <c r="E170" s="978" t="s">
        <v>572</v>
      </c>
      <c r="F170" s="978" t="s">
        <v>90</v>
      </c>
      <c r="G170" s="1000" t="s">
        <v>1766</v>
      </c>
      <c r="H170" s="1001">
        <f>-152981+125000+27981</f>
        <v>0</v>
      </c>
      <c r="I170" s="1001"/>
      <c r="J170" s="1001"/>
      <c r="K170" s="1001"/>
      <c r="L170" s="1001"/>
      <c r="M170" s="1001"/>
      <c r="N170" s="1001"/>
      <c r="O170" s="1001"/>
      <c r="P170" s="1002"/>
      <c r="Q170" s="1003"/>
      <c r="R170" s="1001"/>
      <c r="S170" s="1001"/>
      <c r="T170" s="1001"/>
      <c r="U170" s="1001"/>
      <c r="V170" s="1001"/>
      <c r="W170" s="1001"/>
      <c r="X170" s="1002"/>
    </row>
    <row r="171" spans="1:24" ht="19.5" customHeight="1" x14ac:dyDescent="0.25">
      <c r="A171" s="2054"/>
      <c r="B171" s="2053"/>
      <c r="C171" s="2049"/>
      <c r="D171" s="978" t="s">
        <v>1819</v>
      </c>
      <c r="E171" s="978" t="s">
        <v>525</v>
      </c>
      <c r="F171" s="978" t="s">
        <v>131</v>
      </c>
      <c r="G171" s="1000" t="s">
        <v>1766</v>
      </c>
      <c r="H171" s="1001">
        <f>-5108+5108</f>
        <v>0</v>
      </c>
      <c r="I171" s="1001"/>
      <c r="J171" s="1001"/>
      <c r="K171" s="1001"/>
      <c r="L171" s="1001"/>
      <c r="M171" s="1001"/>
      <c r="N171" s="1001"/>
      <c r="O171" s="1001"/>
      <c r="P171" s="1002"/>
      <c r="Q171" s="1003"/>
      <c r="R171" s="1001"/>
      <c r="S171" s="1001"/>
      <c r="T171" s="1001"/>
      <c r="U171" s="1001"/>
      <c r="V171" s="1001"/>
      <c r="W171" s="1001"/>
      <c r="X171" s="1002"/>
    </row>
    <row r="172" spans="1:24" ht="19.5" customHeight="1" x14ac:dyDescent="0.25">
      <c r="A172" s="2054"/>
      <c r="B172" s="2053"/>
      <c r="C172" s="2049"/>
      <c r="D172" s="978" t="s">
        <v>1819</v>
      </c>
      <c r="E172" s="978" t="s">
        <v>402</v>
      </c>
      <c r="F172" s="978" t="s">
        <v>150</v>
      </c>
      <c r="G172" s="1000" t="s">
        <v>1766</v>
      </c>
      <c r="H172" s="1001">
        <f>-200000+200000</f>
        <v>0</v>
      </c>
      <c r="I172" s="1001"/>
      <c r="J172" s="1001"/>
      <c r="K172" s="1001"/>
      <c r="L172" s="1001"/>
      <c r="M172" s="1001"/>
      <c r="N172" s="1001"/>
      <c r="O172" s="1001"/>
      <c r="P172" s="1002"/>
      <c r="Q172" s="1003"/>
      <c r="R172" s="1001"/>
      <c r="S172" s="1001"/>
      <c r="T172" s="1001"/>
      <c r="U172" s="1001"/>
      <c r="V172" s="1001"/>
      <c r="W172" s="1001"/>
      <c r="X172" s="1002"/>
    </row>
    <row r="173" spans="1:24" ht="19.5" customHeight="1" x14ac:dyDescent="0.25">
      <c r="A173" s="2054"/>
      <c r="B173" s="2053"/>
      <c r="C173" s="2049"/>
      <c r="D173" s="978" t="s">
        <v>1819</v>
      </c>
      <c r="E173" s="978" t="s">
        <v>166</v>
      </c>
      <c r="F173" s="978" t="s">
        <v>151</v>
      </c>
      <c r="G173" s="1000" t="s">
        <v>1766</v>
      </c>
      <c r="H173" s="1001">
        <f>-385675+62500+3825+319350</f>
        <v>0</v>
      </c>
      <c r="I173" s="1001"/>
      <c r="J173" s="1001"/>
      <c r="K173" s="1001"/>
      <c r="L173" s="1001"/>
      <c r="M173" s="1001"/>
      <c r="N173" s="1001"/>
      <c r="O173" s="1001"/>
      <c r="P173" s="1002"/>
      <c r="Q173" s="1003"/>
      <c r="R173" s="1001"/>
      <c r="S173" s="1001"/>
      <c r="T173" s="1001"/>
      <c r="U173" s="1001"/>
      <c r="V173" s="1001"/>
      <c r="W173" s="1001"/>
      <c r="X173" s="1002"/>
    </row>
    <row r="174" spans="1:24" ht="19.5" customHeight="1" x14ac:dyDescent="0.25">
      <c r="A174" s="2054"/>
      <c r="B174" s="2053"/>
      <c r="C174" s="2049"/>
      <c r="D174" s="978" t="s">
        <v>1819</v>
      </c>
      <c r="E174" s="978" t="s">
        <v>529</v>
      </c>
      <c r="F174" s="978" t="s">
        <v>479</v>
      </c>
      <c r="G174" s="1000" t="s">
        <v>1766</v>
      </c>
      <c r="H174" s="1001">
        <f>-2736+2736</f>
        <v>0</v>
      </c>
      <c r="I174" s="1001"/>
      <c r="J174" s="1001"/>
      <c r="K174" s="1001"/>
      <c r="L174" s="1001"/>
      <c r="M174" s="1001"/>
      <c r="N174" s="1001"/>
      <c r="O174" s="1001"/>
      <c r="P174" s="1002"/>
      <c r="Q174" s="1003"/>
      <c r="R174" s="1001"/>
      <c r="S174" s="1001"/>
      <c r="T174" s="1001"/>
      <c r="U174" s="1001"/>
      <c r="V174" s="1001"/>
      <c r="W174" s="1001"/>
      <c r="X174" s="1002"/>
    </row>
    <row r="175" spans="1:24" ht="19.5" customHeight="1" x14ac:dyDescent="0.25">
      <c r="A175" s="2054"/>
      <c r="B175" s="2053"/>
      <c r="C175" s="2049"/>
      <c r="D175" s="978" t="s">
        <v>1819</v>
      </c>
      <c r="E175" s="978" t="s">
        <v>168</v>
      </c>
      <c r="F175" s="978" t="s">
        <v>152</v>
      </c>
      <c r="G175" s="1000" t="s">
        <v>1766</v>
      </c>
      <c r="H175" s="1001">
        <f>-233717+22268+211449</f>
        <v>0</v>
      </c>
      <c r="I175" s="1001"/>
      <c r="J175" s="1001"/>
      <c r="K175" s="1001"/>
      <c r="L175" s="1001"/>
      <c r="M175" s="1001"/>
      <c r="N175" s="1001"/>
      <c r="O175" s="1001"/>
      <c r="P175" s="1002"/>
      <c r="Q175" s="1003"/>
      <c r="R175" s="1001"/>
      <c r="S175" s="1001"/>
      <c r="T175" s="1001"/>
      <c r="U175" s="1001"/>
      <c r="V175" s="1001"/>
      <c r="W175" s="1001"/>
      <c r="X175" s="1002"/>
    </row>
    <row r="176" spans="1:24" ht="19.5" customHeight="1" x14ac:dyDescent="0.25">
      <c r="A176" s="2048"/>
      <c r="B176" s="2046"/>
      <c r="C176" s="2044"/>
      <c r="D176" s="978" t="s">
        <v>1819</v>
      </c>
      <c r="E176" s="978" t="s">
        <v>573</v>
      </c>
      <c r="F176" s="978" t="s">
        <v>153</v>
      </c>
      <c r="G176" s="1000" t="s">
        <v>1766</v>
      </c>
      <c r="H176" s="1001">
        <f>-40000+40000</f>
        <v>0</v>
      </c>
      <c r="I176" s="1001"/>
      <c r="J176" s="1001"/>
      <c r="K176" s="1001"/>
      <c r="L176" s="1001"/>
      <c r="M176" s="1001"/>
      <c r="N176" s="1001"/>
      <c r="O176" s="1001"/>
      <c r="P176" s="1002"/>
      <c r="Q176" s="1003"/>
      <c r="R176" s="1001"/>
      <c r="S176" s="1001"/>
      <c r="T176" s="1001"/>
      <c r="U176" s="1001"/>
      <c r="V176" s="1001"/>
      <c r="W176" s="1001"/>
      <c r="X176" s="1002"/>
    </row>
    <row r="177" spans="1:24" ht="22.5" customHeight="1" x14ac:dyDescent="0.25">
      <c r="A177" s="2047" t="s">
        <v>303</v>
      </c>
      <c r="B177" s="2045" t="s">
        <v>315</v>
      </c>
      <c r="C177" s="2043" t="s">
        <v>2917</v>
      </c>
      <c r="D177" s="978" t="s">
        <v>1819</v>
      </c>
      <c r="E177" s="978" t="s">
        <v>1297</v>
      </c>
      <c r="F177" s="978" t="s">
        <v>127</v>
      </c>
      <c r="G177" s="1000" t="s">
        <v>1754</v>
      </c>
      <c r="H177" s="1001"/>
      <c r="I177" s="1001"/>
      <c r="J177" s="1001"/>
      <c r="K177" s="1001"/>
      <c r="L177" s="1001"/>
      <c r="M177" s="1001"/>
      <c r="N177" s="1001"/>
      <c r="O177" s="1001"/>
      <c r="P177" s="1002"/>
      <c r="Q177" s="1003"/>
      <c r="R177" s="1001"/>
      <c r="S177" s="1001"/>
      <c r="T177" s="1001"/>
      <c r="U177" s="1001"/>
      <c r="V177" s="1001"/>
      <c r="W177" s="1001"/>
      <c r="X177" s="1002">
        <v>208280</v>
      </c>
    </row>
    <row r="178" spans="1:24" ht="22.5" customHeight="1" x14ac:dyDescent="0.25">
      <c r="A178" s="2048"/>
      <c r="B178" s="2046"/>
      <c r="C178" s="2044"/>
      <c r="D178" s="978" t="s">
        <v>1819</v>
      </c>
      <c r="E178" s="978" t="s">
        <v>573</v>
      </c>
      <c r="F178" s="978" t="s">
        <v>153</v>
      </c>
      <c r="G178" s="1000" t="s">
        <v>1754</v>
      </c>
      <c r="H178" s="1001"/>
      <c r="I178" s="1001"/>
      <c r="J178" s="1001"/>
      <c r="K178" s="1001"/>
      <c r="L178" s="1001"/>
      <c r="M178" s="1001">
        <f>164000+44280</f>
        <v>208280</v>
      </c>
      <c r="N178" s="1001"/>
      <c r="O178" s="1001"/>
      <c r="P178" s="1002"/>
      <c r="Q178" s="1003"/>
      <c r="R178" s="1001"/>
      <c r="S178" s="1001"/>
      <c r="T178" s="1001"/>
      <c r="U178" s="1001"/>
      <c r="V178" s="1001"/>
      <c r="W178" s="1001"/>
      <c r="X178" s="1002"/>
    </row>
    <row r="179" spans="1:24" ht="20.25" customHeight="1" x14ac:dyDescent="0.25">
      <c r="A179" s="2047" t="s">
        <v>304</v>
      </c>
      <c r="B179" s="2045" t="s">
        <v>761</v>
      </c>
      <c r="C179" s="2043" t="s">
        <v>2937</v>
      </c>
      <c r="D179" s="978" t="s">
        <v>1819</v>
      </c>
      <c r="E179" s="978" t="s">
        <v>1297</v>
      </c>
      <c r="F179" s="978" t="s">
        <v>127</v>
      </c>
      <c r="G179" s="1000" t="s">
        <v>1754</v>
      </c>
      <c r="H179" s="1001"/>
      <c r="I179" s="1001"/>
      <c r="J179" s="1001"/>
      <c r="K179" s="1001"/>
      <c r="L179" s="1001"/>
      <c r="M179" s="1001"/>
      <c r="N179" s="1001"/>
      <c r="O179" s="1001"/>
      <c r="P179" s="1002"/>
      <c r="Q179" s="1003"/>
      <c r="R179" s="1001"/>
      <c r="S179" s="1001"/>
      <c r="T179" s="1001"/>
      <c r="U179" s="1001"/>
      <c r="V179" s="1001"/>
      <c r="W179" s="1001"/>
      <c r="X179" s="1002">
        <v>634111</v>
      </c>
    </row>
    <row r="180" spans="1:24" ht="20.25" customHeight="1" x14ac:dyDescent="0.25">
      <c r="A180" s="2048"/>
      <c r="B180" s="2046"/>
      <c r="C180" s="2044"/>
      <c r="D180" s="978" t="s">
        <v>1819</v>
      </c>
      <c r="E180" s="978" t="s">
        <v>167</v>
      </c>
      <c r="F180" s="978" t="s">
        <v>133</v>
      </c>
      <c r="G180" s="1000" t="s">
        <v>1754</v>
      </c>
      <c r="H180" s="1001"/>
      <c r="I180" s="1001"/>
      <c r="J180" s="1001">
        <f>499300+134811</f>
        <v>634111</v>
      </c>
      <c r="K180" s="1001"/>
      <c r="L180" s="1001"/>
      <c r="M180" s="1001"/>
      <c r="N180" s="1001"/>
      <c r="O180" s="1001"/>
      <c r="P180" s="1002"/>
      <c r="Q180" s="1003"/>
      <c r="R180" s="1001"/>
      <c r="S180" s="1001"/>
      <c r="T180" s="1001"/>
      <c r="U180" s="1001"/>
      <c r="V180" s="1001"/>
      <c r="W180" s="1001"/>
      <c r="X180" s="1002"/>
    </row>
    <row r="181" spans="1:24" ht="20.25" customHeight="1" x14ac:dyDescent="0.25">
      <c r="A181" s="2047" t="s">
        <v>305</v>
      </c>
      <c r="B181" s="2045" t="s">
        <v>316</v>
      </c>
      <c r="C181" s="2043" t="s">
        <v>2948</v>
      </c>
      <c r="D181" s="978" t="s">
        <v>1819</v>
      </c>
      <c r="E181" s="978" t="s">
        <v>1297</v>
      </c>
      <c r="F181" s="978" t="s">
        <v>127</v>
      </c>
      <c r="G181" s="1000" t="s">
        <v>1754</v>
      </c>
      <c r="H181" s="1001"/>
      <c r="I181" s="1001"/>
      <c r="J181" s="1001"/>
      <c r="K181" s="1001"/>
      <c r="L181" s="1001"/>
      <c r="M181" s="1001"/>
      <c r="N181" s="1001"/>
      <c r="O181" s="1001"/>
      <c r="P181" s="1002"/>
      <c r="Q181" s="1003"/>
      <c r="R181" s="1001"/>
      <c r="S181" s="1001"/>
      <c r="T181" s="1001"/>
      <c r="U181" s="1001"/>
      <c r="V181" s="1001"/>
      <c r="W181" s="1001"/>
      <c r="X181" s="1002">
        <v>1841170</v>
      </c>
    </row>
    <row r="182" spans="1:24" ht="20.25" customHeight="1" x14ac:dyDescent="0.25">
      <c r="A182" s="2048"/>
      <c r="B182" s="2046"/>
      <c r="C182" s="2044"/>
      <c r="D182" s="978" t="s">
        <v>1819</v>
      </c>
      <c r="E182" s="978" t="s">
        <v>167</v>
      </c>
      <c r="F182" s="978" t="s">
        <v>133</v>
      </c>
      <c r="G182" s="1000" t="s">
        <v>1754</v>
      </c>
      <c r="H182" s="1001"/>
      <c r="I182" s="1001"/>
      <c r="J182" s="1001">
        <f>1449740+391430</f>
        <v>1841170</v>
      </c>
      <c r="K182" s="1001"/>
      <c r="L182" s="1001"/>
      <c r="M182" s="1001"/>
      <c r="N182" s="1001"/>
      <c r="O182" s="1001"/>
      <c r="P182" s="1002"/>
      <c r="Q182" s="1003"/>
      <c r="R182" s="1001"/>
      <c r="S182" s="1001"/>
      <c r="T182" s="1001"/>
      <c r="U182" s="1001"/>
      <c r="V182" s="1001"/>
      <c r="W182" s="1001"/>
      <c r="X182" s="1002"/>
    </row>
    <row r="183" spans="1:24" ht="18" customHeight="1" x14ac:dyDescent="0.25">
      <c r="A183" s="2047" t="s">
        <v>306</v>
      </c>
      <c r="B183" s="2045" t="s">
        <v>317</v>
      </c>
      <c r="C183" s="2043" t="s">
        <v>2949</v>
      </c>
      <c r="D183" s="978" t="s">
        <v>1819</v>
      </c>
      <c r="E183" s="978" t="s">
        <v>572</v>
      </c>
      <c r="F183" s="978" t="s">
        <v>90</v>
      </c>
      <c r="G183" s="1000" t="s">
        <v>1766</v>
      </c>
      <c r="H183" s="1001"/>
      <c r="I183" s="1001"/>
      <c r="J183" s="1001">
        <f>-300000+300000</f>
        <v>0</v>
      </c>
      <c r="K183" s="1001"/>
      <c r="L183" s="1001"/>
      <c r="M183" s="1001"/>
      <c r="N183" s="1001"/>
      <c r="O183" s="1001"/>
      <c r="P183" s="1002"/>
      <c r="Q183" s="1003"/>
      <c r="R183" s="1001"/>
      <c r="S183" s="1001"/>
      <c r="T183" s="1001"/>
      <c r="U183" s="1001"/>
      <c r="V183" s="1001"/>
      <c r="W183" s="1001"/>
      <c r="X183" s="1002"/>
    </row>
    <row r="184" spans="1:24" ht="18" customHeight="1" x14ac:dyDescent="0.25">
      <c r="A184" s="2054"/>
      <c r="B184" s="2053"/>
      <c r="C184" s="2049"/>
      <c r="D184" s="978" t="s">
        <v>1819</v>
      </c>
      <c r="E184" s="978" t="s">
        <v>525</v>
      </c>
      <c r="F184" s="978" t="s">
        <v>131</v>
      </c>
      <c r="G184" s="1000" t="s">
        <v>1766</v>
      </c>
      <c r="H184" s="1001"/>
      <c r="I184" s="1001"/>
      <c r="J184" s="1001">
        <f>-20000+20000</f>
        <v>0</v>
      </c>
      <c r="K184" s="1001"/>
      <c r="L184" s="1001"/>
      <c r="M184" s="1001"/>
      <c r="N184" s="1001"/>
      <c r="O184" s="1001"/>
      <c r="P184" s="1002"/>
      <c r="Q184" s="1003"/>
      <c r="R184" s="1001"/>
      <c r="S184" s="1001"/>
      <c r="T184" s="1001"/>
      <c r="U184" s="1001"/>
      <c r="V184" s="1001"/>
      <c r="W184" s="1001"/>
      <c r="X184" s="1002"/>
    </row>
    <row r="185" spans="1:24" ht="18" customHeight="1" x14ac:dyDescent="0.25">
      <c r="A185" s="2048"/>
      <c r="B185" s="2046"/>
      <c r="C185" s="2044"/>
      <c r="D185" s="978" t="s">
        <v>1819</v>
      </c>
      <c r="E185" s="978" t="s">
        <v>402</v>
      </c>
      <c r="F185" s="978" t="s">
        <v>150</v>
      </c>
      <c r="G185" s="1000" t="s">
        <v>1766</v>
      </c>
      <c r="H185" s="1001"/>
      <c r="I185" s="1001"/>
      <c r="J185" s="1001">
        <f>-30000+30000</f>
        <v>0</v>
      </c>
      <c r="K185" s="1001"/>
      <c r="L185" s="1001"/>
      <c r="M185" s="1001"/>
      <c r="N185" s="1001"/>
      <c r="O185" s="1001"/>
      <c r="P185" s="1002"/>
      <c r="Q185" s="1003"/>
      <c r="R185" s="1001"/>
      <c r="S185" s="1001"/>
      <c r="T185" s="1001"/>
      <c r="U185" s="1001"/>
      <c r="V185" s="1001"/>
      <c r="W185" s="1001"/>
      <c r="X185" s="1002"/>
    </row>
    <row r="186" spans="1:24" ht="28.5" customHeight="1" x14ac:dyDescent="0.25">
      <c r="A186" s="1493" t="s">
        <v>307</v>
      </c>
      <c r="B186" s="1492" t="s">
        <v>762</v>
      </c>
      <c r="C186" s="1491" t="s">
        <v>2950</v>
      </c>
      <c r="D186" s="978" t="s">
        <v>1819</v>
      </c>
      <c r="E186" s="978" t="s">
        <v>166</v>
      </c>
      <c r="F186" s="978" t="s">
        <v>151</v>
      </c>
      <c r="G186" s="1000" t="s">
        <v>1766</v>
      </c>
      <c r="H186" s="1001"/>
      <c r="I186" s="1001"/>
      <c r="J186" s="1001">
        <f>-20000+20000</f>
        <v>0</v>
      </c>
      <c r="K186" s="1001"/>
      <c r="L186" s="1001"/>
      <c r="M186" s="1001"/>
      <c r="N186" s="1001"/>
      <c r="O186" s="1001"/>
      <c r="P186" s="1002"/>
      <c r="Q186" s="1003"/>
      <c r="R186" s="1001"/>
      <c r="S186" s="1001"/>
      <c r="T186" s="1001"/>
      <c r="U186" s="1001"/>
      <c r="V186" s="1001"/>
      <c r="W186" s="1001"/>
      <c r="X186" s="1002"/>
    </row>
    <row r="187" spans="1:24" ht="41.25" customHeight="1" x14ac:dyDescent="0.25">
      <c r="A187" s="1493" t="s">
        <v>308</v>
      </c>
      <c r="B187" s="1492" t="s">
        <v>763</v>
      </c>
      <c r="C187" s="1491" t="s">
        <v>2951</v>
      </c>
      <c r="D187" s="978" t="s">
        <v>1819</v>
      </c>
      <c r="E187" s="978" t="s">
        <v>168</v>
      </c>
      <c r="F187" s="978" t="s">
        <v>152</v>
      </c>
      <c r="G187" s="1000" t="s">
        <v>1766</v>
      </c>
      <c r="H187" s="1001"/>
      <c r="I187" s="1001"/>
      <c r="J187" s="1001">
        <f>-600000+600000</f>
        <v>0</v>
      </c>
      <c r="K187" s="1001"/>
      <c r="L187" s="1001"/>
      <c r="M187" s="1001"/>
      <c r="N187" s="1001"/>
      <c r="O187" s="1001"/>
      <c r="P187" s="1002"/>
      <c r="Q187" s="1003"/>
      <c r="R187" s="1001"/>
      <c r="S187" s="1001"/>
      <c r="T187" s="1001"/>
      <c r="U187" s="1001"/>
      <c r="V187" s="1001"/>
      <c r="W187" s="1001"/>
      <c r="X187" s="1002"/>
    </row>
    <row r="188" spans="1:24" ht="39" customHeight="1" x14ac:dyDescent="0.25">
      <c r="A188" s="1493" t="s">
        <v>309</v>
      </c>
      <c r="B188" s="1492" t="s">
        <v>155</v>
      </c>
      <c r="C188" s="1491" t="s">
        <v>2469</v>
      </c>
      <c r="D188" s="978" t="s">
        <v>1819</v>
      </c>
      <c r="E188" s="978" t="s">
        <v>573</v>
      </c>
      <c r="F188" s="978" t="s">
        <v>153</v>
      </c>
      <c r="G188" s="1000" t="s">
        <v>1766</v>
      </c>
      <c r="H188" s="1001"/>
      <c r="I188" s="1001"/>
      <c r="J188" s="1001">
        <f>-100000+100000</f>
        <v>0</v>
      </c>
      <c r="K188" s="1001"/>
      <c r="L188" s="1001"/>
      <c r="M188" s="1001"/>
      <c r="N188" s="1001"/>
      <c r="O188" s="1001"/>
      <c r="P188" s="1002"/>
      <c r="Q188" s="1003"/>
      <c r="R188" s="1001"/>
      <c r="S188" s="1001"/>
      <c r="T188" s="1001"/>
      <c r="U188" s="1001"/>
      <c r="V188" s="1001"/>
      <c r="W188" s="1001"/>
      <c r="X188" s="1002"/>
    </row>
    <row r="189" spans="1:24" ht="30.75" customHeight="1" x14ac:dyDescent="0.25">
      <c r="A189" s="1493" t="s">
        <v>310</v>
      </c>
      <c r="B189" s="1492" t="s">
        <v>318</v>
      </c>
      <c r="C189" s="1491" t="s">
        <v>2979</v>
      </c>
      <c r="D189" s="978" t="s">
        <v>1819</v>
      </c>
      <c r="E189" s="978" t="s">
        <v>572</v>
      </c>
      <c r="F189" s="978" t="s">
        <v>90</v>
      </c>
      <c r="G189" s="1000" t="s">
        <v>1766</v>
      </c>
      <c r="H189" s="1001"/>
      <c r="I189" s="1001"/>
      <c r="J189" s="1001">
        <f>-700000+700000</f>
        <v>0</v>
      </c>
      <c r="K189" s="1001"/>
      <c r="L189" s="1001"/>
      <c r="M189" s="1001"/>
      <c r="N189" s="1001"/>
      <c r="O189" s="1001"/>
      <c r="P189" s="1002"/>
      <c r="Q189" s="1003"/>
      <c r="R189" s="1001"/>
      <c r="S189" s="1001"/>
      <c r="T189" s="1001"/>
      <c r="U189" s="1001"/>
      <c r="V189" s="1001"/>
      <c r="W189" s="1001"/>
      <c r="X189" s="1002"/>
    </row>
    <row r="190" spans="1:24" ht="30.75" customHeight="1" x14ac:dyDescent="0.25">
      <c r="A190" s="1493" t="s">
        <v>311</v>
      </c>
      <c r="B190" s="1492" t="s">
        <v>764</v>
      </c>
      <c r="C190" s="1491" t="s">
        <v>3005</v>
      </c>
      <c r="D190" s="978" t="s">
        <v>1819</v>
      </c>
      <c r="E190" s="978" t="s">
        <v>572</v>
      </c>
      <c r="F190" s="978" t="s">
        <v>90</v>
      </c>
      <c r="G190" s="1000" t="s">
        <v>1754</v>
      </c>
      <c r="H190" s="1001"/>
      <c r="I190" s="1001"/>
      <c r="J190" s="1001">
        <f>31641+8544</f>
        <v>40185</v>
      </c>
      <c r="K190" s="1001"/>
      <c r="L190" s="1001"/>
      <c r="M190" s="1001"/>
      <c r="N190" s="1001"/>
      <c r="O190" s="1001"/>
      <c r="P190" s="1002"/>
      <c r="Q190" s="1003"/>
      <c r="R190" s="1001"/>
      <c r="S190" s="1001"/>
      <c r="T190" s="1001">
        <f>31641+8544</f>
        <v>40185</v>
      </c>
      <c r="U190" s="1001"/>
      <c r="V190" s="1001"/>
      <c r="W190" s="1001"/>
      <c r="X190" s="1002"/>
    </row>
    <row r="191" spans="1:24" x14ac:dyDescent="0.25">
      <c r="A191" s="1432"/>
      <c r="B191" s="1431"/>
      <c r="C191" s="977"/>
      <c r="D191" s="978"/>
      <c r="E191" s="978"/>
      <c r="F191" s="978"/>
      <c r="G191" s="1000"/>
      <c r="H191" s="1001"/>
      <c r="I191" s="1001"/>
      <c r="J191" s="1001"/>
      <c r="K191" s="1001"/>
      <c r="L191" s="1001"/>
      <c r="M191" s="1001"/>
      <c r="N191" s="1001"/>
      <c r="O191" s="1001"/>
      <c r="P191" s="1002"/>
      <c r="Q191" s="1003"/>
      <c r="R191" s="1001"/>
      <c r="S191" s="1001"/>
      <c r="T191" s="1001"/>
      <c r="U191" s="1001"/>
      <c r="V191" s="1001"/>
      <c r="W191" s="1001"/>
      <c r="X191" s="1002"/>
    </row>
    <row r="192" spans="1:24" ht="18.75" x14ac:dyDescent="0.3">
      <c r="A192" s="2021" t="s">
        <v>1663</v>
      </c>
      <c r="B192" s="2022"/>
      <c r="C192" s="2022"/>
      <c r="D192" s="956"/>
      <c r="E192" s="956"/>
      <c r="F192" s="956"/>
      <c r="G192" s="956"/>
      <c r="H192" s="1595">
        <f t="shared" ref="H192:X192" si="2">SUM(H141:H191)+H122</f>
        <v>4835000</v>
      </c>
      <c r="I192" s="1595">
        <f t="shared" si="2"/>
        <v>503750</v>
      </c>
      <c r="J192" s="1595">
        <f t="shared" si="2"/>
        <v>19255325</v>
      </c>
      <c r="K192" s="1595">
        <f t="shared" si="2"/>
        <v>0</v>
      </c>
      <c r="L192" s="1595">
        <f t="shared" si="2"/>
        <v>63201781</v>
      </c>
      <c r="M192" s="1595">
        <f t="shared" si="2"/>
        <v>-168012</v>
      </c>
      <c r="N192" s="1595">
        <f t="shared" si="2"/>
        <v>0</v>
      </c>
      <c r="O192" s="1595">
        <f t="shared" si="2"/>
        <v>0</v>
      </c>
      <c r="P192" s="1596">
        <f t="shared" si="2"/>
        <v>0</v>
      </c>
      <c r="Q192" s="1597">
        <f t="shared" si="2"/>
        <v>0</v>
      </c>
      <c r="R192" s="1595">
        <f t="shared" si="2"/>
        <v>0</v>
      </c>
      <c r="S192" s="1595">
        <f t="shared" si="2"/>
        <v>0</v>
      </c>
      <c r="T192" s="1595">
        <f t="shared" si="2"/>
        <v>5482475</v>
      </c>
      <c r="U192" s="1595">
        <f t="shared" si="2"/>
        <v>0</v>
      </c>
      <c r="V192" s="1595">
        <f t="shared" si="2"/>
        <v>0</v>
      </c>
      <c r="W192" s="1595">
        <f t="shared" si="2"/>
        <v>0</v>
      </c>
      <c r="X192" s="1596">
        <f t="shared" si="2"/>
        <v>82145369</v>
      </c>
    </row>
    <row r="193" spans="1:24" ht="17.25" customHeight="1" x14ac:dyDescent="0.25">
      <c r="H193" s="995"/>
      <c r="I193" s="995"/>
      <c r="J193" s="995"/>
      <c r="K193" s="995"/>
      <c r="L193" s="995"/>
      <c r="M193" s="995"/>
      <c r="N193" s="995"/>
      <c r="O193" s="995"/>
      <c r="P193" s="995"/>
      <c r="Q193" s="995"/>
      <c r="R193" s="995"/>
      <c r="S193" s="995"/>
      <c r="T193" s="995"/>
      <c r="U193" s="995"/>
      <c r="V193" s="995"/>
      <c r="W193" s="995"/>
      <c r="X193" s="995"/>
    </row>
    <row r="194" spans="1:24" ht="18" customHeight="1" x14ac:dyDescent="0.25">
      <c r="H194" s="995"/>
      <c r="I194" s="995"/>
      <c r="J194" s="995"/>
      <c r="K194" s="995"/>
      <c r="L194" s="995"/>
      <c r="M194" s="995"/>
      <c r="N194" s="995"/>
      <c r="O194" s="995"/>
      <c r="P194" s="995"/>
      <c r="Q194" s="995"/>
      <c r="R194" s="995"/>
      <c r="S194" s="995"/>
      <c r="T194" s="995"/>
      <c r="U194" s="995"/>
      <c r="V194" s="995"/>
      <c r="W194" s="995"/>
      <c r="X194" s="995"/>
    </row>
    <row r="195" spans="1:24" x14ac:dyDescent="0.25">
      <c r="Q195" s="968"/>
    </row>
    <row r="196" spans="1:24" x14ac:dyDescent="0.25">
      <c r="Q196" s="968"/>
    </row>
    <row r="197" spans="1:24" ht="21.75" customHeight="1" x14ac:dyDescent="0.25">
      <c r="I197" s="2042" t="s">
        <v>1664</v>
      </c>
      <c r="J197" s="2042"/>
      <c r="K197" s="2042"/>
      <c r="L197" s="2042">
        <v>1082738514</v>
      </c>
      <c r="M197" s="2042"/>
      <c r="N197" s="996"/>
      <c r="O197" s="996"/>
      <c r="P197" s="996"/>
      <c r="Q197" s="996"/>
      <c r="R197" s="2042" t="s">
        <v>1665</v>
      </c>
      <c r="S197" s="2042"/>
      <c r="T197" s="2042"/>
      <c r="U197" s="2042">
        <v>1082738514</v>
      </c>
      <c r="V197" s="2042"/>
    </row>
    <row r="198" spans="1:24" ht="22.5" customHeight="1" x14ac:dyDescent="0.25">
      <c r="I198" s="2042" t="s">
        <v>1666</v>
      </c>
      <c r="J198" s="2042"/>
      <c r="K198" s="2042"/>
      <c r="L198" s="2042">
        <f>SUM(H192:P192)</f>
        <v>87627844</v>
      </c>
      <c r="M198" s="2042"/>
      <c r="N198" s="996"/>
      <c r="O198" s="996"/>
      <c r="P198" s="996"/>
      <c r="Q198" s="996"/>
      <c r="R198" s="2042" t="s">
        <v>1666</v>
      </c>
      <c r="S198" s="2042"/>
      <c r="T198" s="2042"/>
      <c r="U198" s="2042">
        <f>SUM(Q192:X192)</f>
        <v>87627844</v>
      </c>
      <c r="V198" s="2042"/>
    </row>
    <row r="199" spans="1:24" ht="23.25" customHeight="1" x14ac:dyDescent="0.25">
      <c r="I199" s="2042" t="s">
        <v>1512</v>
      </c>
      <c r="J199" s="2042"/>
      <c r="K199" s="2042"/>
      <c r="L199" s="2042">
        <f>+L197+L198</f>
        <v>1170366358</v>
      </c>
      <c r="M199" s="2042"/>
      <c r="N199" s="996"/>
      <c r="O199" s="996"/>
      <c r="P199" s="996"/>
      <c r="Q199" s="996"/>
      <c r="R199" s="2042" t="s">
        <v>1512</v>
      </c>
      <c r="S199" s="2042"/>
      <c r="T199" s="2042"/>
      <c r="U199" s="2042">
        <f>+U197+U198</f>
        <v>1170366358</v>
      </c>
      <c r="V199" s="2042"/>
    </row>
    <row r="200" spans="1:24" x14ac:dyDescent="0.25">
      <c r="Q200" s="968"/>
    </row>
    <row r="201" spans="1:24" x14ac:dyDescent="0.25">
      <c r="Q201" s="968"/>
    </row>
    <row r="202" spans="1:24" x14ac:dyDescent="0.25">
      <c r="Q202" s="968"/>
    </row>
    <row r="203" spans="1:24" x14ac:dyDescent="0.25">
      <c r="Q203" s="968"/>
    </row>
    <row r="204" spans="1:24" x14ac:dyDescent="0.25">
      <c r="Q204" s="968"/>
    </row>
    <row r="205" spans="1:24" ht="15.75" x14ac:dyDescent="0.25">
      <c r="A205" s="2010" t="s">
        <v>3372</v>
      </c>
      <c r="B205" s="2010"/>
      <c r="C205" s="2010"/>
      <c r="D205" s="2010"/>
      <c r="E205" s="2010"/>
      <c r="F205" s="2010"/>
      <c r="G205" s="2010"/>
      <c r="H205" s="2010"/>
      <c r="I205" s="2010"/>
      <c r="J205" s="2010"/>
      <c r="K205" s="2010"/>
      <c r="L205" s="2010"/>
      <c r="M205" s="2010"/>
      <c r="N205" s="2010"/>
      <c r="O205" s="2010"/>
      <c r="P205" s="2010"/>
      <c r="Q205" s="2010"/>
      <c r="R205" s="2010"/>
      <c r="S205" s="2010"/>
      <c r="T205" s="2010"/>
      <c r="U205" s="2010"/>
      <c r="V205" s="2010"/>
      <c r="W205" s="2010"/>
      <c r="X205" s="2010"/>
    </row>
    <row r="206" spans="1:24" ht="15.75" x14ac:dyDescent="0.25">
      <c r="A206" s="1246"/>
      <c r="B206" s="1246"/>
      <c r="C206" s="1246"/>
      <c r="D206" s="1246"/>
      <c r="E206" s="1246"/>
      <c r="F206" s="1246"/>
      <c r="G206" s="1246"/>
      <c r="H206" s="1246"/>
      <c r="I206" s="1246"/>
      <c r="J206" s="1246"/>
      <c r="K206" s="1246"/>
      <c r="L206" s="1246"/>
      <c r="M206" s="1246"/>
      <c r="N206" s="1246"/>
      <c r="O206" s="1246"/>
      <c r="P206" s="1246"/>
      <c r="Q206" s="1246"/>
      <c r="R206" s="1246"/>
      <c r="S206" s="1246"/>
      <c r="T206" s="1246"/>
      <c r="U206" s="1246"/>
      <c r="V206" s="1246"/>
      <c r="W206" s="1246"/>
      <c r="X206" s="1246"/>
    </row>
    <row r="207" spans="1:24" x14ac:dyDescent="0.25">
      <c r="A207" s="970"/>
      <c r="B207" s="970"/>
      <c r="C207" s="969"/>
      <c r="D207" s="970"/>
      <c r="E207" s="970"/>
      <c r="F207" s="970"/>
      <c r="G207" s="970"/>
      <c r="H207" s="970"/>
      <c r="I207" s="970"/>
      <c r="J207" s="970"/>
      <c r="K207" s="970"/>
      <c r="L207" s="970"/>
      <c r="M207" s="970"/>
      <c r="N207" s="970"/>
      <c r="O207" s="970"/>
      <c r="P207" s="970"/>
      <c r="Q207" s="970"/>
      <c r="R207" s="970"/>
      <c r="S207" s="970"/>
      <c r="T207" s="970"/>
      <c r="U207" s="970"/>
      <c r="V207" s="970"/>
      <c r="W207" s="970"/>
      <c r="X207" s="970"/>
    </row>
    <row r="208" spans="1:24" x14ac:dyDescent="0.25">
      <c r="A208" s="2055" t="s">
        <v>25</v>
      </c>
      <c r="B208" s="2055"/>
      <c r="C208" s="2055"/>
      <c r="D208" s="2055"/>
      <c r="E208" s="2055"/>
      <c r="F208" s="2055"/>
      <c r="G208" s="2055"/>
      <c r="H208" s="2055"/>
      <c r="I208" s="2055"/>
      <c r="J208" s="2055"/>
      <c r="K208" s="2055"/>
      <c r="L208" s="2055"/>
      <c r="M208" s="2055"/>
      <c r="N208" s="2055"/>
      <c r="O208" s="2055"/>
      <c r="P208" s="2055"/>
      <c r="Q208" s="2055"/>
      <c r="R208" s="2055"/>
      <c r="S208" s="2055"/>
      <c r="T208" s="2055"/>
      <c r="U208" s="2055"/>
      <c r="V208" s="2055"/>
      <c r="W208" s="2055"/>
      <c r="X208" s="2055"/>
    </row>
    <row r="209" spans="1:24" ht="20.25" customHeight="1" x14ac:dyDescent="0.25">
      <c r="Q209" s="972"/>
    </row>
    <row r="210" spans="1:24" ht="16.5" customHeight="1" x14ac:dyDescent="0.25">
      <c r="A210" s="2056" t="s">
        <v>37</v>
      </c>
      <c r="B210" s="1773" t="s">
        <v>1640</v>
      </c>
      <c r="C210" s="2058" t="s">
        <v>2</v>
      </c>
      <c r="D210" s="2037" t="s">
        <v>1641</v>
      </c>
      <c r="E210" s="2037" t="s">
        <v>116</v>
      </c>
      <c r="F210" s="2037" t="s">
        <v>1642</v>
      </c>
      <c r="G210" s="2037" t="s">
        <v>1643</v>
      </c>
      <c r="H210" s="2039" t="s">
        <v>1644</v>
      </c>
      <c r="I210" s="2039"/>
      <c r="J210" s="2039"/>
      <c r="K210" s="2039"/>
      <c r="L210" s="2039"/>
      <c r="M210" s="2039"/>
      <c r="N210" s="2039"/>
      <c r="O210" s="2066"/>
      <c r="P210" s="1434"/>
      <c r="Q210" s="2040" t="s">
        <v>1645</v>
      </c>
      <c r="R210" s="2039"/>
      <c r="S210" s="2039"/>
      <c r="T210" s="2039"/>
      <c r="U210" s="2039"/>
      <c r="V210" s="2039"/>
      <c r="W210" s="2039"/>
      <c r="X210" s="2041"/>
    </row>
    <row r="211" spans="1:24" ht="79.5" customHeight="1" x14ac:dyDescent="0.25">
      <c r="A211" s="2057"/>
      <c r="B211" s="1774"/>
      <c r="C211" s="2059"/>
      <c r="D211" s="2038"/>
      <c r="E211" s="2038"/>
      <c r="F211" s="2038"/>
      <c r="G211" s="2038"/>
      <c r="H211" s="941" t="s">
        <v>1667</v>
      </c>
      <c r="I211" s="941" t="s">
        <v>1678</v>
      </c>
      <c r="J211" s="941" t="s">
        <v>1679</v>
      </c>
      <c r="K211" s="941" t="s">
        <v>1680</v>
      </c>
      <c r="L211" s="941" t="s">
        <v>1681</v>
      </c>
      <c r="M211" s="941" t="s">
        <v>1682</v>
      </c>
      <c r="N211" s="941" t="s">
        <v>1673</v>
      </c>
      <c r="O211" s="941" t="s">
        <v>1653</v>
      </c>
      <c r="P211" s="944" t="s">
        <v>1654</v>
      </c>
      <c r="Q211" s="999" t="s">
        <v>1683</v>
      </c>
      <c r="R211" s="941" t="s">
        <v>1684</v>
      </c>
      <c r="S211" s="941" t="s">
        <v>1685</v>
      </c>
      <c r="T211" s="941" t="s">
        <v>1686</v>
      </c>
      <c r="U211" s="941" t="s">
        <v>1659</v>
      </c>
      <c r="V211" s="941" t="s">
        <v>1687</v>
      </c>
      <c r="W211" s="941" t="s">
        <v>1661</v>
      </c>
      <c r="X211" s="944" t="s">
        <v>1688</v>
      </c>
    </row>
    <row r="212" spans="1:24" ht="21" customHeight="1" x14ac:dyDescent="0.25">
      <c r="A212" s="2052" t="s">
        <v>312</v>
      </c>
      <c r="B212" s="2051" t="s">
        <v>765</v>
      </c>
      <c r="C212" s="2050" t="s">
        <v>3056</v>
      </c>
      <c r="D212" s="974" t="s">
        <v>1819</v>
      </c>
      <c r="E212" s="974" t="s">
        <v>1297</v>
      </c>
      <c r="F212" s="974" t="s">
        <v>127</v>
      </c>
      <c r="G212" s="975" t="s">
        <v>1754</v>
      </c>
      <c r="H212" s="1019"/>
      <c r="I212" s="1019"/>
      <c r="J212" s="1019"/>
      <c r="K212" s="1019"/>
      <c r="L212" s="1019"/>
      <c r="M212" s="1019"/>
      <c r="N212" s="1019"/>
      <c r="O212" s="1019"/>
      <c r="P212" s="1020"/>
      <c r="Q212" s="1021"/>
      <c r="R212" s="1019"/>
      <c r="S212" s="1019"/>
      <c r="T212" s="1019"/>
      <c r="U212" s="1019"/>
      <c r="V212" s="1019"/>
      <c r="W212" s="1019"/>
      <c r="X212" s="1020">
        <v>125730</v>
      </c>
    </row>
    <row r="213" spans="1:24" ht="21" customHeight="1" x14ac:dyDescent="0.25">
      <c r="A213" s="2048"/>
      <c r="B213" s="2046"/>
      <c r="C213" s="2044"/>
      <c r="D213" s="978" t="s">
        <v>1819</v>
      </c>
      <c r="E213" s="978" t="s">
        <v>167</v>
      </c>
      <c r="F213" s="978" t="s">
        <v>133</v>
      </c>
      <c r="G213" s="1000" t="s">
        <v>1754</v>
      </c>
      <c r="H213" s="1001"/>
      <c r="I213" s="1001"/>
      <c r="J213" s="1001">
        <f>11811+3189</f>
        <v>15000</v>
      </c>
      <c r="K213" s="1001"/>
      <c r="L213" s="1001"/>
      <c r="M213" s="1001">
        <f>87189+23541</f>
        <v>110730</v>
      </c>
      <c r="N213" s="1001"/>
      <c r="O213" s="1001"/>
      <c r="P213" s="1002"/>
      <c r="Q213" s="1003"/>
      <c r="R213" s="1001"/>
      <c r="S213" s="1001"/>
      <c r="T213" s="1001"/>
      <c r="U213" s="1001"/>
      <c r="V213" s="1001"/>
      <c r="W213" s="1001"/>
      <c r="X213" s="1002"/>
    </row>
    <row r="214" spans="1:24" ht="39.75" customHeight="1" x14ac:dyDescent="0.25">
      <c r="A214" s="1432" t="s">
        <v>313</v>
      </c>
      <c r="B214" s="1431" t="s">
        <v>319</v>
      </c>
      <c r="C214" s="977" t="s">
        <v>3109</v>
      </c>
      <c r="D214" s="978" t="s">
        <v>1819</v>
      </c>
      <c r="E214" s="978" t="s">
        <v>169</v>
      </c>
      <c r="F214" s="978" t="s">
        <v>65</v>
      </c>
      <c r="G214" s="1000" t="s">
        <v>1766</v>
      </c>
      <c r="H214" s="1001"/>
      <c r="I214" s="1001"/>
      <c r="J214" s="1001">
        <f>-100000-100000-100000+300000</f>
        <v>0</v>
      </c>
      <c r="K214" s="1001"/>
      <c r="L214" s="1001"/>
      <c r="M214" s="1001"/>
      <c r="N214" s="1001"/>
      <c r="O214" s="1001"/>
      <c r="P214" s="1002"/>
      <c r="Q214" s="1003"/>
      <c r="R214" s="1001"/>
      <c r="S214" s="1001"/>
      <c r="T214" s="1001"/>
      <c r="U214" s="1001"/>
      <c r="V214" s="1001"/>
      <c r="W214" s="1001"/>
      <c r="X214" s="1002"/>
    </row>
    <row r="215" spans="1:24" ht="18.75" customHeight="1" x14ac:dyDescent="0.25">
      <c r="A215" s="2047" t="s">
        <v>314</v>
      </c>
      <c r="B215" s="2045" t="s">
        <v>320</v>
      </c>
      <c r="C215" s="2043" t="s">
        <v>3086</v>
      </c>
      <c r="D215" s="978" t="s">
        <v>1819</v>
      </c>
      <c r="E215" s="978" t="s">
        <v>572</v>
      </c>
      <c r="F215" s="978" t="s">
        <v>90</v>
      </c>
      <c r="G215" s="1000" t="s">
        <v>1766</v>
      </c>
      <c r="H215" s="1001">
        <f>-7023230+4125000+125000+28122</f>
        <v>-2745108</v>
      </c>
      <c r="I215" s="1001">
        <v>-20089</v>
      </c>
      <c r="J215" s="1001"/>
      <c r="K215" s="1001"/>
      <c r="L215" s="1001"/>
      <c r="M215" s="1001"/>
      <c r="N215" s="1001"/>
      <c r="O215" s="1001"/>
      <c r="P215" s="1002"/>
      <c r="Q215" s="1003"/>
      <c r="R215" s="1001"/>
      <c r="S215" s="1001"/>
      <c r="T215" s="1001"/>
      <c r="U215" s="1001"/>
      <c r="V215" s="1001"/>
      <c r="W215" s="1001"/>
      <c r="X215" s="1002"/>
    </row>
    <row r="216" spans="1:24" ht="18.75" customHeight="1" x14ac:dyDescent="0.25">
      <c r="A216" s="2054"/>
      <c r="B216" s="2053"/>
      <c r="C216" s="2049"/>
      <c r="D216" s="978" t="s">
        <v>1819</v>
      </c>
      <c r="E216" s="978" t="s">
        <v>525</v>
      </c>
      <c r="F216" s="978" t="s">
        <v>131</v>
      </c>
      <c r="G216" s="1000" t="s">
        <v>1754</v>
      </c>
      <c r="H216" s="1001">
        <f>500000+62500+5108</f>
        <v>567608</v>
      </c>
      <c r="I216" s="1001"/>
      <c r="J216" s="1001"/>
      <c r="K216" s="1001"/>
      <c r="L216" s="1001"/>
      <c r="M216" s="1001"/>
      <c r="N216" s="1001"/>
      <c r="O216" s="1001"/>
      <c r="P216" s="1002"/>
      <c r="Q216" s="1003"/>
      <c r="R216" s="1001"/>
      <c r="S216" s="1001"/>
      <c r="T216" s="1001"/>
      <c r="U216" s="1001"/>
      <c r="V216" s="1001"/>
      <c r="W216" s="1001"/>
      <c r="X216" s="1002"/>
    </row>
    <row r="217" spans="1:24" ht="18.75" customHeight="1" x14ac:dyDescent="0.25">
      <c r="A217" s="2054"/>
      <c r="B217" s="2053"/>
      <c r="C217" s="2049"/>
      <c r="D217" s="978" t="s">
        <v>1819</v>
      </c>
      <c r="E217" s="978" t="s">
        <v>402</v>
      </c>
      <c r="F217" s="978" t="s">
        <v>150</v>
      </c>
      <c r="G217" s="1000" t="s">
        <v>1754</v>
      </c>
      <c r="H217" s="1001">
        <f>1700000+137500</f>
        <v>1837500</v>
      </c>
      <c r="I217" s="1001"/>
      <c r="J217" s="1001"/>
      <c r="K217" s="1001"/>
      <c r="L217" s="1001"/>
      <c r="M217" s="1001"/>
      <c r="N217" s="1001"/>
      <c r="O217" s="1001"/>
      <c r="P217" s="1002"/>
      <c r="Q217" s="1003"/>
      <c r="R217" s="1001"/>
      <c r="S217" s="1001"/>
      <c r="T217" s="1001"/>
      <c r="U217" s="1001"/>
      <c r="V217" s="1001"/>
      <c r="W217" s="1001"/>
      <c r="X217" s="1002"/>
    </row>
    <row r="218" spans="1:24" ht="18.75" customHeight="1" x14ac:dyDescent="0.25">
      <c r="A218" s="2054"/>
      <c r="B218" s="2053"/>
      <c r="C218" s="2049"/>
      <c r="D218" s="978" t="s">
        <v>1819</v>
      </c>
      <c r="E218" s="978" t="s">
        <v>166</v>
      </c>
      <c r="F218" s="978" t="s">
        <v>151</v>
      </c>
      <c r="G218" s="1000" t="s">
        <v>1766</v>
      </c>
      <c r="H218" s="1001">
        <f>-1377350+1000000+62500+4950+309900</f>
        <v>0</v>
      </c>
      <c r="I218" s="1001"/>
      <c r="J218" s="1001"/>
      <c r="K218" s="1001"/>
      <c r="L218" s="1001"/>
      <c r="M218" s="1001"/>
      <c r="N218" s="1001"/>
      <c r="O218" s="1001"/>
      <c r="P218" s="1002"/>
      <c r="Q218" s="1003"/>
      <c r="R218" s="1001"/>
      <c r="S218" s="1001"/>
      <c r="T218" s="1001"/>
      <c r="U218" s="1001"/>
      <c r="V218" s="1001"/>
      <c r="W218" s="1001"/>
      <c r="X218" s="1002"/>
    </row>
    <row r="219" spans="1:24" ht="18.75" customHeight="1" x14ac:dyDescent="0.25">
      <c r="A219" s="2054"/>
      <c r="B219" s="2053"/>
      <c r="C219" s="2049"/>
      <c r="D219" s="978" t="s">
        <v>1819</v>
      </c>
      <c r="E219" s="978" t="s">
        <v>791</v>
      </c>
      <c r="F219" s="978" t="s">
        <v>134</v>
      </c>
      <c r="G219" s="1000" t="s">
        <v>1766</v>
      </c>
      <c r="H219" s="1001">
        <f>-210000+210000</f>
        <v>0</v>
      </c>
      <c r="I219" s="1001">
        <v>20089</v>
      </c>
      <c r="J219" s="1001"/>
      <c r="K219" s="1001"/>
      <c r="L219" s="1001"/>
      <c r="M219" s="1001"/>
      <c r="N219" s="1001"/>
      <c r="O219" s="1001"/>
      <c r="P219" s="1002"/>
      <c r="Q219" s="1003"/>
      <c r="R219" s="1001"/>
      <c r="S219" s="1001"/>
      <c r="T219" s="1001"/>
      <c r="U219" s="1001"/>
      <c r="V219" s="1001"/>
      <c r="W219" s="1001"/>
      <c r="X219" s="1002"/>
    </row>
    <row r="220" spans="1:24" ht="18.75" customHeight="1" x14ac:dyDescent="0.25">
      <c r="A220" s="2054"/>
      <c r="B220" s="2053"/>
      <c r="C220" s="2049"/>
      <c r="D220" s="978" t="s">
        <v>1819</v>
      </c>
      <c r="E220" s="978" t="s">
        <v>529</v>
      </c>
      <c r="F220" s="978" t="s">
        <v>479</v>
      </c>
      <c r="G220" s="1000" t="s">
        <v>1766</v>
      </c>
      <c r="H220" s="1001">
        <f>-807182+800000+7182</f>
        <v>0</v>
      </c>
      <c r="I220" s="1001"/>
      <c r="J220" s="1001"/>
      <c r="K220" s="1001"/>
      <c r="L220" s="1001"/>
      <c r="M220" s="1001"/>
      <c r="N220" s="1001"/>
      <c r="O220" s="1001"/>
      <c r="P220" s="1002"/>
      <c r="Q220" s="1003"/>
      <c r="R220" s="1001"/>
      <c r="S220" s="1001"/>
      <c r="T220" s="1001"/>
      <c r="U220" s="1001"/>
      <c r="V220" s="1001"/>
      <c r="W220" s="1001"/>
      <c r="X220" s="1002"/>
    </row>
    <row r="221" spans="1:24" ht="18.75" customHeight="1" x14ac:dyDescent="0.25">
      <c r="A221" s="2054"/>
      <c r="B221" s="2053"/>
      <c r="C221" s="2049"/>
      <c r="D221" s="978" t="s">
        <v>1819</v>
      </c>
      <c r="E221" s="978" t="s">
        <v>531</v>
      </c>
      <c r="F221" s="978" t="s">
        <v>481</v>
      </c>
      <c r="G221" s="1000" t="s">
        <v>1766</v>
      </c>
      <c r="H221" s="1001">
        <f>-800000+800000</f>
        <v>0</v>
      </c>
      <c r="I221" s="1001"/>
      <c r="J221" s="1001"/>
      <c r="K221" s="1001"/>
      <c r="L221" s="1001"/>
      <c r="M221" s="1001"/>
      <c r="N221" s="1001"/>
      <c r="O221" s="1001"/>
      <c r="P221" s="1002"/>
      <c r="Q221" s="1003"/>
      <c r="R221" s="1001"/>
      <c r="S221" s="1001"/>
      <c r="T221" s="1001"/>
      <c r="U221" s="1001"/>
      <c r="V221" s="1001"/>
      <c r="W221" s="1001"/>
      <c r="X221" s="1002"/>
    </row>
    <row r="222" spans="1:24" ht="18.75" customHeight="1" x14ac:dyDescent="0.25">
      <c r="A222" s="2054"/>
      <c r="B222" s="2053"/>
      <c r="C222" s="2049"/>
      <c r="D222" s="978" t="s">
        <v>1819</v>
      </c>
      <c r="E222" s="978" t="s">
        <v>168</v>
      </c>
      <c r="F222" s="978" t="s">
        <v>152</v>
      </c>
      <c r="G222" s="1000" t="s">
        <v>1766</v>
      </c>
      <c r="H222" s="1001">
        <f>-3023505+3000000+23505</f>
        <v>0</v>
      </c>
      <c r="I222" s="1001"/>
      <c r="J222" s="1001"/>
      <c r="K222" s="1001"/>
      <c r="L222" s="1001"/>
      <c r="M222" s="1001"/>
      <c r="N222" s="1001"/>
      <c r="O222" s="1001"/>
      <c r="P222" s="1002"/>
      <c r="Q222" s="1003"/>
      <c r="R222" s="1001"/>
      <c r="S222" s="1001"/>
      <c r="T222" s="1001"/>
      <c r="U222" s="1001"/>
      <c r="V222" s="1001"/>
      <c r="W222" s="1001"/>
      <c r="X222" s="1002"/>
    </row>
    <row r="223" spans="1:24" ht="18.75" customHeight="1" x14ac:dyDescent="0.25">
      <c r="A223" s="2054"/>
      <c r="B223" s="2053"/>
      <c r="C223" s="2049"/>
      <c r="D223" s="978" t="s">
        <v>1819</v>
      </c>
      <c r="E223" s="978" t="s">
        <v>169</v>
      </c>
      <c r="F223" s="978" t="s">
        <v>65</v>
      </c>
      <c r="G223" s="1000" t="s">
        <v>1766</v>
      </c>
      <c r="H223" s="1001">
        <f>-1111281+900000+10234+201047</f>
        <v>0</v>
      </c>
      <c r="I223" s="1001"/>
      <c r="J223" s="1001"/>
      <c r="K223" s="1001"/>
      <c r="L223" s="1001"/>
      <c r="M223" s="1001"/>
      <c r="N223" s="1001"/>
      <c r="O223" s="1001"/>
      <c r="P223" s="1002"/>
      <c r="Q223" s="1003"/>
      <c r="R223" s="1001"/>
      <c r="S223" s="1001"/>
      <c r="T223" s="1001"/>
      <c r="U223" s="1001"/>
      <c r="V223" s="1001"/>
      <c r="W223" s="1001"/>
      <c r="X223" s="1002"/>
    </row>
    <row r="224" spans="1:24" ht="18.75" customHeight="1" x14ac:dyDescent="0.25">
      <c r="A224" s="2054"/>
      <c r="B224" s="2053"/>
      <c r="C224" s="2049"/>
      <c r="D224" s="1368" t="s">
        <v>1819</v>
      </c>
      <c r="E224" s="978" t="s">
        <v>573</v>
      </c>
      <c r="F224" s="978" t="s">
        <v>153</v>
      </c>
      <c r="G224" s="1000" t="s">
        <v>1754</v>
      </c>
      <c r="H224" s="1001">
        <f>300000+40000</f>
        <v>340000</v>
      </c>
      <c r="I224" s="1001"/>
      <c r="J224" s="1001"/>
      <c r="K224" s="1001"/>
      <c r="L224" s="1001"/>
      <c r="M224" s="1001"/>
      <c r="N224" s="1001"/>
      <c r="O224" s="1001"/>
      <c r="P224" s="1002"/>
      <c r="Q224" s="1003"/>
      <c r="R224" s="1001"/>
      <c r="S224" s="1001"/>
      <c r="T224" s="1001"/>
      <c r="U224" s="1001"/>
      <c r="V224" s="1001"/>
      <c r="W224" s="1001"/>
      <c r="X224" s="1002"/>
    </row>
    <row r="225" spans="1:24" ht="38.25" customHeight="1" x14ac:dyDescent="0.25">
      <c r="A225" s="1432" t="s">
        <v>315</v>
      </c>
      <c r="B225" s="1431" t="s">
        <v>321</v>
      </c>
      <c r="C225" s="977" t="s">
        <v>2797</v>
      </c>
      <c r="D225" s="978" t="s">
        <v>1819</v>
      </c>
      <c r="E225" s="978" t="s">
        <v>573</v>
      </c>
      <c r="F225" s="978" t="s">
        <v>153</v>
      </c>
      <c r="G225" s="1000" t="s">
        <v>1766</v>
      </c>
      <c r="H225" s="1001"/>
      <c r="I225" s="1001"/>
      <c r="J225" s="1001">
        <f>-700000+700000</f>
        <v>0</v>
      </c>
      <c r="K225" s="1001"/>
      <c r="L225" s="1001"/>
      <c r="M225" s="1001"/>
      <c r="N225" s="1001"/>
      <c r="O225" s="1001"/>
      <c r="P225" s="1002"/>
      <c r="Q225" s="1003"/>
      <c r="R225" s="1001"/>
      <c r="S225" s="1001"/>
      <c r="T225" s="1001"/>
      <c r="U225" s="1001"/>
      <c r="V225" s="1001"/>
      <c r="W225" s="1001"/>
      <c r="X225" s="1002"/>
    </row>
    <row r="226" spans="1:24" ht="17.25" customHeight="1" x14ac:dyDescent="0.25">
      <c r="A226" s="2047" t="s">
        <v>761</v>
      </c>
      <c r="B226" s="2045" t="s">
        <v>322</v>
      </c>
      <c r="C226" s="2043" t="s">
        <v>3126</v>
      </c>
      <c r="D226" s="978" t="s">
        <v>1819</v>
      </c>
      <c r="E226" s="978" t="s">
        <v>573</v>
      </c>
      <c r="F226" s="978" t="s">
        <v>66</v>
      </c>
      <c r="G226" s="1000" t="s">
        <v>1754</v>
      </c>
      <c r="H226" s="1001"/>
      <c r="I226" s="1001"/>
      <c r="J226" s="1001">
        <v>2000000</v>
      </c>
      <c r="K226" s="1001"/>
      <c r="L226" s="1001"/>
      <c r="M226" s="1001"/>
      <c r="N226" s="1001"/>
      <c r="O226" s="1001"/>
      <c r="P226" s="1002"/>
      <c r="Q226" s="1003"/>
      <c r="R226" s="1001"/>
      <c r="S226" s="1001"/>
      <c r="T226" s="1001">
        <v>2000000</v>
      </c>
      <c r="U226" s="1001"/>
      <c r="V226" s="1001"/>
      <c r="W226" s="1001"/>
      <c r="X226" s="1002"/>
    </row>
    <row r="227" spans="1:24" ht="17.25" customHeight="1" x14ac:dyDescent="0.25">
      <c r="A227" s="2054"/>
      <c r="B227" s="2053"/>
      <c r="C227" s="2049"/>
      <c r="D227" s="978" t="s">
        <v>1819</v>
      </c>
      <c r="E227" s="978" t="s">
        <v>573</v>
      </c>
      <c r="F227" s="978" t="s">
        <v>153</v>
      </c>
      <c r="G227" s="1000" t="s">
        <v>1754</v>
      </c>
      <c r="H227" s="1001"/>
      <c r="I227" s="1001"/>
      <c r="J227" s="1001">
        <v>4000000</v>
      </c>
      <c r="K227" s="1001"/>
      <c r="L227" s="1001"/>
      <c r="M227" s="1001"/>
      <c r="N227" s="1001"/>
      <c r="O227" s="1001"/>
      <c r="P227" s="1002"/>
      <c r="Q227" s="1003"/>
      <c r="R227" s="1001"/>
      <c r="S227" s="1001"/>
      <c r="T227" s="1001">
        <v>4000000</v>
      </c>
      <c r="U227" s="1001"/>
      <c r="V227" s="1001"/>
      <c r="W227" s="1001"/>
      <c r="X227" s="1002"/>
    </row>
    <row r="228" spans="1:24" ht="17.25" customHeight="1" x14ac:dyDescent="0.25">
      <c r="A228" s="2054"/>
      <c r="B228" s="2053"/>
      <c r="C228" s="2049"/>
      <c r="D228" s="978" t="s">
        <v>1819</v>
      </c>
      <c r="E228" s="978" t="s">
        <v>573</v>
      </c>
      <c r="F228" s="978" t="s">
        <v>154</v>
      </c>
      <c r="G228" s="1000" t="s">
        <v>1754</v>
      </c>
      <c r="H228" s="1001"/>
      <c r="I228" s="1001"/>
      <c r="J228" s="1001">
        <v>500000</v>
      </c>
      <c r="K228" s="1001"/>
      <c r="L228" s="1001"/>
      <c r="M228" s="1001"/>
      <c r="N228" s="1001"/>
      <c r="O228" s="1001"/>
      <c r="P228" s="1002"/>
      <c r="Q228" s="1003"/>
      <c r="R228" s="1001"/>
      <c r="S228" s="1001"/>
      <c r="T228" s="1001">
        <v>500000</v>
      </c>
      <c r="U228" s="1001"/>
      <c r="V228" s="1001"/>
      <c r="W228" s="1001"/>
      <c r="X228" s="1002"/>
    </row>
    <row r="229" spans="1:24" ht="17.25" customHeight="1" x14ac:dyDescent="0.25">
      <c r="A229" s="2048"/>
      <c r="B229" s="2046"/>
      <c r="C229" s="2044"/>
      <c r="D229" s="978" t="s">
        <v>1819</v>
      </c>
      <c r="E229" s="978" t="s">
        <v>574</v>
      </c>
      <c r="F229" s="978" t="s">
        <v>165</v>
      </c>
      <c r="G229" s="1000" t="s">
        <v>3125</v>
      </c>
      <c r="H229" s="1001"/>
      <c r="I229" s="1001"/>
      <c r="J229" s="1001">
        <v>150000</v>
      </c>
      <c r="K229" s="1001"/>
      <c r="L229" s="1001"/>
      <c r="M229" s="1001"/>
      <c r="N229" s="1001"/>
      <c r="O229" s="1001"/>
      <c r="P229" s="1002"/>
      <c r="Q229" s="1003"/>
      <c r="R229" s="1001"/>
      <c r="S229" s="1001"/>
      <c r="T229" s="1001">
        <v>150000</v>
      </c>
      <c r="U229" s="1001"/>
      <c r="V229" s="1001"/>
      <c r="W229" s="1001"/>
      <c r="X229" s="1002"/>
    </row>
    <row r="230" spans="1:24" ht="18" customHeight="1" x14ac:dyDescent="0.25">
      <c r="A230" s="2062" t="s">
        <v>316</v>
      </c>
      <c r="B230" s="2061" t="s">
        <v>323</v>
      </c>
      <c r="C230" s="2028" t="s">
        <v>3127</v>
      </c>
      <c r="D230" s="978" t="s">
        <v>1819</v>
      </c>
      <c r="E230" s="978" t="s">
        <v>572</v>
      </c>
      <c r="F230" s="978" t="s">
        <v>90</v>
      </c>
      <c r="G230" s="1000" t="s">
        <v>1754</v>
      </c>
      <c r="H230" s="1001"/>
      <c r="I230" s="1001"/>
      <c r="J230" s="1001">
        <f>900000+600000+405000</f>
        <v>1905000</v>
      </c>
      <c r="K230" s="1001"/>
      <c r="L230" s="1001"/>
      <c r="M230" s="1001"/>
      <c r="N230" s="1001"/>
      <c r="O230" s="1001"/>
      <c r="P230" s="1002"/>
      <c r="Q230" s="1003"/>
      <c r="R230" s="1001"/>
      <c r="S230" s="1001"/>
      <c r="T230" s="1001">
        <f>1500000+405000</f>
        <v>1905000</v>
      </c>
      <c r="U230" s="1001"/>
      <c r="V230" s="1001"/>
      <c r="W230" s="1001"/>
      <c r="X230" s="1002"/>
    </row>
    <row r="231" spans="1:24" ht="18" customHeight="1" x14ac:dyDescent="0.25">
      <c r="A231" s="2062"/>
      <c r="B231" s="2061"/>
      <c r="C231" s="2028"/>
      <c r="D231" s="978" t="s">
        <v>1819</v>
      </c>
      <c r="E231" s="978" t="s">
        <v>525</v>
      </c>
      <c r="F231" s="978" t="s">
        <v>131</v>
      </c>
      <c r="G231" s="1000" t="s">
        <v>1754</v>
      </c>
      <c r="H231" s="1001"/>
      <c r="I231" s="1001"/>
      <c r="J231" s="1001">
        <f>1000000+270000</f>
        <v>1270000</v>
      </c>
      <c r="K231" s="1001"/>
      <c r="L231" s="1001"/>
      <c r="M231" s="1001"/>
      <c r="N231" s="1001"/>
      <c r="O231" s="1001"/>
      <c r="P231" s="1002"/>
      <c r="Q231" s="1003"/>
      <c r="R231" s="1001"/>
      <c r="S231" s="1001"/>
      <c r="T231" s="1001">
        <f>1000000+270000</f>
        <v>1270000</v>
      </c>
      <c r="U231" s="1001"/>
      <c r="V231" s="1001"/>
      <c r="W231" s="1001"/>
      <c r="X231" s="1002"/>
    </row>
    <row r="232" spans="1:24" ht="18" customHeight="1" x14ac:dyDescent="0.25">
      <c r="A232" s="2062"/>
      <c r="B232" s="2061"/>
      <c r="C232" s="2028"/>
      <c r="D232" s="978" t="s">
        <v>1819</v>
      </c>
      <c r="E232" s="978" t="s">
        <v>573</v>
      </c>
      <c r="F232" s="978" t="s">
        <v>66</v>
      </c>
      <c r="G232" s="1000" t="s">
        <v>1754</v>
      </c>
      <c r="H232" s="1001"/>
      <c r="I232" s="1001"/>
      <c r="J232" s="1001">
        <f>4500000+1215000</f>
        <v>5715000</v>
      </c>
      <c r="K232" s="1001"/>
      <c r="L232" s="1001"/>
      <c r="M232" s="1001"/>
      <c r="N232" s="1001"/>
      <c r="O232" s="1001"/>
      <c r="P232" s="1002"/>
      <c r="Q232" s="1003"/>
      <c r="R232" s="1001"/>
      <c r="S232" s="1001"/>
      <c r="T232" s="1001">
        <f>4500000+1215000</f>
        <v>5715000</v>
      </c>
      <c r="U232" s="1001"/>
      <c r="V232" s="1001"/>
      <c r="W232" s="1001"/>
      <c r="X232" s="1002"/>
    </row>
    <row r="233" spans="1:24" ht="18" customHeight="1" x14ac:dyDescent="0.25">
      <c r="A233" s="2062"/>
      <c r="B233" s="2061"/>
      <c r="C233" s="2028"/>
      <c r="D233" s="978" t="s">
        <v>1819</v>
      </c>
      <c r="E233" s="978" t="s">
        <v>573</v>
      </c>
      <c r="F233" s="978" t="s">
        <v>153</v>
      </c>
      <c r="G233" s="1000" t="s">
        <v>1754</v>
      </c>
      <c r="H233" s="1001"/>
      <c r="I233" s="1001"/>
      <c r="J233" s="1001">
        <f>6100000+1620000</f>
        <v>7720000</v>
      </c>
      <c r="K233" s="1001"/>
      <c r="L233" s="1001"/>
      <c r="M233" s="1001"/>
      <c r="N233" s="1001"/>
      <c r="O233" s="1001"/>
      <c r="P233" s="1002"/>
      <c r="Q233" s="1003"/>
      <c r="R233" s="1001"/>
      <c r="S233" s="1001"/>
      <c r="T233" s="1001">
        <f>100000+6000000+1620000</f>
        <v>7720000</v>
      </c>
      <c r="U233" s="1001"/>
      <c r="V233" s="1001"/>
      <c r="W233" s="1001"/>
      <c r="X233" s="1002"/>
    </row>
    <row r="234" spans="1:24" ht="18" customHeight="1" x14ac:dyDescent="0.25">
      <c r="A234" s="2062"/>
      <c r="B234" s="2061"/>
      <c r="C234" s="2028"/>
      <c r="D234" s="978" t="s">
        <v>1819</v>
      </c>
      <c r="E234" s="978" t="s">
        <v>573</v>
      </c>
      <c r="F234" s="978" t="s">
        <v>154</v>
      </c>
      <c r="G234" s="1000" t="s">
        <v>1754</v>
      </c>
      <c r="H234" s="1001"/>
      <c r="I234" s="1001"/>
      <c r="J234" s="1001">
        <f>700000+300000+270000</f>
        <v>1270000</v>
      </c>
      <c r="K234" s="1001"/>
      <c r="L234" s="1001"/>
      <c r="M234" s="1001"/>
      <c r="N234" s="1001"/>
      <c r="O234" s="1001"/>
      <c r="P234" s="1002"/>
      <c r="Q234" s="1003"/>
      <c r="R234" s="1001"/>
      <c r="S234" s="1001"/>
      <c r="T234" s="1001">
        <f>1000000+270000</f>
        <v>1270000</v>
      </c>
      <c r="U234" s="1001"/>
      <c r="V234" s="1001"/>
      <c r="W234" s="1001"/>
      <c r="X234" s="1002"/>
    </row>
    <row r="235" spans="1:24" ht="23.25" customHeight="1" x14ac:dyDescent="0.25">
      <c r="A235" s="1432" t="s">
        <v>317</v>
      </c>
      <c r="B235" s="1431" t="s">
        <v>324</v>
      </c>
      <c r="C235" s="1425" t="s">
        <v>3137</v>
      </c>
      <c r="D235" s="978" t="s">
        <v>1819</v>
      </c>
      <c r="E235" s="978" t="s">
        <v>168</v>
      </c>
      <c r="F235" s="978" t="s">
        <v>152</v>
      </c>
      <c r="G235" s="1000" t="s">
        <v>1754</v>
      </c>
      <c r="H235" s="1001"/>
      <c r="I235" s="1001"/>
      <c r="J235" s="1001">
        <f>15748031+4251969</f>
        <v>20000000</v>
      </c>
      <c r="K235" s="1001"/>
      <c r="L235" s="1001"/>
      <c r="M235" s="1001"/>
      <c r="N235" s="1001"/>
      <c r="O235" s="1001"/>
      <c r="P235" s="1002"/>
      <c r="Q235" s="1003">
        <v>20000000</v>
      </c>
      <c r="R235" s="1001"/>
      <c r="S235" s="1001"/>
      <c r="T235" s="1001"/>
      <c r="U235" s="1001"/>
      <c r="V235" s="1001"/>
      <c r="W235" s="1001"/>
      <c r="X235" s="1002"/>
    </row>
    <row r="236" spans="1:24" ht="18.75" customHeight="1" x14ac:dyDescent="0.25">
      <c r="A236" s="2047" t="s">
        <v>762</v>
      </c>
      <c r="B236" s="2045" t="s">
        <v>325</v>
      </c>
      <c r="C236" s="2043" t="s">
        <v>3140</v>
      </c>
      <c r="D236" s="978" t="s">
        <v>1819</v>
      </c>
      <c r="E236" s="978" t="s">
        <v>1297</v>
      </c>
      <c r="F236" s="978" t="s">
        <v>127</v>
      </c>
      <c r="G236" s="1000" t="s">
        <v>1754</v>
      </c>
      <c r="H236" s="1001"/>
      <c r="I236" s="1001"/>
      <c r="J236" s="1001"/>
      <c r="K236" s="1001"/>
      <c r="L236" s="1001"/>
      <c r="M236" s="1001"/>
      <c r="N236" s="1001"/>
      <c r="O236" s="1001"/>
      <c r="P236" s="1002"/>
      <c r="Q236" s="1003"/>
      <c r="R236" s="1001"/>
      <c r="S236" s="1001"/>
      <c r="T236" s="1001"/>
      <c r="U236" s="1001"/>
      <c r="V236" s="1001"/>
      <c r="W236" s="1001"/>
      <c r="X236" s="1002">
        <v>762000</v>
      </c>
    </row>
    <row r="237" spans="1:24" ht="18.75" customHeight="1" x14ac:dyDescent="0.25">
      <c r="A237" s="2048"/>
      <c r="B237" s="2046"/>
      <c r="C237" s="2044"/>
      <c r="D237" s="978" t="s">
        <v>1819</v>
      </c>
      <c r="E237" s="978" t="s">
        <v>167</v>
      </c>
      <c r="F237" s="978" t="s">
        <v>133</v>
      </c>
      <c r="G237" s="1000" t="s">
        <v>1754</v>
      </c>
      <c r="H237" s="1001"/>
      <c r="I237" s="1001"/>
      <c r="J237" s="1001">
        <f>600000+162000</f>
        <v>762000</v>
      </c>
      <c r="K237" s="1001"/>
      <c r="L237" s="1001"/>
      <c r="M237" s="1001"/>
      <c r="N237" s="1001"/>
      <c r="O237" s="1001"/>
      <c r="P237" s="1002"/>
      <c r="Q237" s="1003"/>
      <c r="R237" s="1001"/>
      <c r="S237" s="1001"/>
      <c r="T237" s="1001"/>
      <c r="U237" s="1001"/>
      <c r="V237" s="1001"/>
      <c r="W237" s="1001"/>
      <c r="X237" s="1002"/>
    </row>
    <row r="238" spans="1:24" ht="28.5" customHeight="1" x14ac:dyDescent="0.25">
      <c r="A238" s="1432" t="s">
        <v>763</v>
      </c>
      <c r="B238" s="1431" t="s">
        <v>326</v>
      </c>
      <c r="C238" s="1425" t="s">
        <v>3149</v>
      </c>
      <c r="D238" s="978" t="s">
        <v>1819</v>
      </c>
      <c r="E238" s="978" t="s">
        <v>572</v>
      </c>
      <c r="F238" s="978" t="s">
        <v>90</v>
      </c>
      <c r="G238" s="1000" t="s">
        <v>1754</v>
      </c>
      <c r="H238" s="1001"/>
      <c r="I238" s="1001"/>
      <c r="J238" s="1001">
        <v>10000</v>
      </c>
      <c r="K238" s="1001"/>
      <c r="L238" s="1001"/>
      <c r="M238" s="1001"/>
      <c r="N238" s="1001"/>
      <c r="O238" s="1001"/>
      <c r="P238" s="1002"/>
      <c r="Q238" s="1003"/>
      <c r="R238" s="1001"/>
      <c r="S238" s="1001"/>
      <c r="T238" s="1001">
        <v>10000</v>
      </c>
      <c r="U238" s="1001"/>
      <c r="V238" s="1001"/>
      <c r="W238" s="1001"/>
      <c r="X238" s="1002"/>
    </row>
    <row r="239" spans="1:24" ht="31.5" customHeight="1" x14ac:dyDescent="0.25">
      <c r="A239" s="1432" t="s">
        <v>155</v>
      </c>
      <c r="B239" s="1431" t="s">
        <v>766</v>
      </c>
      <c r="C239" s="1425" t="s">
        <v>3242</v>
      </c>
      <c r="D239" s="978" t="s">
        <v>1819</v>
      </c>
      <c r="E239" s="978" t="s">
        <v>572</v>
      </c>
      <c r="F239" s="978" t="s">
        <v>866</v>
      </c>
      <c r="G239" s="1000" t="s">
        <v>1754</v>
      </c>
      <c r="H239" s="1001"/>
      <c r="I239" s="1001"/>
      <c r="J239" s="1001">
        <f>2000000+540000</f>
        <v>2540000</v>
      </c>
      <c r="K239" s="1001"/>
      <c r="L239" s="1001"/>
      <c r="M239" s="1001"/>
      <c r="N239" s="1001"/>
      <c r="O239" s="1001"/>
      <c r="P239" s="1002"/>
      <c r="Q239" s="1003"/>
      <c r="R239" s="1001"/>
      <c r="S239" s="1001"/>
      <c r="T239" s="1001">
        <f>2000000+540000</f>
        <v>2540000</v>
      </c>
      <c r="U239" s="1001"/>
      <c r="V239" s="1001"/>
      <c r="W239" s="1001"/>
      <c r="X239" s="1002"/>
    </row>
    <row r="240" spans="1:24" ht="17.25" customHeight="1" x14ac:dyDescent="0.25">
      <c r="A240" s="2047" t="s">
        <v>318</v>
      </c>
      <c r="B240" s="2045" t="s">
        <v>767</v>
      </c>
      <c r="C240" s="2043" t="s">
        <v>3241</v>
      </c>
      <c r="D240" s="978" t="s">
        <v>1819</v>
      </c>
      <c r="E240" s="978" t="s">
        <v>572</v>
      </c>
      <c r="F240" s="978" t="s">
        <v>90</v>
      </c>
      <c r="G240" s="1000" t="s">
        <v>1766</v>
      </c>
      <c r="H240" s="1001">
        <f>-363481+125000+23958+8881</f>
        <v>-205642</v>
      </c>
      <c r="I240" s="1001">
        <v>-100704</v>
      </c>
      <c r="J240" s="1001"/>
      <c r="K240" s="1001"/>
      <c r="L240" s="1001"/>
      <c r="M240" s="1001"/>
      <c r="N240" s="1001"/>
      <c r="O240" s="1001"/>
      <c r="P240" s="1002"/>
      <c r="Q240" s="1003"/>
      <c r="R240" s="1001"/>
      <c r="S240" s="1001"/>
      <c r="T240" s="1001"/>
      <c r="U240" s="1001"/>
      <c r="V240" s="1001"/>
      <c r="W240" s="1001"/>
      <c r="X240" s="1002"/>
    </row>
    <row r="241" spans="1:24" ht="17.25" customHeight="1" x14ac:dyDescent="0.25">
      <c r="A241" s="2054"/>
      <c r="B241" s="2053"/>
      <c r="C241" s="2049"/>
      <c r="D241" s="978" t="s">
        <v>1819</v>
      </c>
      <c r="E241" s="978" t="s">
        <v>525</v>
      </c>
      <c r="F241" s="978" t="s">
        <v>131</v>
      </c>
      <c r="G241" s="1000" t="s">
        <v>1766</v>
      </c>
      <c r="H241" s="1001">
        <f>-5108+5108</f>
        <v>0</v>
      </c>
      <c r="I241" s="1001"/>
      <c r="J241" s="1001"/>
      <c r="K241" s="1001"/>
      <c r="L241" s="1001"/>
      <c r="M241" s="1001"/>
      <c r="N241" s="1001"/>
      <c r="O241" s="1001"/>
      <c r="P241" s="1002"/>
      <c r="Q241" s="1003"/>
      <c r="R241" s="1001"/>
      <c r="S241" s="1001"/>
      <c r="T241" s="1001"/>
      <c r="U241" s="1001"/>
      <c r="V241" s="1001"/>
      <c r="W241" s="1001"/>
      <c r="X241" s="1002"/>
    </row>
    <row r="242" spans="1:24" ht="17.25" customHeight="1" x14ac:dyDescent="0.25">
      <c r="A242" s="2054"/>
      <c r="B242" s="2053"/>
      <c r="C242" s="2049"/>
      <c r="D242" s="978" t="s">
        <v>1819</v>
      </c>
      <c r="E242" s="978" t="s">
        <v>402</v>
      </c>
      <c r="F242" s="978" t="s">
        <v>150</v>
      </c>
      <c r="G242" s="1000" t="s">
        <v>1754</v>
      </c>
      <c r="H242" s="1001">
        <f>5642+200000</f>
        <v>205642</v>
      </c>
      <c r="I242" s="1001">
        <v>100704</v>
      </c>
      <c r="J242" s="1001"/>
      <c r="K242" s="1001"/>
      <c r="L242" s="1001"/>
      <c r="M242" s="1001"/>
      <c r="N242" s="1001"/>
      <c r="O242" s="1001"/>
      <c r="P242" s="1002"/>
      <c r="Q242" s="1003"/>
      <c r="R242" s="1001"/>
      <c r="S242" s="1001"/>
      <c r="T242" s="1001"/>
      <c r="U242" s="1001"/>
      <c r="V242" s="1001"/>
      <c r="W242" s="1001"/>
      <c r="X242" s="1002"/>
    </row>
    <row r="243" spans="1:24" ht="17.25" customHeight="1" x14ac:dyDescent="0.25">
      <c r="A243" s="2054"/>
      <c r="B243" s="2053"/>
      <c r="C243" s="2049"/>
      <c r="D243" s="978" t="s">
        <v>1819</v>
      </c>
      <c r="E243" s="978" t="s">
        <v>166</v>
      </c>
      <c r="F243" s="978" t="s">
        <v>151</v>
      </c>
      <c r="G243" s="1000" t="s">
        <v>1766</v>
      </c>
      <c r="H243" s="1001">
        <f>-238000+62500+4500+171000</f>
        <v>0</v>
      </c>
      <c r="I243" s="1001"/>
      <c r="J243" s="1001"/>
      <c r="K243" s="1001"/>
      <c r="L243" s="1001"/>
      <c r="M243" s="1001"/>
      <c r="N243" s="1001"/>
      <c r="O243" s="1001"/>
      <c r="P243" s="1002"/>
      <c r="Q243" s="1003"/>
      <c r="R243" s="1001"/>
      <c r="S243" s="1001"/>
      <c r="T243" s="1001"/>
      <c r="U243" s="1001"/>
      <c r="V243" s="1001"/>
      <c r="W243" s="1001"/>
      <c r="X243" s="1002"/>
    </row>
    <row r="244" spans="1:24" ht="17.25" customHeight="1" x14ac:dyDescent="0.25">
      <c r="A244" s="2054"/>
      <c r="B244" s="2053"/>
      <c r="C244" s="2049"/>
      <c r="D244" s="978" t="s">
        <v>1819</v>
      </c>
      <c r="E244" s="978" t="s">
        <v>791</v>
      </c>
      <c r="F244" s="978" t="s">
        <v>134</v>
      </c>
      <c r="G244" s="1000" t="s">
        <v>1766</v>
      </c>
      <c r="H244" s="1001">
        <f>-190000+190000</f>
        <v>0</v>
      </c>
      <c r="I244" s="1001"/>
      <c r="J244" s="1001"/>
      <c r="K244" s="1001"/>
      <c r="L244" s="1001"/>
      <c r="M244" s="1001"/>
      <c r="N244" s="1001"/>
      <c r="O244" s="1001"/>
      <c r="P244" s="1002"/>
      <c r="Q244" s="1003"/>
      <c r="R244" s="1001"/>
      <c r="S244" s="1001"/>
      <c r="T244" s="1001"/>
      <c r="U244" s="1001"/>
      <c r="V244" s="1001"/>
      <c r="W244" s="1001"/>
      <c r="X244" s="1002"/>
    </row>
    <row r="245" spans="1:24" ht="17.25" customHeight="1" x14ac:dyDescent="0.25">
      <c r="A245" s="2054"/>
      <c r="B245" s="2053"/>
      <c r="C245" s="2049"/>
      <c r="D245" s="978" t="s">
        <v>1819</v>
      </c>
      <c r="E245" s="978" t="s">
        <v>529</v>
      </c>
      <c r="F245" s="978" t="s">
        <v>479</v>
      </c>
      <c r="G245" s="1000" t="s">
        <v>1766</v>
      </c>
      <c r="H245" s="1001">
        <f>-6840+6840</f>
        <v>0</v>
      </c>
      <c r="I245" s="1001"/>
      <c r="J245" s="1001"/>
      <c r="K245" s="1001"/>
      <c r="L245" s="1001"/>
      <c r="M245" s="1001"/>
      <c r="N245" s="1001"/>
      <c r="O245" s="1001"/>
      <c r="P245" s="1002"/>
      <c r="Q245" s="1003"/>
      <c r="R245" s="1001"/>
      <c r="S245" s="1001"/>
      <c r="T245" s="1001"/>
      <c r="U245" s="1001"/>
      <c r="V245" s="1001"/>
      <c r="W245" s="1001"/>
      <c r="X245" s="1002"/>
    </row>
    <row r="246" spans="1:24" ht="17.25" customHeight="1" x14ac:dyDescent="0.25">
      <c r="A246" s="2054"/>
      <c r="B246" s="2053"/>
      <c r="C246" s="2049"/>
      <c r="D246" s="978" t="s">
        <v>1819</v>
      </c>
      <c r="E246" s="978" t="s">
        <v>168</v>
      </c>
      <c r="F246" s="978" t="s">
        <v>152</v>
      </c>
      <c r="G246" s="1000" t="s">
        <v>1766</v>
      </c>
      <c r="H246" s="1001">
        <f>-143111+21890+121221</f>
        <v>0</v>
      </c>
      <c r="I246" s="1001"/>
      <c r="J246" s="1001"/>
      <c r="K246" s="1001"/>
      <c r="L246" s="1001"/>
      <c r="M246" s="1001"/>
      <c r="N246" s="1001"/>
      <c r="O246" s="1001"/>
      <c r="P246" s="1002"/>
      <c r="Q246" s="1003"/>
      <c r="R246" s="1001"/>
      <c r="S246" s="1001"/>
      <c r="T246" s="1001"/>
      <c r="U246" s="1001"/>
      <c r="V246" s="1001"/>
      <c r="W246" s="1001"/>
      <c r="X246" s="1002"/>
    </row>
    <row r="247" spans="1:24" ht="17.25" customHeight="1" x14ac:dyDescent="0.25">
      <c r="A247" s="2054"/>
      <c r="B247" s="2053"/>
      <c r="C247" s="2049"/>
      <c r="D247" s="978" t="s">
        <v>1819</v>
      </c>
      <c r="E247" s="978" t="s">
        <v>169</v>
      </c>
      <c r="F247" s="978" t="s">
        <v>65</v>
      </c>
      <c r="G247" s="1000" t="s">
        <v>1766</v>
      </c>
      <c r="H247" s="1001">
        <f>-10234+10234</f>
        <v>0</v>
      </c>
      <c r="I247" s="1001"/>
      <c r="J247" s="1001"/>
      <c r="K247" s="1001"/>
      <c r="L247" s="1001"/>
      <c r="M247" s="1001"/>
      <c r="N247" s="1001"/>
      <c r="O247" s="1001"/>
      <c r="P247" s="1002"/>
      <c r="Q247" s="1003"/>
      <c r="R247" s="1001"/>
      <c r="S247" s="1001"/>
      <c r="T247" s="1001"/>
      <c r="U247" s="1001"/>
      <c r="V247" s="1001"/>
      <c r="W247" s="1001"/>
      <c r="X247" s="1002"/>
    </row>
    <row r="248" spans="1:24" ht="17.25" customHeight="1" x14ac:dyDescent="0.25">
      <c r="A248" s="2048"/>
      <c r="B248" s="2046"/>
      <c r="C248" s="2044"/>
      <c r="D248" s="978" t="s">
        <v>1819</v>
      </c>
      <c r="E248" s="978" t="s">
        <v>573</v>
      </c>
      <c r="F248" s="978" t="s">
        <v>153</v>
      </c>
      <c r="G248" s="1000" t="s">
        <v>1766</v>
      </c>
      <c r="H248" s="1001">
        <f>-40000+40000</f>
        <v>0</v>
      </c>
      <c r="I248" s="1001"/>
      <c r="J248" s="1001"/>
      <c r="K248" s="1001"/>
      <c r="L248" s="1001"/>
      <c r="M248" s="1001"/>
      <c r="N248" s="1001"/>
      <c r="O248" s="1001"/>
      <c r="P248" s="1002"/>
      <c r="Q248" s="1003"/>
      <c r="R248" s="1001"/>
      <c r="S248" s="1001"/>
      <c r="T248" s="1001"/>
      <c r="U248" s="1001"/>
      <c r="V248" s="1001"/>
      <c r="W248" s="1001"/>
      <c r="X248" s="1002"/>
    </row>
    <row r="249" spans="1:24" ht="17.25" customHeight="1" x14ac:dyDescent="0.25">
      <c r="A249" s="2062" t="s">
        <v>764</v>
      </c>
      <c r="B249" s="2061" t="s">
        <v>768</v>
      </c>
      <c r="C249" s="2028" t="s">
        <v>3269</v>
      </c>
      <c r="D249" s="978" t="s">
        <v>1819</v>
      </c>
      <c r="E249" s="978" t="s">
        <v>166</v>
      </c>
      <c r="F249" s="978" t="s">
        <v>151</v>
      </c>
      <c r="G249" s="1000" t="s">
        <v>1754</v>
      </c>
      <c r="H249" s="1001"/>
      <c r="I249" s="1001"/>
      <c r="J249" s="1001">
        <v>300000</v>
      </c>
      <c r="K249" s="1001"/>
      <c r="L249" s="1001"/>
      <c r="M249" s="1001"/>
      <c r="N249" s="1001"/>
      <c r="O249" s="1001"/>
      <c r="P249" s="1002"/>
      <c r="Q249" s="1003"/>
      <c r="R249" s="1001"/>
      <c r="S249" s="1001"/>
      <c r="T249" s="1001">
        <v>300000</v>
      </c>
      <c r="U249" s="1001"/>
      <c r="V249" s="1001"/>
      <c r="W249" s="1001"/>
      <c r="X249" s="1002"/>
    </row>
    <row r="250" spans="1:24" ht="17.25" customHeight="1" x14ac:dyDescent="0.25">
      <c r="A250" s="2062"/>
      <c r="B250" s="2061"/>
      <c r="C250" s="2028"/>
      <c r="D250" s="978" t="s">
        <v>1819</v>
      </c>
      <c r="E250" s="978" t="s">
        <v>167</v>
      </c>
      <c r="F250" s="978" t="s">
        <v>132</v>
      </c>
      <c r="G250" s="1000" t="s">
        <v>1754</v>
      </c>
      <c r="H250" s="1001"/>
      <c r="I250" s="1001"/>
      <c r="J250" s="1001">
        <f>500000+1000000</f>
        <v>1500000</v>
      </c>
      <c r="K250" s="1001"/>
      <c r="L250" s="1001"/>
      <c r="M250" s="1001"/>
      <c r="N250" s="1001"/>
      <c r="O250" s="1001"/>
      <c r="P250" s="1002"/>
      <c r="Q250" s="1003"/>
      <c r="R250" s="1001"/>
      <c r="S250" s="1001"/>
      <c r="T250" s="1001">
        <f>1000000+500000</f>
        <v>1500000</v>
      </c>
      <c r="U250" s="1001"/>
      <c r="V250" s="1001"/>
      <c r="W250" s="1001"/>
      <c r="X250" s="1002"/>
    </row>
    <row r="251" spans="1:24" ht="17.25" customHeight="1" x14ac:dyDescent="0.25">
      <c r="A251" s="2062"/>
      <c r="B251" s="2061"/>
      <c r="C251" s="2028"/>
      <c r="D251" s="978" t="s">
        <v>1819</v>
      </c>
      <c r="E251" s="978" t="s">
        <v>573</v>
      </c>
      <c r="F251" s="978" t="s">
        <v>66</v>
      </c>
      <c r="G251" s="1000" t="s">
        <v>1754</v>
      </c>
      <c r="H251" s="1001"/>
      <c r="I251" s="1001"/>
      <c r="J251" s="1001">
        <f>5000000+2000000</f>
        <v>7000000</v>
      </c>
      <c r="K251" s="1001"/>
      <c r="L251" s="1001"/>
      <c r="M251" s="1001"/>
      <c r="N251" s="1001"/>
      <c r="O251" s="1001"/>
      <c r="P251" s="1002"/>
      <c r="Q251" s="1003"/>
      <c r="R251" s="1001"/>
      <c r="S251" s="1001"/>
      <c r="T251" s="1001">
        <f>5000000+2000000</f>
        <v>7000000</v>
      </c>
      <c r="U251" s="1001"/>
      <c r="V251" s="1001"/>
      <c r="W251" s="1001"/>
      <c r="X251" s="1002"/>
    </row>
    <row r="252" spans="1:24" ht="17.25" customHeight="1" x14ac:dyDescent="0.25">
      <c r="A252" s="2062"/>
      <c r="B252" s="2061"/>
      <c r="C252" s="2028"/>
      <c r="D252" s="978" t="s">
        <v>1819</v>
      </c>
      <c r="E252" s="978" t="s">
        <v>573</v>
      </c>
      <c r="F252" s="978" t="s">
        <v>153</v>
      </c>
      <c r="G252" s="1000" t="s">
        <v>1754</v>
      </c>
      <c r="H252" s="1001"/>
      <c r="I252" s="1001"/>
      <c r="J252" s="1001">
        <f>15000000+5000000</f>
        <v>20000000</v>
      </c>
      <c r="K252" s="1001"/>
      <c r="L252" s="1001"/>
      <c r="M252" s="1001"/>
      <c r="N252" s="1001"/>
      <c r="O252" s="1001"/>
      <c r="P252" s="1002"/>
      <c r="Q252" s="1003"/>
      <c r="R252" s="1001"/>
      <c r="S252" s="1001"/>
      <c r="T252" s="1001">
        <f>15000000+5000000</f>
        <v>20000000</v>
      </c>
      <c r="U252" s="1001"/>
      <c r="V252" s="1001"/>
      <c r="W252" s="1001"/>
      <c r="X252" s="1002"/>
    </row>
    <row r="253" spans="1:24" ht="17.25" customHeight="1" x14ac:dyDescent="0.25">
      <c r="A253" s="2062"/>
      <c r="B253" s="2061"/>
      <c r="C253" s="2028"/>
      <c r="D253" s="978" t="s">
        <v>1819</v>
      </c>
      <c r="E253" s="978" t="s">
        <v>573</v>
      </c>
      <c r="F253" s="978" t="s">
        <v>154</v>
      </c>
      <c r="G253" s="1000" t="s">
        <v>1754</v>
      </c>
      <c r="H253" s="1001"/>
      <c r="I253" s="1001"/>
      <c r="J253" s="1001">
        <f>500000+1000000</f>
        <v>1500000</v>
      </c>
      <c r="K253" s="1001"/>
      <c r="L253" s="1001"/>
      <c r="M253" s="1001"/>
      <c r="N253" s="1001"/>
      <c r="O253" s="1001"/>
      <c r="P253" s="1002"/>
      <c r="Q253" s="1003"/>
      <c r="R253" s="1001"/>
      <c r="S253" s="1001"/>
      <c r="T253" s="1001">
        <f>500000+1000000</f>
        <v>1500000</v>
      </c>
      <c r="U253" s="1001"/>
      <c r="V253" s="1001"/>
      <c r="W253" s="1001"/>
      <c r="X253" s="1002"/>
    </row>
    <row r="254" spans="1:24" ht="31.5" customHeight="1" x14ac:dyDescent="0.25">
      <c r="A254" s="1432" t="s">
        <v>765</v>
      </c>
      <c r="B254" s="1431" t="s">
        <v>769</v>
      </c>
      <c r="C254" s="1425" t="s">
        <v>3283</v>
      </c>
      <c r="D254" s="978" t="s">
        <v>1819</v>
      </c>
      <c r="E254" s="978" t="s">
        <v>572</v>
      </c>
      <c r="F254" s="978" t="s">
        <v>90</v>
      </c>
      <c r="G254" s="1000" t="s">
        <v>1766</v>
      </c>
      <c r="H254" s="1001"/>
      <c r="I254" s="1001"/>
      <c r="J254" s="1001">
        <f>-400000+300000+100000</f>
        <v>0</v>
      </c>
      <c r="K254" s="1001"/>
      <c r="L254" s="1001"/>
      <c r="M254" s="1001"/>
      <c r="N254" s="1001"/>
      <c r="O254" s="1001"/>
      <c r="P254" s="1002"/>
      <c r="Q254" s="1003"/>
      <c r="R254" s="1001"/>
      <c r="S254" s="1001"/>
      <c r="T254" s="1001"/>
      <c r="U254" s="1001"/>
      <c r="V254" s="1001"/>
      <c r="W254" s="1001"/>
      <c r="X254" s="1002"/>
    </row>
    <row r="255" spans="1:24" ht="17.25" customHeight="1" x14ac:dyDescent="0.25">
      <c r="A255" s="2047" t="s">
        <v>319</v>
      </c>
      <c r="B255" s="2045" t="s">
        <v>770</v>
      </c>
      <c r="C255" s="2043" t="s">
        <v>3374</v>
      </c>
      <c r="D255" s="978" t="s">
        <v>1819</v>
      </c>
      <c r="E255" s="978" t="s">
        <v>572</v>
      </c>
      <c r="F255" s="978" t="s">
        <v>90</v>
      </c>
      <c r="G255" s="1000" t="s">
        <v>1766</v>
      </c>
      <c r="H255" s="1001">
        <f>-201253+178000+23253</f>
        <v>0</v>
      </c>
      <c r="I255" s="1001">
        <v>-202598</v>
      </c>
      <c r="J255" s="1001"/>
      <c r="K255" s="1001"/>
      <c r="L255" s="1001"/>
      <c r="M255" s="1001"/>
      <c r="N255" s="1001"/>
      <c r="O255" s="1001"/>
      <c r="P255" s="1002"/>
      <c r="Q255" s="1003"/>
      <c r="R255" s="1001"/>
      <c r="S255" s="1001"/>
      <c r="T255" s="1001"/>
      <c r="U255" s="1001"/>
      <c r="V255" s="1001"/>
      <c r="W255" s="1001"/>
      <c r="X255" s="1002"/>
    </row>
    <row r="256" spans="1:24" ht="17.25" customHeight="1" x14ac:dyDescent="0.25">
      <c r="A256" s="2054"/>
      <c r="B256" s="2053"/>
      <c r="C256" s="2049"/>
      <c r="D256" s="978" t="s">
        <v>1819</v>
      </c>
      <c r="E256" s="978" t="s">
        <v>525</v>
      </c>
      <c r="F256" s="978" t="s">
        <v>131</v>
      </c>
      <c r="G256" s="1000" t="s">
        <v>1766</v>
      </c>
      <c r="H256" s="1001">
        <f>-67608+62500+5108</f>
        <v>0</v>
      </c>
      <c r="I256" s="1001"/>
      <c r="J256" s="1001"/>
      <c r="K256" s="1001"/>
      <c r="L256" s="1001"/>
      <c r="M256" s="1001"/>
      <c r="N256" s="1001"/>
      <c r="O256" s="1001"/>
      <c r="P256" s="1002"/>
      <c r="Q256" s="1003"/>
      <c r="R256" s="1001"/>
      <c r="S256" s="1001"/>
      <c r="T256" s="1001"/>
      <c r="U256" s="1001"/>
      <c r="V256" s="1001"/>
      <c r="W256" s="1001"/>
      <c r="X256" s="1002"/>
    </row>
    <row r="257" spans="1:24" ht="17.25" customHeight="1" x14ac:dyDescent="0.25">
      <c r="A257" s="2054"/>
      <c r="B257" s="2053"/>
      <c r="C257" s="2049"/>
      <c r="D257" s="978" t="s">
        <v>1819</v>
      </c>
      <c r="E257" s="978" t="s">
        <v>402</v>
      </c>
      <c r="F257" s="978" t="s">
        <v>150</v>
      </c>
      <c r="G257" s="1000" t="s">
        <v>1766</v>
      </c>
      <c r="H257" s="1001">
        <f>-1572434+1420942+137500</f>
        <v>-13992</v>
      </c>
      <c r="I257" s="1001">
        <v>202598</v>
      </c>
      <c r="J257" s="1001">
        <v>13992</v>
      </c>
      <c r="K257" s="1001"/>
      <c r="L257" s="1001"/>
      <c r="M257" s="1001"/>
      <c r="N257" s="1001"/>
      <c r="O257" s="1001"/>
      <c r="P257" s="1002"/>
      <c r="Q257" s="1003"/>
      <c r="R257" s="1001"/>
      <c r="S257" s="1001"/>
      <c r="T257" s="1001"/>
      <c r="U257" s="1001"/>
      <c r="V257" s="1001"/>
      <c r="W257" s="1001"/>
      <c r="X257" s="1002"/>
    </row>
    <row r="258" spans="1:24" ht="17.25" customHeight="1" x14ac:dyDescent="0.25">
      <c r="A258" s="2054"/>
      <c r="B258" s="2053"/>
      <c r="C258" s="2049"/>
      <c r="D258" s="978" t="s">
        <v>1819</v>
      </c>
      <c r="E258" s="978" t="s">
        <v>166</v>
      </c>
      <c r="F258" s="978" t="s">
        <v>151</v>
      </c>
      <c r="G258" s="1000" t="s">
        <v>1766</v>
      </c>
      <c r="H258" s="1001">
        <f>-797652+417677+62500+4275+313200</f>
        <v>0</v>
      </c>
      <c r="I258" s="1001"/>
      <c r="J258" s="1001"/>
      <c r="K258" s="1001"/>
      <c r="L258" s="1001"/>
      <c r="M258" s="1001"/>
      <c r="N258" s="1001"/>
      <c r="O258" s="1001"/>
      <c r="P258" s="1002"/>
      <c r="Q258" s="1003"/>
      <c r="R258" s="1001"/>
      <c r="S258" s="1001"/>
      <c r="T258" s="1001"/>
      <c r="U258" s="1001"/>
      <c r="V258" s="1001"/>
      <c r="W258" s="1001"/>
      <c r="X258" s="1002"/>
    </row>
    <row r="259" spans="1:24" ht="17.25" customHeight="1" x14ac:dyDescent="0.25">
      <c r="A259" s="2054"/>
      <c r="B259" s="2053"/>
      <c r="C259" s="2049"/>
      <c r="D259" s="978" t="s">
        <v>1819</v>
      </c>
      <c r="E259" s="978" t="s">
        <v>791</v>
      </c>
      <c r="F259" s="978" t="s">
        <v>134</v>
      </c>
      <c r="G259" s="1000" t="s">
        <v>1766</v>
      </c>
      <c r="H259" s="1001">
        <f>-190000+190000</f>
        <v>0</v>
      </c>
      <c r="I259" s="1001"/>
      <c r="J259" s="1001"/>
      <c r="K259" s="1001"/>
      <c r="L259" s="1001"/>
      <c r="M259" s="1001"/>
      <c r="N259" s="1001"/>
      <c r="O259" s="1001"/>
      <c r="P259" s="1002"/>
      <c r="Q259" s="1003"/>
      <c r="R259" s="1001"/>
      <c r="S259" s="1001"/>
      <c r="T259" s="1001"/>
      <c r="U259" s="1001"/>
      <c r="V259" s="1001"/>
      <c r="W259" s="1001"/>
      <c r="X259" s="1002"/>
    </row>
    <row r="260" spans="1:24" ht="17.25" customHeight="1" x14ac:dyDescent="0.25">
      <c r="A260" s="2054"/>
      <c r="B260" s="2053"/>
      <c r="C260" s="2049"/>
      <c r="D260" s="978" t="s">
        <v>1819</v>
      </c>
      <c r="E260" s="978" t="s">
        <v>529</v>
      </c>
      <c r="F260" s="978" t="s">
        <v>479</v>
      </c>
      <c r="G260" s="1000" t="s">
        <v>1766</v>
      </c>
      <c r="H260" s="1001">
        <f>-6840+6840</f>
        <v>0</v>
      </c>
      <c r="I260" s="1001"/>
      <c r="J260" s="1001"/>
      <c r="K260" s="1001"/>
      <c r="L260" s="1001"/>
      <c r="M260" s="1001"/>
      <c r="N260" s="1001"/>
      <c r="O260" s="1001"/>
      <c r="P260" s="1002"/>
      <c r="Q260" s="1003"/>
      <c r="R260" s="1001"/>
      <c r="S260" s="1001"/>
      <c r="T260" s="1001"/>
      <c r="U260" s="1001"/>
      <c r="V260" s="1001"/>
      <c r="W260" s="1001"/>
      <c r="X260" s="1002"/>
    </row>
    <row r="261" spans="1:24" ht="17.25" customHeight="1" x14ac:dyDescent="0.25">
      <c r="A261" s="2054"/>
      <c r="B261" s="2053"/>
      <c r="C261" s="2049"/>
      <c r="D261" s="978" t="s">
        <v>1819</v>
      </c>
      <c r="E261" s="978" t="s">
        <v>168</v>
      </c>
      <c r="F261" s="978" t="s">
        <v>152</v>
      </c>
      <c r="G261" s="1000" t="s">
        <v>1766</v>
      </c>
      <c r="H261" s="1001">
        <f>-145125+18714+126411</f>
        <v>0</v>
      </c>
      <c r="I261" s="1001"/>
      <c r="J261" s="1001"/>
      <c r="K261" s="1001"/>
      <c r="L261" s="1001"/>
      <c r="M261" s="1001"/>
      <c r="N261" s="1001"/>
      <c r="O261" s="1001"/>
      <c r="P261" s="1002"/>
      <c r="Q261" s="1003"/>
      <c r="R261" s="1001"/>
      <c r="S261" s="1001"/>
      <c r="T261" s="1001"/>
      <c r="U261" s="1001"/>
      <c r="V261" s="1001"/>
      <c r="W261" s="1001"/>
      <c r="X261" s="1002"/>
    </row>
    <row r="262" spans="1:24" ht="17.25" customHeight="1" x14ac:dyDescent="0.25">
      <c r="A262" s="2054"/>
      <c r="B262" s="2053"/>
      <c r="C262" s="2049"/>
      <c r="D262" s="978" t="s">
        <v>1819</v>
      </c>
      <c r="E262" s="978" t="s">
        <v>169</v>
      </c>
      <c r="F262" s="978" t="s">
        <v>65</v>
      </c>
      <c r="G262" s="1000" t="s">
        <v>1766</v>
      </c>
      <c r="H262" s="1001">
        <f>-61606+10234+51372</f>
        <v>0</v>
      </c>
      <c r="I262" s="1001"/>
      <c r="J262" s="1001"/>
      <c r="K262" s="1001"/>
      <c r="L262" s="1001"/>
      <c r="M262" s="1001"/>
      <c r="N262" s="1001"/>
      <c r="O262" s="1001"/>
      <c r="P262" s="1002"/>
      <c r="Q262" s="1003"/>
      <c r="R262" s="1001"/>
      <c r="S262" s="1001"/>
      <c r="T262" s="1001"/>
      <c r="U262" s="1001"/>
      <c r="V262" s="1001"/>
      <c r="W262" s="1001"/>
      <c r="X262" s="1002"/>
    </row>
    <row r="263" spans="1:24" ht="15" customHeight="1" x14ac:dyDescent="0.25">
      <c r="A263" s="2048"/>
      <c r="B263" s="2046"/>
      <c r="C263" s="2044"/>
      <c r="D263" s="978" t="s">
        <v>1819</v>
      </c>
      <c r="E263" s="978" t="s">
        <v>573</v>
      </c>
      <c r="F263" s="978" t="s">
        <v>153</v>
      </c>
      <c r="G263" s="1000" t="s">
        <v>1766</v>
      </c>
      <c r="H263" s="1001">
        <f>-6160+6160</f>
        <v>0</v>
      </c>
      <c r="I263" s="1001"/>
      <c r="J263" s="1001"/>
      <c r="K263" s="1001"/>
      <c r="L263" s="1001"/>
      <c r="M263" s="1001"/>
      <c r="N263" s="1001"/>
      <c r="O263" s="1001"/>
      <c r="P263" s="1002"/>
      <c r="Q263" s="1003"/>
      <c r="R263" s="1001"/>
      <c r="S263" s="1001"/>
      <c r="T263" s="1001"/>
      <c r="U263" s="1001"/>
      <c r="V263" s="1001"/>
      <c r="W263" s="1001"/>
      <c r="X263" s="1002"/>
    </row>
    <row r="264" spans="1:24" ht="21" customHeight="1" x14ac:dyDescent="0.25">
      <c r="A264" s="2047" t="s">
        <v>320</v>
      </c>
      <c r="B264" s="2045" t="s">
        <v>194</v>
      </c>
      <c r="C264" s="2043" t="s">
        <v>3420</v>
      </c>
      <c r="D264" s="978" t="s">
        <v>1819</v>
      </c>
      <c r="E264" s="978" t="s">
        <v>1297</v>
      </c>
      <c r="F264" s="978" t="s">
        <v>127</v>
      </c>
      <c r="G264" s="1000" t="s">
        <v>1754</v>
      </c>
      <c r="H264" s="1001"/>
      <c r="I264" s="1001"/>
      <c r="J264" s="1001"/>
      <c r="K264" s="1001"/>
      <c r="L264" s="1001"/>
      <c r="M264" s="1001"/>
      <c r="N264" s="1001"/>
      <c r="O264" s="1001"/>
      <c r="P264" s="1002"/>
      <c r="Q264" s="1003"/>
      <c r="R264" s="1001"/>
      <c r="S264" s="1001"/>
      <c r="T264" s="1001"/>
      <c r="U264" s="1001"/>
      <c r="V264" s="1001"/>
      <c r="W264" s="1001"/>
      <c r="X264" s="1002">
        <v>2468032</v>
      </c>
    </row>
    <row r="265" spans="1:24" ht="21" customHeight="1" x14ac:dyDescent="0.25">
      <c r="A265" s="2048"/>
      <c r="B265" s="2046"/>
      <c r="C265" s="2044"/>
      <c r="D265" s="978" t="s">
        <v>1819</v>
      </c>
      <c r="E265" s="978" t="s">
        <v>167</v>
      </c>
      <c r="F265" s="978" t="s">
        <v>132</v>
      </c>
      <c r="G265" s="1000" t="s">
        <v>1754</v>
      </c>
      <c r="H265" s="1001"/>
      <c r="I265" s="1001"/>
      <c r="J265" s="1001">
        <f>1943332+524700</f>
        <v>2468032</v>
      </c>
      <c r="K265" s="1001"/>
      <c r="L265" s="1001"/>
      <c r="M265" s="1001"/>
      <c r="N265" s="1001"/>
      <c r="O265" s="1001"/>
      <c r="P265" s="1002"/>
      <c r="Q265" s="1003"/>
      <c r="R265" s="1001"/>
      <c r="S265" s="1001"/>
      <c r="T265" s="1001"/>
      <c r="U265" s="1001"/>
      <c r="V265" s="1001"/>
      <c r="W265" s="1001"/>
      <c r="X265" s="1002"/>
    </row>
    <row r="266" spans="1:24" ht="21" customHeight="1" x14ac:dyDescent="0.25">
      <c r="A266" s="2047" t="s">
        <v>321</v>
      </c>
      <c r="B266" s="2045" t="s">
        <v>195</v>
      </c>
      <c r="C266" s="2043" t="s">
        <v>3422</v>
      </c>
      <c r="D266" s="978" t="s">
        <v>1819</v>
      </c>
      <c r="E266" s="978" t="s">
        <v>1297</v>
      </c>
      <c r="F266" s="978" t="s">
        <v>127</v>
      </c>
      <c r="G266" s="1000" t="s">
        <v>1754</v>
      </c>
      <c r="H266" s="1001"/>
      <c r="I266" s="1001"/>
      <c r="J266" s="1001"/>
      <c r="K266" s="1001"/>
      <c r="L266" s="1001"/>
      <c r="M266" s="1001"/>
      <c r="N266" s="1001"/>
      <c r="O266" s="1001"/>
      <c r="P266" s="1002"/>
      <c r="Q266" s="1003"/>
      <c r="R266" s="1001"/>
      <c r="S266" s="1001"/>
      <c r="T266" s="1001"/>
      <c r="U266" s="1001"/>
      <c r="V266" s="1001"/>
      <c r="W266" s="1001"/>
      <c r="X266" s="1002">
        <v>627399</v>
      </c>
    </row>
    <row r="267" spans="1:24" ht="21" customHeight="1" x14ac:dyDescent="0.25">
      <c r="A267" s="2048"/>
      <c r="B267" s="2046"/>
      <c r="C267" s="2044"/>
      <c r="D267" s="978" t="s">
        <v>1819</v>
      </c>
      <c r="E267" s="978" t="s">
        <v>167</v>
      </c>
      <c r="F267" s="978" t="s">
        <v>132</v>
      </c>
      <c r="G267" s="1000" t="s">
        <v>1754</v>
      </c>
      <c r="H267" s="1001"/>
      <c r="I267" s="1001"/>
      <c r="J267" s="1001">
        <f>494015+133384</f>
        <v>627399</v>
      </c>
      <c r="K267" s="1001"/>
      <c r="L267" s="1001"/>
      <c r="M267" s="1001"/>
      <c r="N267" s="1001"/>
      <c r="O267" s="1001"/>
      <c r="P267" s="1002"/>
      <c r="Q267" s="1003"/>
      <c r="R267" s="1001"/>
      <c r="S267" s="1001"/>
      <c r="T267" s="1001"/>
      <c r="U267" s="1001"/>
      <c r="V267" s="1001"/>
      <c r="W267" s="1001"/>
      <c r="X267" s="1002"/>
    </row>
    <row r="268" spans="1:24" ht="19.5" customHeight="1" x14ac:dyDescent="0.25">
      <c r="A268" s="2047" t="s">
        <v>322</v>
      </c>
      <c r="B268" s="2045" t="s">
        <v>196</v>
      </c>
      <c r="C268" s="2043" t="s">
        <v>3427</v>
      </c>
      <c r="D268" s="978" t="s">
        <v>1819</v>
      </c>
      <c r="E268" s="978" t="s">
        <v>1297</v>
      </c>
      <c r="F268" s="978" t="s">
        <v>127</v>
      </c>
      <c r="G268" s="1000" t="s">
        <v>1754</v>
      </c>
      <c r="H268" s="1001"/>
      <c r="I268" s="1001"/>
      <c r="J268" s="1001"/>
      <c r="K268" s="1001"/>
      <c r="L268" s="1001"/>
      <c r="M268" s="1001"/>
      <c r="N268" s="1001"/>
      <c r="O268" s="1001"/>
      <c r="P268" s="1002"/>
      <c r="Q268" s="1003"/>
      <c r="R268" s="1001"/>
      <c r="S268" s="1001"/>
      <c r="T268" s="1001"/>
      <c r="U268" s="1001"/>
      <c r="V268" s="1001"/>
      <c r="W268" s="1001"/>
      <c r="X268" s="1002">
        <v>2508213</v>
      </c>
    </row>
    <row r="269" spans="1:24" ht="19.5" customHeight="1" x14ac:dyDescent="0.25">
      <c r="A269" s="2048"/>
      <c r="B269" s="2046"/>
      <c r="C269" s="2044"/>
      <c r="D269" s="978" t="s">
        <v>1819</v>
      </c>
      <c r="E269" s="978" t="s">
        <v>572</v>
      </c>
      <c r="F269" s="978" t="s">
        <v>90</v>
      </c>
      <c r="G269" s="1000" t="s">
        <v>1754</v>
      </c>
      <c r="H269" s="1001"/>
      <c r="I269" s="1001"/>
      <c r="J269" s="1001">
        <f>1974971+533242</f>
        <v>2508213</v>
      </c>
      <c r="K269" s="1001"/>
      <c r="L269" s="1001"/>
      <c r="M269" s="1001"/>
      <c r="N269" s="1001"/>
      <c r="O269" s="1001"/>
      <c r="P269" s="1002"/>
      <c r="Q269" s="1003"/>
      <c r="R269" s="1001"/>
      <c r="S269" s="1001"/>
      <c r="T269" s="1001"/>
      <c r="U269" s="1001"/>
      <c r="V269" s="1001"/>
      <c r="W269" s="1001"/>
      <c r="X269" s="1002"/>
    </row>
    <row r="270" spans="1:24" ht="27.75" customHeight="1" x14ac:dyDescent="0.25">
      <c r="A270" s="1432" t="s">
        <v>323</v>
      </c>
      <c r="B270" s="1431" t="s">
        <v>197</v>
      </c>
      <c r="C270" s="1425" t="s">
        <v>2357</v>
      </c>
      <c r="D270" s="978" t="s">
        <v>1819</v>
      </c>
      <c r="E270" s="978" t="s">
        <v>572</v>
      </c>
      <c r="F270" s="978" t="s">
        <v>866</v>
      </c>
      <c r="G270" s="1000" t="s">
        <v>1754</v>
      </c>
      <c r="H270" s="1001"/>
      <c r="I270" s="1001"/>
      <c r="J270" s="1001">
        <f>2000000+540000</f>
        <v>2540000</v>
      </c>
      <c r="K270" s="1001"/>
      <c r="L270" s="1001"/>
      <c r="M270" s="1001"/>
      <c r="N270" s="1001"/>
      <c r="O270" s="1001"/>
      <c r="P270" s="1002"/>
      <c r="Q270" s="1003"/>
      <c r="R270" s="1001"/>
      <c r="S270" s="1001"/>
      <c r="T270" s="1001">
        <f>2000000+540000</f>
        <v>2540000</v>
      </c>
      <c r="U270" s="1001"/>
      <c r="V270" s="1001"/>
      <c r="W270" s="1001"/>
      <c r="X270" s="1002"/>
    </row>
    <row r="271" spans="1:24" ht="30" customHeight="1" x14ac:dyDescent="0.25">
      <c r="A271" s="1432" t="s">
        <v>324</v>
      </c>
      <c r="B271" s="1431" t="s">
        <v>198</v>
      </c>
      <c r="C271" s="1425" t="s">
        <v>3457</v>
      </c>
      <c r="D271" s="978" t="s">
        <v>1819</v>
      </c>
      <c r="E271" s="978" t="s">
        <v>168</v>
      </c>
      <c r="F271" s="978" t="s">
        <v>152</v>
      </c>
      <c r="G271" s="1000" t="s">
        <v>1766</v>
      </c>
      <c r="H271" s="1001"/>
      <c r="I271" s="1001"/>
      <c r="J271" s="1001">
        <f>-1000000+1000000</f>
        <v>0</v>
      </c>
      <c r="K271" s="1001"/>
      <c r="L271" s="1001"/>
      <c r="M271" s="1001"/>
      <c r="N271" s="1001"/>
      <c r="O271" s="1001"/>
      <c r="P271" s="1002"/>
      <c r="Q271" s="1003"/>
      <c r="R271" s="1001"/>
      <c r="S271" s="1001"/>
      <c r="T271" s="1001"/>
      <c r="U271" s="1001"/>
      <c r="V271" s="1001"/>
      <c r="W271" s="1001"/>
      <c r="X271" s="1002"/>
    </row>
    <row r="272" spans="1:24" ht="21.75" customHeight="1" x14ac:dyDescent="0.25">
      <c r="A272" s="2047" t="s">
        <v>325</v>
      </c>
      <c r="B272" s="2045" t="s">
        <v>199</v>
      </c>
      <c r="C272" s="2043" t="s">
        <v>2942</v>
      </c>
      <c r="D272" s="978" t="s">
        <v>1819</v>
      </c>
      <c r="E272" s="978" t="s">
        <v>1297</v>
      </c>
      <c r="F272" s="978" t="s">
        <v>127</v>
      </c>
      <c r="G272" s="1000" t="s">
        <v>1754</v>
      </c>
      <c r="H272" s="1001"/>
      <c r="I272" s="1001"/>
      <c r="J272" s="1001"/>
      <c r="K272" s="1001"/>
      <c r="L272" s="1001"/>
      <c r="M272" s="1001"/>
      <c r="N272" s="1001"/>
      <c r="O272" s="1001"/>
      <c r="P272" s="1002"/>
      <c r="Q272" s="1003"/>
      <c r="R272" s="1001"/>
      <c r="S272" s="1001"/>
      <c r="T272" s="1001"/>
      <c r="U272" s="1001"/>
      <c r="V272" s="1001"/>
      <c r="W272" s="1001"/>
      <c r="X272" s="1002">
        <v>1270000</v>
      </c>
    </row>
    <row r="273" spans="1:24" ht="21.75" customHeight="1" x14ac:dyDescent="0.25">
      <c r="A273" s="2048"/>
      <c r="B273" s="2046"/>
      <c r="C273" s="2044"/>
      <c r="D273" s="978" t="s">
        <v>1819</v>
      </c>
      <c r="E273" s="978" t="s">
        <v>167</v>
      </c>
      <c r="F273" s="978" t="s">
        <v>132</v>
      </c>
      <c r="G273" s="1000" t="s">
        <v>1754</v>
      </c>
      <c r="H273" s="1001"/>
      <c r="I273" s="1001"/>
      <c r="J273" s="1001">
        <f>1000000+270000</f>
        <v>1270000</v>
      </c>
      <c r="K273" s="1001"/>
      <c r="L273" s="1001"/>
      <c r="M273" s="1001"/>
      <c r="N273" s="1001"/>
      <c r="O273" s="1001"/>
      <c r="P273" s="1002"/>
      <c r="Q273" s="1003"/>
      <c r="R273" s="1001"/>
      <c r="S273" s="1001"/>
      <c r="T273" s="1001"/>
      <c r="U273" s="1001"/>
      <c r="V273" s="1001"/>
      <c r="W273" s="1001"/>
      <c r="X273" s="1002"/>
    </row>
    <row r="274" spans="1:24" ht="28.5" customHeight="1" x14ac:dyDescent="0.25">
      <c r="A274" s="1432" t="s">
        <v>326</v>
      </c>
      <c r="B274" s="1431" t="s">
        <v>200</v>
      </c>
      <c r="C274" s="1425" t="s">
        <v>3481</v>
      </c>
      <c r="D274" s="978" t="s">
        <v>1819</v>
      </c>
      <c r="E274" s="978" t="s">
        <v>572</v>
      </c>
      <c r="F274" s="978" t="s">
        <v>90</v>
      </c>
      <c r="G274" s="1000" t="s">
        <v>1754</v>
      </c>
      <c r="H274" s="1001"/>
      <c r="I274" s="1001"/>
      <c r="J274" s="1001"/>
      <c r="K274" s="1001"/>
      <c r="L274" s="1001"/>
      <c r="M274" s="1001">
        <v>5000</v>
      </c>
      <c r="N274" s="1001"/>
      <c r="O274" s="1001"/>
      <c r="P274" s="1002"/>
      <c r="Q274" s="1003"/>
      <c r="R274" s="1001"/>
      <c r="S274" s="1001"/>
      <c r="T274" s="1001"/>
      <c r="U274" s="1001">
        <v>5000</v>
      </c>
      <c r="V274" s="1001"/>
      <c r="W274" s="1001"/>
      <c r="X274" s="1002"/>
    </row>
    <row r="275" spans="1:24" ht="18.75" customHeight="1" x14ac:dyDescent="0.25">
      <c r="A275" s="2047" t="s">
        <v>766</v>
      </c>
      <c r="B275" s="2045" t="s">
        <v>201</v>
      </c>
      <c r="C275" s="2043" t="s">
        <v>3484</v>
      </c>
      <c r="D275" s="978" t="s">
        <v>1819</v>
      </c>
      <c r="E275" s="978" t="s">
        <v>525</v>
      </c>
      <c r="F275" s="978" t="s">
        <v>131</v>
      </c>
      <c r="G275" s="1000" t="s">
        <v>1754</v>
      </c>
      <c r="H275" s="1001"/>
      <c r="I275" s="1001"/>
      <c r="J275" s="1001">
        <f>747742+201893</f>
        <v>949635</v>
      </c>
      <c r="K275" s="1001"/>
      <c r="L275" s="1001"/>
      <c r="M275" s="1001"/>
      <c r="N275" s="1001"/>
      <c r="O275" s="1001"/>
      <c r="P275" s="1002"/>
      <c r="Q275" s="1003"/>
      <c r="R275" s="1001"/>
      <c r="S275" s="1001"/>
      <c r="T275" s="1001">
        <f>747742+201893</f>
        <v>949635</v>
      </c>
      <c r="U275" s="1001"/>
      <c r="V275" s="1001"/>
      <c r="W275" s="1001"/>
      <c r="X275" s="1002"/>
    </row>
    <row r="276" spans="1:24" ht="18.75" customHeight="1" x14ac:dyDescent="0.25">
      <c r="A276" s="2054"/>
      <c r="B276" s="2053"/>
      <c r="C276" s="2049"/>
      <c r="D276" s="978" t="s">
        <v>1819</v>
      </c>
      <c r="E276" s="978" t="s">
        <v>573</v>
      </c>
      <c r="F276" s="978" t="s">
        <v>66</v>
      </c>
      <c r="G276" s="1000" t="s">
        <v>1754</v>
      </c>
      <c r="H276" s="1001"/>
      <c r="I276" s="1001"/>
      <c r="J276" s="1001">
        <f>3739294+366409</f>
        <v>4105703</v>
      </c>
      <c r="K276" s="1001"/>
      <c r="L276" s="1001"/>
      <c r="M276" s="1001"/>
      <c r="N276" s="1001"/>
      <c r="O276" s="1001"/>
      <c r="P276" s="1002"/>
      <c r="Q276" s="1003"/>
      <c r="R276" s="1001"/>
      <c r="S276" s="1001"/>
      <c r="T276" s="1001">
        <f>3739294+366409</f>
        <v>4105703</v>
      </c>
      <c r="U276" s="1001"/>
      <c r="V276" s="1001"/>
      <c r="W276" s="1001"/>
      <c r="X276" s="1002"/>
    </row>
    <row r="277" spans="1:24" ht="18.75" customHeight="1" x14ac:dyDescent="0.25">
      <c r="A277" s="2054"/>
      <c r="B277" s="2053"/>
      <c r="C277" s="2049"/>
      <c r="D277" s="978" t="s">
        <v>1819</v>
      </c>
      <c r="E277" s="978" t="s">
        <v>573</v>
      </c>
      <c r="F277" s="978" t="s">
        <v>153</v>
      </c>
      <c r="G277" s="1000" t="s">
        <v>1754</v>
      </c>
      <c r="H277" s="1001"/>
      <c r="I277" s="1001"/>
      <c r="J277" s="1001">
        <f>7585049+1105509</f>
        <v>8690558</v>
      </c>
      <c r="K277" s="1001"/>
      <c r="L277" s="1001"/>
      <c r="M277" s="1001"/>
      <c r="N277" s="1001"/>
      <c r="O277" s="1001"/>
      <c r="P277" s="1002"/>
      <c r="Q277" s="1003"/>
      <c r="R277" s="1001"/>
      <c r="S277" s="1001"/>
      <c r="T277" s="1001">
        <f>7585049+1105509</f>
        <v>8690558</v>
      </c>
      <c r="U277" s="1001"/>
      <c r="V277" s="1001"/>
      <c r="W277" s="1001"/>
      <c r="X277" s="1002"/>
    </row>
    <row r="278" spans="1:24" ht="18.75" customHeight="1" x14ac:dyDescent="0.25">
      <c r="A278" s="2048"/>
      <c r="B278" s="2046"/>
      <c r="C278" s="2044"/>
      <c r="D278" s="978" t="s">
        <v>1819</v>
      </c>
      <c r="E278" s="978" t="s">
        <v>573</v>
      </c>
      <c r="F278" s="978" t="s">
        <v>154</v>
      </c>
      <c r="G278" s="1000" t="s">
        <v>1754</v>
      </c>
      <c r="H278" s="1001"/>
      <c r="I278" s="1001"/>
      <c r="J278" s="1001">
        <v>234993</v>
      </c>
      <c r="K278" s="1001"/>
      <c r="L278" s="1001"/>
      <c r="M278" s="1001"/>
      <c r="N278" s="1001"/>
      <c r="O278" s="1001"/>
      <c r="P278" s="1002"/>
      <c r="Q278" s="1003"/>
      <c r="R278" s="1001"/>
      <c r="S278" s="1001"/>
      <c r="T278" s="1001">
        <v>234993</v>
      </c>
      <c r="U278" s="1001"/>
      <c r="V278" s="1001"/>
      <c r="W278" s="1001"/>
      <c r="X278" s="1002"/>
    </row>
    <row r="279" spans="1:24" ht="26.25" customHeight="1" x14ac:dyDescent="0.25">
      <c r="A279" s="1432" t="s">
        <v>767</v>
      </c>
      <c r="B279" s="1431" t="s">
        <v>202</v>
      </c>
      <c r="C279" s="1425" t="s">
        <v>3137</v>
      </c>
      <c r="D279" s="978" t="s">
        <v>1819</v>
      </c>
      <c r="E279" s="978" t="s">
        <v>168</v>
      </c>
      <c r="F279" s="978" t="s">
        <v>152</v>
      </c>
      <c r="G279" s="1000" t="s">
        <v>1754</v>
      </c>
      <c r="H279" s="1001"/>
      <c r="I279" s="1001"/>
      <c r="J279" s="1001">
        <f>1757795+474605</f>
        <v>2232400</v>
      </c>
      <c r="K279" s="1001"/>
      <c r="L279" s="1001"/>
      <c r="M279" s="1001"/>
      <c r="N279" s="1001"/>
      <c r="O279" s="1001"/>
      <c r="P279" s="1002"/>
      <c r="Q279" s="1003">
        <v>2232400</v>
      </c>
      <c r="R279" s="1001"/>
      <c r="S279" s="1001"/>
      <c r="T279" s="1001"/>
      <c r="U279" s="1001"/>
      <c r="V279" s="1001"/>
      <c r="W279" s="1001"/>
      <c r="X279" s="1002"/>
    </row>
    <row r="280" spans="1:24" ht="30.75" customHeight="1" x14ac:dyDescent="0.25">
      <c r="A280" s="1432" t="s">
        <v>768</v>
      </c>
      <c r="B280" s="1431" t="s">
        <v>203</v>
      </c>
      <c r="C280" s="1425" t="s">
        <v>2979</v>
      </c>
      <c r="D280" s="978" t="s">
        <v>1819</v>
      </c>
      <c r="E280" s="978" t="s">
        <v>572</v>
      </c>
      <c r="F280" s="978" t="s">
        <v>90</v>
      </c>
      <c r="G280" s="1000" t="s">
        <v>1766</v>
      </c>
      <c r="H280" s="1001"/>
      <c r="I280" s="1001"/>
      <c r="J280" s="1001">
        <f>1000000+270000</f>
        <v>1270000</v>
      </c>
      <c r="K280" s="1001"/>
      <c r="L280" s="1001"/>
      <c r="M280" s="1001">
        <f>-1000000-270000</f>
        <v>-1270000</v>
      </c>
      <c r="N280" s="1001"/>
      <c r="O280" s="1001"/>
      <c r="P280" s="1002"/>
      <c r="Q280" s="1003"/>
      <c r="R280" s="1001"/>
      <c r="S280" s="1001"/>
      <c r="T280" s="1001"/>
      <c r="U280" s="1001"/>
      <c r="V280" s="1001"/>
      <c r="W280" s="1001"/>
      <c r="X280" s="1002"/>
    </row>
    <row r="281" spans="1:24" ht="30" customHeight="1" x14ac:dyDescent="0.25">
      <c r="A281" s="1432" t="s">
        <v>769</v>
      </c>
      <c r="B281" s="1431" t="s">
        <v>204</v>
      </c>
      <c r="C281" s="1425" t="s">
        <v>2357</v>
      </c>
      <c r="D281" s="978" t="s">
        <v>1819</v>
      </c>
      <c r="E281" s="978" t="s">
        <v>572</v>
      </c>
      <c r="F281" s="978" t="s">
        <v>866</v>
      </c>
      <c r="G281" s="1000" t="s">
        <v>1754</v>
      </c>
      <c r="H281" s="1001"/>
      <c r="I281" s="1001"/>
      <c r="J281" s="1001">
        <f>2000000+540000</f>
        <v>2540000</v>
      </c>
      <c r="K281" s="1001"/>
      <c r="L281" s="1001"/>
      <c r="M281" s="1001"/>
      <c r="N281" s="1001"/>
      <c r="O281" s="1001"/>
      <c r="P281" s="1002"/>
      <c r="Q281" s="1003"/>
      <c r="R281" s="1001"/>
      <c r="S281" s="1001"/>
      <c r="T281" s="1001">
        <f>2000000+540000</f>
        <v>2540000</v>
      </c>
      <c r="U281" s="1001"/>
      <c r="V281" s="1001"/>
      <c r="W281" s="1001"/>
      <c r="X281" s="1002"/>
    </row>
    <row r="282" spans="1:24" ht="29.25" customHeight="1" x14ac:dyDescent="0.25">
      <c r="A282" s="1428" t="s">
        <v>770</v>
      </c>
      <c r="B282" s="1427" t="s">
        <v>231</v>
      </c>
      <c r="C282" s="1425" t="s">
        <v>3534</v>
      </c>
      <c r="D282" s="978" t="s">
        <v>1819</v>
      </c>
      <c r="E282" s="978" t="s">
        <v>573</v>
      </c>
      <c r="F282" s="978" t="s">
        <v>66</v>
      </c>
      <c r="G282" s="1000" t="s">
        <v>1766</v>
      </c>
      <c r="H282" s="1001"/>
      <c r="I282" s="1001"/>
      <c r="J282" s="1001">
        <f>-3372167+3372167</f>
        <v>0</v>
      </c>
      <c r="K282" s="1001"/>
      <c r="L282" s="1001"/>
      <c r="M282" s="1001"/>
      <c r="N282" s="1001"/>
      <c r="O282" s="1001"/>
      <c r="P282" s="1002"/>
      <c r="Q282" s="1003"/>
      <c r="R282" s="1001"/>
      <c r="S282" s="1001"/>
      <c r="T282" s="1001"/>
      <c r="U282" s="1001"/>
      <c r="V282" s="1001"/>
      <c r="W282" s="1001"/>
      <c r="X282" s="1002"/>
    </row>
    <row r="283" spans="1:24" ht="17.25" customHeight="1" x14ac:dyDescent="0.25">
      <c r="A283" s="2047" t="s">
        <v>771</v>
      </c>
      <c r="B283" s="2045" t="s">
        <v>232</v>
      </c>
      <c r="C283" s="2043" t="s">
        <v>3537</v>
      </c>
      <c r="D283" s="978" t="s">
        <v>1819</v>
      </c>
      <c r="E283" s="978" t="s">
        <v>572</v>
      </c>
      <c r="F283" s="978" t="s">
        <v>90</v>
      </c>
      <c r="G283" s="1000" t="s">
        <v>1752</v>
      </c>
      <c r="H283" s="1001"/>
      <c r="I283" s="1001"/>
      <c r="J283" s="1001">
        <f>-92451-342448</f>
        <v>-434899</v>
      </c>
      <c r="K283" s="1001"/>
      <c r="L283" s="1001"/>
      <c r="M283" s="1001"/>
      <c r="N283" s="1001"/>
      <c r="O283" s="1001"/>
      <c r="P283" s="1002"/>
      <c r="Q283" s="1003"/>
      <c r="R283" s="1001"/>
      <c r="S283" s="1001"/>
      <c r="T283" s="1001">
        <f>-92451-342409-39</f>
        <v>-434899</v>
      </c>
      <c r="U283" s="1001"/>
      <c r="V283" s="1001"/>
      <c r="W283" s="1001"/>
      <c r="X283" s="1002"/>
    </row>
    <row r="284" spans="1:24" ht="17.25" customHeight="1" x14ac:dyDescent="0.25">
      <c r="A284" s="2054"/>
      <c r="B284" s="2053"/>
      <c r="C284" s="2049"/>
      <c r="D284" s="978" t="s">
        <v>1819</v>
      </c>
      <c r="E284" s="978" t="s">
        <v>402</v>
      </c>
      <c r="F284" s="978" t="s">
        <v>150</v>
      </c>
      <c r="G284" s="1000" t="s">
        <v>1752</v>
      </c>
      <c r="H284" s="1001"/>
      <c r="I284" s="1001"/>
      <c r="J284" s="1001">
        <v>-2500</v>
      </c>
      <c r="K284" s="1001"/>
      <c r="L284" s="1001"/>
      <c r="M284" s="1001"/>
      <c r="N284" s="1001"/>
      <c r="O284" s="1001"/>
      <c r="P284" s="1002"/>
      <c r="Q284" s="1003"/>
      <c r="R284" s="1001"/>
      <c r="S284" s="1001"/>
      <c r="T284" s="1001">
        <v>-2500</v>
      </c>
      <c r="U284" s="1001"/>
      <c r="V284" s="1001"/>
      <c r="W284" s="1001"/>
      <c r="X284" s="1002"/>
    </row>
    <row r="285" spans="1:24" ht="17.25" customHeight="1" x14ac:dyDescent="0.25">
      <c r="A285" s="2054"/>
      <c r="B285" s="2053"/>
      <c r="C285" s="2049"/>
      <c r="D285" s="978" t="s">
        <v>1819</v>
      </c>
      <c r="E285" s="978" t="s">
        <v>166</v>
      </c>
      <c r="F285" s="978" t="s">
        <v>151</v>
      </c>
      <c r="G285" s="1000" t="s">
        <v>1752</v>
      </c>
      <c r="H285" s="1001"/>
      <c r="I285" s="1001"/>
      <c r="J285" s="1001">
        <v>-151860</v>
      </c>
      <c r="K285" s="1001"/>
      <c r="L285" s="1001"/>
      <c r="M285" s="1001"/>
      <c r="N285" s="1001"/>
      <c r="O285" s="1001"/>
      <c r="P285" s="1002"/>
      <c r="Q285" s="1003"/>
      <c r="R285" s="1001"/>
      <c r="S285" s="1001"/>
      <c r="T285" s="1001">
        <v>-151860</v>
      </c>
      <c r="U285" s="1001"/>
      <c r="V285" s="1001"/>
      <c r="W285" s="1001"/>
      <c r="X285" s="1002"/>
    </row>
    <row r="286" spans="1:24" ht="17.25" customHeight="1" x14ac:dyDescent="0.25">
      <c r="A286" s="2054"/>
      <c r="B286" s="2053"/>
      <c r="C286" s="2049"/>
      <c r="D286" s="978" t="s">
        <v>1819</v>
      </c>
      <c r="E286" s="978" t="s">
        <v>167</v>
      </c>
      <c r="F286" s="978" t="s">
        <v>132</v>
      </c>
      <c r="G286" s="1000" t="s">
        <v>1752</v>
      </c>
      <c r="H286" s="1001"/>
      <c r="I286" s="1001"/>
      <c r="J286" s="1001">
        <v>-321956</v>
      </c>
      <c r="K286" s="1001"/>
      <c r="L286" s="1001"/>
      <c r="M286" s="1001"/>
      <c r="N286" s="1001"/>
      <c r="O286" s="1001"/>
      <c r="P286" s="1002"/>
      <c r="Q286" s="1003"/>
      <c r="R286" s="1001"/>
      <c r="S286" s="1001"/>
      <c r="T286" s="1001">
        <f>-127748-194208</f>
        <v>-321956</v>
      </c>
      <c r="U286" s="1001"/>
      <c r="V286" s="1001"/>
      <c r="W286" s="1001"/>
      <c r="X286" s="1002"/>
    </row>
    <row r="287" spans="1:24" ht="17.25" customHeight="1" x14ac:dyDescent="0.25">
      <c r="A287" s="2054"/>
      <c r="B287" s="2053"/>
      <c r="C287" s="2049"/>
      <c r="D287" s="978" t="s">
        <v>1819</v>
      </c>
      <c r="E287" s="978" t="s">
        <v>573</v>
      </c>
      <c r="F287" s="978" t="s">
        <v>66</v>
      </c>
      <c r="G287" s="1000" t="s">
        <v>1752</v>
      </c>
      <c r="H287" s="1001"/>
      <c r="I287" s="1001"/>
      <c r="J287" s="1001">
        <f>-572042-18116</f>
        <v>-590158</v>
      </c>
      <c r="K287" s="1001"/>
      <c r="L287" s="1001"/>
      <c r="M287" s="1001"/>
      <c r="N287" s="1001"/>
      <c r="O287" s="1001"/>
      <c r="P287" s="1002"/>
      <c r="Q287" s="1003"/>
      <c r="R287" s="1001"/>
      <c r="S287" s="1001"/>
      <c r="T287" s="1001">
        <f>-67109-30933-474000-18116</f>
        <v>-590158</v>
      </c>
      <c r="U287" s="1001"/>
      <c r="V287" s="1001"/>
      <c r="W287" s="1001"/>
      <c r="X287" s="1002"/>
    </row>
    <row r="288" spans="1:24" ht="17.25" customHeight="1" x14ac:dyDescent="0.25">
      <c r="A288" s="2054"/>
      <c r="B288" s="2053"/>
      <c r="C288" s="2049"/>
      <c r="D288" s="978" t="s">
        <v>1819</v>
      </c>
      <c r="E288" s="978" t="s">
        <v>573</v>
      </c>
      <c r="F288" s="978" t="s">
        <v>153</v>
      </c>
      <c r="G288" s="1000" t="s">
        <v>1752</v>
      </c>
      <c r="H288" s="1001"/>
      <c r="I288" s="1001"/>
      <c r="J288" s="1001">
        <f>-365699-49347</f>
        <v>-415046</v>
      </c>
      <c r="K288" s="1001"/>
      <c r="L288" s="1001"/>
      <c r="M288" s="1001"/>
      <c r="N288" s="1001"/>
      <c r="O288" s="1001"/>
      <c r="P288" s="1002"/>
      <c r="Q288" s="1003"/>
      <c r="R288" s="1001"/>
      <c r="S288" s="1001"/>
      <c r="T288" s="1001">
        <f>-184000-993-76194-104512-49347</f>
        <v>-415046</v>
      </c>
      <c r="U288" s="1001"/>
      <c r="V288" s="1001"/>
      <c r="W288" s="1001"/>
      <c r="X288" s="1002"/>
    </row>
    <row r="289" spans="1:24" ht="17.25" customHeight="1" x14ac:dyDescent="0.25">
      <c r="A289" s="2054"/>
      <c r="B289" s="2053"/>
      <c r="C289" s="2049"/>
      <c r="D289" s="978" t="s">
        <v>1819</v>
      </c>
      <c r="E289" s="978" t="s">
        <v>573</v>
      </c>
      <c r="F289" s="978" t="s">
        <v>154</v>
      </c>
      <c r="G289" s="1000" t="s">
        <v>1752</v>
      </c>
      <c r="H289" s="1001"/>
      <c r="I289" s="1001"/>
      <c r="J289" s="1001">
        <f>-183862-166386</f>
        <v>-350248</v>
      </c>
      <c r="K289" s="1001"/>
      <c r="L289" s="1001"/>
      <c r="M289" s="1001"/>
      <c r="N289" s="1001"/>
      <c r="O289" s="1001"/>
      <c r="P289" s="1002"/>
      <c r="Q289" s="1003"/>
      <c r="R289" s="1001"/>
      <c r="S289" s="1001"/>
      <c r="T289" s="1001">
        <f>-166386-182-183680</f>
        <v>-350248</v>
      </c>
      <c r="U289" s="1001"/>
      <c r="V289" s="1001"/>
      <c r="W289" s="1001"/>
      <c r="X289" s="1002"/>
    </row>
    <row r="290" spans="1:24" ht="17.25" customHeight="1" x14ac:dyDescent="0.25">
      <c r="A290" s="2048"/>
      <c r="B290" s="2046"/>
      <c r="C290" s="2044"/>
      <c r="D290" s="978" t="s">
        <v>1819</v>
      </c>
      <c r="E290" s="978" t="s">
        <v>574</v>
      </c>
      <c r="F290" s="978" t="s">
        <v>165</v>
      </c>
      <c r="G290" s="1000" t="s">
        <v>1752</v>
      </c>
      <c r="H290" s="1001"/>
      <c r="I290" s="1001"/>
      <c r="J290" s="1001">
        <f>-113950-12403</f>
        <v>-126353</v>
      </c>
      <c r="K290" s="1001"/>
      <c r="L290" s="1001"/>
      <c r="M290" s="1001"/>
      <c r="N290" s="1001"/>
      <c r="O290" s="1001"/>
      <c r="P290" s="1002"/>
      <c r="Q290" s="1003"/>
      <c r="R290" s="1001"/>
      <c r="S290" s="1001"/>
      <c r="T290" s="1001">
        <f>-12403-45950-68000</f>
        <v>-126353</v>
      </c>
      <c r="U290" s="1001"/>
      <c r="V290" s="1001"/>
      <c r="W290" s="1001"/>
      <c r="X290" s="1002"/>
    </row>
    <row r="291" spans="1:24" ht="19.5" customHeight="1" x14ac:dyDescent="0.25">
      <c r="A291" s="2047" t="s">
        <v>1384</v>
      </c>
      <c r="B291" s="2045" t="s">
        <v>234</v>
      </c>
      <c r="C291" s="2043" t="s">
        <v>3537</v>
      </c>
      <c r="D291" s="978" t="s">
        <v>1819</v>
      </c>
      <c r="E291" s="978" t="s">
        <v>1762</v>
      </c>
      <c r="F291" s="978" t="s">
        <v>2705</v>
      </c>
      <c r="G291" s="1000" t="s">
        <v>1752</v>
      </c>
      <c r="H291" s="1001"/>
      <c r="I291" s="1001"/>
      <c r="J291" s="1001"/>
      <c r="K291" s="1001"/>
      <c r="L291" s="1001"/>
      <c r="M291" s="1001"/>
      <c r="N291" s="1001"/>
      <c r="O291" s="1001"/>
      <c r="P291" s="1002"/>
      <c r="Q291" s="1003"/>
      <c r="R291" s="1001"/>
      <c r="S291" s="1001"/>
      <c r="T291" s="1001">
        <f>-1000-2418-652</f>
        <v>-4070</v>
      </c>
      <c r="U291" s="1001"/>
      <c r="V291" s="1001"/>
      <c r="W291" s="1001"/>
      <c r="X291" s="1002"/>
    </row>
    <row r="292" spans="1:24" ht="19.5" customHeight="1" x14ac:dyDescent="0.25">
      <c r="A292" s="2054"/>
      <c r="B292" s="2053"/>
      <c r="C292" s="2049"/>
      <c r="D292" s="978" t="s">
        <v>1819</v>
      </c>
      <c r="E292" s="978" t="s">
        <v>573</v>
      </c>
      <c r="F292" s="978" t="s">
        <v>66</v>
      </c>
      <c r="G292" s="1000" t="s">
        <v>1754</v>
      </c>
      <c r="H292" s="1001"/>
      <c r="I292" s="1001"/>
      <c r="J292" s="1001"/>
      <c r="K292" s="1001"/>
      <c r="L292" s="1001"/>
      <c r="M292" s="1001"/>
      <c r="N292" s="1001"/>
      <c r="O292" s="1001"/>
      <c r="P292" s="1002"/>
      <c r="Q292" s="1003"/>
      <c r="R292" s="1001"/>
      <c r="S292" s="1001"/>
      <c r="T292" s="1001">
        <v>2</v>
      </c>
      <c r="U292" s="1001"/>
      <c r="V292" s="1001"/>
      <c r="W292" s="1001"/>
      <c r="X292" s="1002"/>
    </row>
    <row r="293" spans="1:24" ht="19.5" customHeight="1" x14ac:dyDescent="0.25">
      <c r="A293" s="2054"/>
      <c r="B293" s="2053"/>
      <c r="C293" s="2049"/>
      <c r="D293" s="978" t="s">
        <v>1819</v>
      </c>
      <c r="E293" s="978" t="s">
        <v>572</v>
      </c>
      <c r="F293" s="978" t="s">
        <v>866</v>
      </c>
      <c r="G293" s="1000" t="s">
        <v>1752</v>
      </c>
      <c r="H293" s="1001"/>
      <c r="I293" s="1001"/>
      <c r="J293" s="1001">
        <f>-669530-269380-100</f>
        <v>-939010</v>
      </c>
      <c r="K293" s="1001"/>
      <c r="L293" s="1001"/>
      <c r="M293" s="1001"/>
      <c r="N293" s="1001"/>
      <c r="O293" s="1001"/>
      <c r="P293" s="1002"/>
      <c r="Q293" s="1003"/>
      <c r="R293" s="1001"/>
      <c r="S293" s="1001"/>
      <c r="T293" s="1001">
        <f>-993748-3484047-100000</f>
        <v>-4577795</v>
      </c>
      <c r="U293" s="1001"/>
      <c r="V293" s="1001"/>
      <c r="W293" s="1001"/>
      <c r="X293" s="1002"/>
    </row>
    <row r="294" spans="1:24" ht="19.5" customHeight="1" x14ac:dyDescent="0.25">
      <c r="A294" s="2048"/>
      <c r="B294" s="2046"/>
      <c r="C294" s="2044"/>
      <c r="D294" s="978" t="s">
        <v>1819</v>
      </c>
      <c r="E294" s="978" t="s">
        <v>573</v>
      </c>
      <c r="F294" s="978" t="s">
        <v>153</v>
      </c>
      <c r="G294" s="1000" t="s">
        <v>1752</v>
      </c>
      <c r="H294" s="1001"/>
      <c r="I294" s="1001"/>
      <c r="J294" s="1001">
        <f>-2868388-774465</f>
        <v>-3642853</v>
      </c>
      <c r="K294" s="1001"/>
      <c r="L294" s="1001"/>
      <c r="M294" s="1001"/>
      <c r="N294" s="1001"/>
      <c r="O294" s="1001"/>
      <c r="P294" s="1002"/>
      <c r="Q294" s="1003"/>
      <c r="R294" s="1001"/>
      <c r="S294" s="1001"/>
      <c r="T294" s="1001"/>
      <c r="U294" s="1001"/>
      <c r="V294" s="1001"/>
      <c r="W294" s="1001"/>
      <c r="X294" s="1002"/>
    </row>
    <row r="295" spans="1:24" ht="21.75" customHeight="1" x14ac:dyDescent="0.25">
      <c r="A295" s="2047" t="s">
        <v>772</v>
      </c>
      <c r="B295" s="2045" t="s">
        <v>233</v>
      </c>
      <c r="C295" s="2043" t="s">
        <v>3540</v>
      </c>
      <c r="D295" s="978" t="s">
        <v>1819</v>
      </c>
      <c r="E295" s="978" t="s">
        <v>573</v>
      </c>
      <c r="F295" s="978" t="s">
        <v>153</v>
      </c>
      <c r="G295" s="1000" t="s">
        <v>1752</v>
      </c>
      <c r="H295" s="1001"/>
      <c r="I295" s="1001"/>
      <c r="J295" s="1001">
        <v>-15</v>
      </c>
      <c r="K295" s="1001"/>
      <c r="L295" s="1001"/>
      <c r="M295" s="1001"/>
      <c r="N295" s="1001"/>
      <c r="O295" s="1001"/>
      <c r="P295" s="1002"/>
      <c r="Q295" s="1003"/>
      <c r="R295" s="1001"/>
      <c r="S295" s="1001"/>
      <c r="T295" s="1001"/>
      <c r="U295" s="1001"/>
      <c r="V295" s="1001"/>
      <c r="W295" s="1001"/>
      <c r="X295" s="1002"/>
    </row>
    <row r="296" spans="1:24" ht="21.75" customHeight="1" x14ac:dyDescent="0.25">
      <c r="A296" s="2048"/>
      <c r="B296" s="2046"/>
      <c r="C296" s="2044"/>
      <c r="D296" s="978" t="s">
        <v>1819</v>
      </c>
      <c r="E296" s="978" t="s">
        <v>1762</v>
      </c>
      <c r="F296" s="978" t="s">
        <v>2705</v>
      </c>
      <c r="G296" s="1000" t="s">
        <v>1754</v>
      </c>
      <c r="H296" s="1001"/>
      <c r="I296" s="1001"/>
      <c r="J296" s="1001">
        <v>15</v>
      </c>
      <c r="K296" s="1001"/>
      <c r="L296" s="1001"/>
      <c r="M296" s="1001"/>
      <c r="N296" s="1001"/>
      <c r="O296" s="1001"/>
      <c r="P296" s="1002"/>
      <c r="Q296" s="1003"/>
      <c r="R296" s="1001"/>
      <c r="S296" s="1001"/>
      <c r="T296" s="1001"/>
      <c r="U296" s="1001"/>
      <c r="V296" s="1001"/>
      <c r="W296" s="1001"/>
      <c r="X296" s="1002"/>
    </row>
    <row r="297" spans="1:24" x14ac:dyDescent="0.25">
      <c r="A297" s="1429"/>
      <c r="B297" s="1430"/>
      <c r="C297" s="982"/>
      <c r="D297" s="978"/>
      <c r="E297" s="978"/>
      <c r="F297" s="978"/>
      <c r="G297" s="1000"/>
      <c r="H297" s="1001"/>
      <c r="I297" s="1001"/>
      <c r="J297" s="1001"/>
      <c r="K297" s="1001"/>
      <c r="L297" s="1001"/>
      <c r="M297" s="1001"/>
      <c r="N297" s="1001"/>
      <c r="O297" s="1001"/>
      <c r="P297" s="1002"/>
      <c r="Q297" s="1003"/>
      <c r="R297" s="1001"/>
      <c r="S297" s="1001"/>
      <c r="T297" s="1001"/>
      <c r="U297" s="1001"/>
      <c r="V297" s="1001"/>
      <c r="W297" s="1001"/>
      <c r="X297" s="1002"/>
    </row>
    <row r="298" spans="1:24" ht="18.75" x14ac:dyDescent="0.3">
      <c r="A298" s="2021" t="s">
        <v>1663</v>
      </c>
      <c r="B298" s="2022"/>
      <c r="C298" s="2022"/>
      <c r="D298" s="956"/>
      <c r="E298" s="956"/>
      <c r="F298" s="956"/>
      <c r="G298" s="956"/>
      <c r="H298" s="1595">
        <f t="shared" ref="H298:X298" si="3">SUM(H212:H297)+H192</f>
        <v>4821008</v>
      </c>
      <c r="I298" s="1595">
        <f t="shared" si="3"/>
        <v>503750</v>
      </c>
      <c r="J298" s="1595">
        <f t="shared" si="3"/>
        <v>119888367</v>
      </c>
      <c r="K298" s="1595">
        <f t="shared" si="3"/>
        <v>0</v>
      </c>
      <c r="L298" s="1595">
        <f t="shared" si="3"/>
        <v>63201781</v>
      </c>
      <c r="M298" s="1595">
        <f t="shared" si="3"/>
        <v>-1322282</v>
      </c>
      <c r="N298" s="1595">
        <f t="shared" si="3"/>
        <v>0</v>
      </c>
      <c r="O298" s="1595">
        <f t="shared" si="3"/>
        <v>0</v>
      </c>
      <c r="P298" s="1596">
        <f t="shared" si="3"/>
        <v>0</v>
      </c>
      <c r="Q298" s="1597">
        <f t="shared" si="3"/>
        <v>22232400</v>
      </c>
      <c r="R298" s="1595">
        <f t="shared" si="3"/>
        <v>0</v>
      </c>
      <c r="S298" s="1595">
        <f t="shared" si="3"/>
        <v>0</v>
      </c>
      <c r="T298" s="1595">
        <f t="shared" si="3"/>
        <v>74948481</v>
      </c>
      <c r="U298" s="1595">
        <f t="shared" si="3"/>
        <v>5000</v>
      </c>
      <c r="V298" s="1595">
        <f t="shared" si="3"/>
        <v>0</v>
      </c>
      <c r="W298" s="1595">
        <f t="shared" si="3"/>
        <v>0</v>
      </c>
      <c r="X298" s="1596">
        <f t="shared" si="3"/>
        <v>89906743</v>
      </c>
    </row>
    <row r="299" spans="1:24" ht="17.25" customHeight="1" x14ac:dyDescent="0.25">
      <c r="H299" s="995">
        <f>'2.6 sz. Területi'!AQ9-'2.6 sz. Területi'!AP9</f>
        <v>4821008</v>
      </c>
      <c r="I299" s="995">
        <f>'2.6 sz. Területi'!AQ10-'2.6 sz. Területi'!AP10</f>
        <v>503750</v>
      </c>
      <c r="J299" s="995">
        <f>'2.6 sz. Területi'!AQ11-'2.6 sz. Területi'!AP11</f>
        <v>119888367</v>
      </c>
      <c r="K299" s="995">
        <f>'2.6 sz. Területi'!AQ12-'2.6 sz. Területi'!AP12</f>
        <v>0</v>
      </c>
      <c r="L299" s="995">
        <f>'2.6 sz. Területi'!AQ13-'2.6 sz. Területi'!AP13</f>
        <v>63201781</v>
      </c>
      <c r="M299" s="995">
        <f>'2.6 sz. Területi'!AQ17-'2.6 sz. Területi'!AP17</f>
        <v>-1322282</v>
      </c>
      <c r="N299" s="995">
        <f>'2.6 sz. Területi'!AQ18-'2.6 sz. Területi'!AP18</f>
        <v>0</v>
      </c>
      <c r="O299" s="995">
        <f>'2.6 sz. Területi'!AQ19-'2.6 sz. Területi'!AP19</f>
        <v>0</v>
      </c>
      <c r="P299" s="995">
        <f>'2.6 sz. Területi'!AQ22-'2.6 sz. Területi'!AP22</f>
        <v>0</v>
      </c>
      <c r="Q299" s="995">
        <f>'2.6 sz. Területi'!AQ31-'2.6 sz. Területi'!AP31</f>
        <v>22232400</v>
      </c>
      <c r="R299" s="995">
        <f>'2.6 sz. Területi'!AQ32-'2.6 sz. Területi'!AP32</f>
        <v>0</v>
      </c>
      <c r="S299" s="995">
        <f>'2.6 sz. Területi'!AQ33-'2.6 sz. Területi'!AP33</f>
        <v>0</v>
      </c>
      <c r="T299" s="995">
        <f>'2.6 sz. Területi'!AQ34-'2.6 sz. Területi'!AP34</f>
        <v>74948481</v>
      </c>
      <c r="U299" s="995">
        <f>'2.6 sz. Területi'!AQ35-'2.6 sz. Területi'!AP35</f>
        <v>5000</v>
      </c>
      <c r="V299" s="995">
        <f>'2.6 sz. Területi'!AQ36-'2.6 sz. Területi'!AP36</f>
        <v>0</v>
      </c>
      <c r="W299" s="995">
        <f>'2.6 sz. Területi'!AQ37-'2.6 sz. Területi'!AP37</f>
        <v>0</v>
      </c>
      <c r="X299" s="995">
        <f>'2.6 sz. Területi'!AQ39-'2.6 sz. Területi'!AP39</f>
        <v>89906743</v>
      </c>
    </row>
    <row r="300" spans="1:24" ht="18" customHeight="1" x14ac:dyDescent="0.25">
      <c r="H300" s="995">
        <f t="shared" ref="H300:P300" si="4">+H299-H298</f>
        <v>0</v>
      </c>
      <c r="I300" s="995">
        <f t="shared" si="4"/>
        <v>0</v>
      </c>
      <c r="J300" s="995">
        <f t="shared" si="4"/>
        <v>0</v>
      </c>
      <c r="K300" s="995">
        <f t="shared" si="4"/>
        <v>0</v>
      </c>
      <c r="L300" s="995">
        <f t="shared" si="4"/>
        <v>0</v>
      </c>
      <c r="M300" s="995">
        <f t="shared" si="4"/>
        <v>0</v>
      </c>
      <c r="N300" s="995">
        <f t="shared" si="4"/>
        <v>0</v>
      </c>
      <c r="O300" s="995">
        <f t="shared" si="4"/>
        <v>0</v>
      </c>
      <c r="P300" s="995">
        <f t="shared" si="4"/>
        <v>0</v>
      </c>
      <c r="Q300" s="995">
        <f t="shared" ref="Q300:X300" si="5">+Q299-Q298</f>
        <v>0</v>
      </c>
      <c r="R300" s="995">
        <f t="shared" si="5"/>
        <v>0</v>
      </c>
      <c r="S300" s="995">
        <f t="shared" si="5"/>
        <v>0</v>
      </c>
      <c r="T300" s="995">
        <f t="shared" si="5"/>
        <v>0</v>
      </c>
      <c r="U300" s="995">
        <f t="shared" si="5"/>
        <v>0</v>
      </c>
      <c r="V300" s="995">
        <f t="shared" si="5"/>
        <v>0</v>
      </c>
      <c r="W300" s="995">
        <f t="shared" si="5"/>
        <v>0</v>
      </c>
      <c r="X300" s="995">
        <f t="shared" si="5"/>
        <v>0</v>
      </c>
    </row>
    <row r="301" spans="1:24" x14ac:dyDescent="0.25">
      <c r="Q301" s="968"/>
    </row>
    <row r="302" spans="1:24" ht="16.5" customHeight="1" x14ac:dyDescent="0.25">
      <c r="Q302" s="968"/>
    </row>
    <row r="303" spans="1:24" ht="21.75" customHeight="1" x14ac:dyDescent="0.25">
      <c r="I303" s="2042" t="s">
        <v>1664</v>
      </c>
      <c r="J303" s="2042"/>
      <c r="K303" s="2042"/>
      <c r="L303" s="2042">
        <v>1082738514</v>
      </c>
      <c r="M303" s="2042"/>
      <c r="N303" s="996"/>
      <c r="O303" s="996"/>
      <c r="P303" s="996"/>
      <c r="Q303" s="996"/>
      <c r="R303" s="2042" t="s">
        <v>1665</v>
      </c>
      <c r="S303" s="2042"/>
      <c r="T303" s="2042"/>
      <c r="U303" s="2042">
        <v>1082738514</v>
      </c>
      <c r="V303" s="2042"/>
    </row>
    <row r="304" spans="1:24" ht="21" customHeight="1" x14ac:dyDescent="0.25">
      <c r="I304" s="2042" t="s">
        <v>1666</v>
      </c>
      <c r="J304" s="2042"/>
      <c r="K304" s="2042"/>
      <c r="L304" s="2042">
        <f>SUM(H298:P298)</f>
        <v>187092624</v>
      </c>
      <c r="M304" s="2042"/>
      <c r="N304" s="996"/>
      <c r="O304" s="996"/>
      <c r="P304" s="996"/>
      <c r="Q304" s="996"/>
      <c r="R304" s="2042" t="s">
        <v>1666</v>
      </c>
      <c r="S304" s="2042"/>
      <c r="T304" s="2042"/>
      <c r="U304" s="2042">
        <f>SUM(Q298:X298)</f>
        <v>187092624</v>
      </c>
      <c r="V304" s="2042"/>
    </row>
    <row r="305" spans="9:22" ht="21" customHeight="1" x14ac:dyDescent="0.25">
      <c r="I305" s="2042" t="s">
        <v>1512</v>
      </c>
      <c r="J305" s="2042"/>
      <c r="K305" s="2042"/>
      <c r="L305" s="2042">
        <f>+L303+L304</f>
        <v>1269831138</v>
      </c>
      <c r="M305" s="2042"/>
      <c r="N305" s="996"/>
      <c r="O305" s="996"/>
      <c r="P305" s="996"/>
      <c r="Q305" s="996"/>
      <c r="R305" s="2042" t="s">
        <v>1512</v>
      </c>
      <c r="S305" s="2042"/>
      <c r="T305" s="2042"/>
      <c r="U305" s="2042">
        <f>+U303+U304</f>
        <v>1269831138</v>
      </c>
      <c r="V305" s="2042"/>
    </row>
    <row r="306" spans="9:22" x14ac:dyDescent="0.25">
      <c r="Q306" s="968"/>
    </row>
    <row r="307" spans="9:22" x14ac:dyDescent="0.25">
      <c r="Q307" s="968"/>
    </row>
  </sheetData>
  <mergeCells count="234">
    <mergeCell ref="B275:B278"/>
    <mergeCell ref="A212:A213"/>
    <mergeCell ref="C215:C224"/>
    <mergeCell ref="B215:B224"/>
    <mergeCell ref="C212:C213"/>
    <mergeCell ref="B212:B213"/>
    <mergeCell ref="B236:B237"/>
    <mergeCell ref="A236:A237"/>
    <mergeCell ref="C240:C248"/>
    <mergeCell ref="C249:C253"/>
    <mergeCell ref="B249:B253"/>
    <mergeCell ref="A249:A253"/>
    <mergeCell ref="A215:A224"/>
    <mergeCell ref="C272:C273"/>
    <mergeCell ref="B272:B273"/>
    <mergeCell ref="A272:A273"/>
    <mergeCell ref="C264:C265"/>
    <mergeCell ref="B264:B265"/>
    <mergeCell ref="A264:A265"/>
    <mergeCell ref="C266:C267"/>
    <mergeCell ref="B266:B267"/>
    <mergeCell ref="A266:A267"/>
    <mergeCell ref="C268:C269"/>
    <mergeCell ref="B268:B269"/>
    <mergeCell ref="C183:C185"/>
    <mergeCell ref="B183:B185"/>
    <mergeCell ref="A183:A185"/>
    <mergeCell ref="A205:X205"/>
    <mergeCell ref="A208:X208"/>
    <mergeCell ref="A210:A211"/>
    <mergeCell ref="B210:B211"/>
    <mergeCell ref="Q210:X210"/>
    <mergeCell ref="C210:C211"/>
    <mergeCell ref="D210:D211"/>
    <mergeCell ref="E210:E211"/>
    <mergeCell ref="F210:F211"/>
    <mergeCell ref="G210:G211"/>
    <mergeCell ref="H210:O210"/>
    <mergeCell ref="U198:V198"/>
    <mergeCell ref="R198:T198"/>
    <mergeCell ref="A166:A167"/>
    <mergeCell ref="C170:C176"/>
    <mergeCell ref="B170:B176"/>
    <mergeCell ref="A170:A176"/>
    <mergeCell ref="C179:C180"/>
    <mergeCell ref="B179:B180"/>
    <mergeCell ref="A179:A180"/>
    <mergeCell ref="C181:C182"/>
    <mergeCell ref="B181:B182"/>
    <mergeCell ref="A177:A178"/>
    <mergeCell ref="C177:C178"/>
    <mergeCell ref="B177:B178"/>
    <mergeCell ref="A181:A182"/>
    <mergeCell ref="C146:C153"/>
    <mergeCell ref="A155:A156"/>
    <mergeCell ref="C157:C158"/>
    <mergeCell ref="B157:B158"/>
    <mergeCell ref="A157:A158"/>
    <mergeCell ref="B146:B153"/>
    <mergeCell ref="A146:A153"/>
    <mergeCell ref="C155:C156"/>
    <mergeCell ref="B155:B156"/>
    <mergeCell ref="C93:C98"/>
    <mergeCell ref="C86:C87"/>
    <mergeCell ref="B86:B87"/>
    <mergeCell ref="A86:A87"/>
    <mergeCell ref="B93:B98"/>
    <mergeCell ref="A93:A98"/>
    <mergeCell ref="C159:C161"/>
    <mergeCell ref="B159:B161"/>
    <mergeCell ref="A159:A161"/>
    <mergeCell ref="C108:C114"/>
    <mergeCell ref="B108:B114"/>
    <mergeCell ref="A108:A114"/>
    <mergeCell ref="C102:C103"/>
    <mergeCell ref="B102:B103"/>
    <mergeCell ref="A102:A103"/>
    <mergeCell ref="C105:C106"/>
    <mergeCell ref="B105:B106"/>
    <mergeCell ref="A105:A106"/>
    <mergeCell ref="B119:B120"/>
    <mergeCell ref="A139:A140"/>
    <mergeCell ref="B139:B140"/>
    <mergeCell ref="C139:C140"/>
    <mergeCell ref="C142:C143"/>
    <mergeCell ref="B142:B143"/>
    <mergeCell ref="R51:T51"/>
    <mergeCell ref="C78:C82"/>
    <mergeCell ref="I52:K52"/>
    <mergeCell ref="L52:M52"/>
    <mergeCell ref="R52:T52"/>
    <mergeCell ref="U52:V52"/>
    <mergeCell ref="U51:V51"/>
    <mergeCell ref="B78:B82"/>
    <mergeCell ref="A78:A82"/>
    <mergeCell ref="U50:V50"/>
    <mergeCell ref="C166:C167"/>
    <mergeCell ref="B166:B167"/>
    <mergeCell ref="A46:C46"/>
    <mergeCell ref="C65:C75"/>
    <mergeCell ref="B65:B75"/>
    <mergeCell ref="A65:A75"/>
    <mergeCell ref="C76:C77"/>
    <mergeCell ref="B76:B77"/>
    <mergeCell ref="A76:A77"/>
    <mergeCell ref="C63:C64"/>
    <mergeCell ref="B63:B64"/>
    <mergeCell ref="A63:A64"/>
    <mergeCell ref="A56:X56"/>
    <mergeCell ref="A59:X59"/>
    <mergeCell ref="A61:A62"/>
    <mergeCell ref="B61:B62"/>
    <mergeCell ref="C61:C62"/>
    <mergeCell ref="D61:D62"/>
    <mergeCell ref="E61:E62"/>
    <mergeCell ref="F61:F62"/>
    <mergeCell ref="G61:G62"/>
    <mergeCell ref="H61:O61"/>
    <mergeCell ref="Q61:X61"/>
    <mergeCell ref="C7:C14"/>
    <mergeCell ref="B7:B14"/>
    <mergeCell ref="A7:A14"/>
    <mergeCell ref="C15:C18"/>
    <mergeCell ref="B15:B18"/>
    <mergeCell ref="A15:A18"/>
    <mergeCell ref="I51:K51"/>
    <mergeCell ref="L51:M51"/>
    <mergeCell ref="I50:K50"/>
    <mergeCell ref="L50:M50"/>
    <mergeCell ref="A38:A41"/>
    <mergeCell ref="C33:C34"/>
    <mergeCell ref="B33:B34"/>
    <mergeCell ref="A33:A34"/>
    <mergeCell ref="C27:C32"/>
    <mergeCell ref="B27:B32"/>
    <mergeCell ref="A27:A32"/>
    <mergeCell ref="R50:T50"/>
    <mergeCell ref="C19:C22"/>
    <mergeCell ref="B19:B22"/>
    <mergeCell ref="A19:A22"/>
    <mergeCell ref="C23:C25"/>
    <mergeCell ref="B23:B25"/>
    <mergeCell ref="A23:A25"/>
    <mergeCell ref="C38:C41"/>
    <mergeCell ref="B38:B41"/>
    <mergeCell ref="A1:X1"/>
    <mergeCell ref="A3:X3"/>
    <mergeCell ref="A5:A6"/>
    <mergeCell ref="B5:B6"/>
    <mergeCell ref="C5:C6"/>
    <mergeCell ref="D5:D6"/>
    <mergeCell ref="E5:E6"/>
    <mergeCell ref="F5:F6"/>
    <mergeCell ref="G5:G6"/>
    <mergeCell ref="H5:O5"/>
    <mergeCell ref="Q5:X5"/>
    <mergeCell ref="I129:K129"/>
    <mergeCell ref="L129:M129"/>
    <mergeCell ref="I128:K128"/>
    <mergeCell ref="A122:C122"/>
    <mergeCell ref="I127:K127"/>
    <mergeCell ref="A119:A120"/>
    <mergeCell ref="A134:X134"/>
    <mergeCell ref="A137:X137"/>
    <mergeCell ref="R129:T129"/>
    <mergeCell ref="U129:V129"/>
    <mergeCell ref="L127:M127"/>
    <mergeCell ref="R127:T127"/>
    <mergeCell ref="U127:V127"/>
    <mergeCell ref="L128:M128"/>
    <mergeCell ref="R128:T128"/>
    <mergeCell ref="U128:V128"/>
    <mergeCell ref="C119:C120"/>
    <mergeCell ref="H139:O139"/>
    <mergeCell ref="Q139:X139"/>
    <mergeCell ref="C164:C165"/>
    <mergeCell ref="B164:B165"/>
    <mergeCell ref="I199:K199"/>
    <mergeCell ref="L199:M199"/>
    <mergeCell ref="R199:T199"/>
    <mergeCell ref="U199:V199"/>
    <mergeCell ref="A192:C192"/>
    <mergeCell ref="I197:K197"/>
    <mergeCell ref="L197:M197"/>
    <mergeCell ref="R197:T197"/>
    <mergeCell ref="U197:V197"/>
    <mergeCell ref="I198:K198"/>
    <mergeCell ref="L198:M198"/>
    <mergeCell ref="A164:A165"/>
    <mergeCell ref="A142:A143"/>
    <mergeCell ref="C144:C145"/>
    <mergeCell ref="B144:B145"/>
    <mergeCell ref="A144:A145"/>
    <mergeCell ref="D139:D140"/>
    <mergeCell ref="E139:E140"/>
    <mergeCell ref="F139:F140"/>
    <mergeCell ref="G139:G140"/>
    <mergeCell ref="A268:A269"/>
    <mergeCell ref="C226:C229"/>
    <mergeCell ref="B226:B229"/>
    <mergeCell ref="A226:A229"/>
    <mergeCell ref="C230:C234"/>
    <mergeCell ref="B230:B234"/>
    <mergeCell ref="A230:A234"/>
    <mergeCell ref="C236:C237"/>
    <mergeCell ref="C255:C263"/>
    <mergeCell ref="B255:B263"/>
    <mergeCell ref="A255:A263"/>
    <mergeCell ref="B240:B248"/>
    <mergeCell ref="A240:A248"/>
    <mergeCell ref="A275:A278"/>
    <mergeCell ref="C283:C290"/>
    <mergeCell ref="B283:B290"/>
    <mergeCell ref="A283:A290"/>
    <mergeCell ref="R304:T304"/>
    <mergeCell ref="U304:V304"/>
    <mergeCell ref="I305:K305"/>
    <mergeCell ref="L305:M305"/>
    <mergeCell ref="R305:T305"/>
    <mergeCell ref="U305:V305"/>
    <mergeCell ref="A298:C298"/>
    <mergeCell ref="I303:K303"/>
    <mergeCell ref="L303:M303"/>
    <mergeCell ref="R303:T303"/>
    <mergeCell ref="U303:V303"/>
    <mergeCell ref="I304:K304"/>
    <mergeCell ref="L304:M304"/>
    <mergeCell ref="C291:C294"/>
    <mergeCell ref="B291:B294"/>
    <mergeCell ref="A291:A294"/>
    <mergeCell ref="C295:C296"/>
    <mergeCell ref="B295:B296"/>
    <mergeCell ref="A295:A296"/>
    <mergeCell ref="C275:C278"/>
  </mergeCells>
  <printOptions horizontalCentered="1" verticalCentered="1"/>
  <pageMargins left="0.31496062992125984" right="0.31496062992125984" top="0.35433070866141736" bottom="0.35433070866141736" header="0.31496062992125984" footer="0.31496062992125984"/>
  <pageSetup paperSize="9" scale="47" orientation="landscape" r:id="rId1"/>
  <headerFooter>
    <oddHeader>&amp;R&amp;A</oddHeader>
    <oddFooter>&amp;C&amp;P/&amp;N</oddFooter>
  </headerFooter>
  <rowBreaks count="6" manualBreakCount="6">
    <brk id="52" max="23" man="1"/>
    <brk id="99" max="23" man="1"/>
    <brk id="145" max="23" man="1"/>
    <brk id="199" max="23" man="1"/>
    <brk id="248" max="23" man="1"/>
    <brk id="305" max="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51"/>
  <sheetViews>
    <sheetView view="pageBreakPreview" zoomScale="80" zoomScaleNormal="71" zoomScaleSheetLayoutView="80" workbookViewId="0">
      <pane xSplit="3" ySplit="8" topLeftCell="G9" activePane="bottomRight" state="frozen"/>
      <selection pane="topRight" activeCell="D1" sqref="D1"/>
      <selection pane="bottomLeft" activeCell="A8" sqref="A8"/>
      <selection pane="bottomRight" activeCell="G11" sqref="G11"/>
    </sheetView>
  </sheetViews>
  <sheetFormatPr defaultColWidth="9.140625" defaultRowHeight="12.75" x14ac:dyDescent="0.2"/>
  <cols>
    <col min="1" max="1" width="7.140625" style="21" customWidth="1"/>
    <col min="2" max="2" width="68.42578125" style="21" customWidth="1"/>
    <col min="3" max="3" width="7.42578125" style="135" customWidth="1"/>
    <col min="4" max="4" width="18.28515625" style="22" customWidth="1"/>
    <col min="5" max="5" width="16.85546875" style="22" customWidth="1"/>
    <col min="6" max="6" width="18.5703125" style="22" customWidth="1"/>
    <col min="7" max="7" width="17.85546875" style="22" customWidth="1"/>
    <col min="8" max="8" width="21.5703125" style="22" customWidth="1"/>
    <col min="9" max="9" width="21.7109375" style="22" customWidth="1"/>
    <col min="10" max="11" width="21" style="22" customWidth="1"/>
    <col min="12" max="17" width="21.7109375" style="22" customWidth="1"/>
    <col min="18" max="19" width="19" style="22" customWidth="1"/>
    <col min="20" max="20" width="22.140625" style="22" customWidth="1"/>
    <col min="21" max="21" width="22.5703125" style="21" customWidth="1"/>
    <col min="22" max="22" width="11.7109375" style="21" bestFit="1" customWidth="1"/>
    <col min="23" max="16384" width="9.140625" style="21"/>
  </cols>
  <sheetData>
    <row r="1" spans="1:22" ht="15.75" x14ac:dyDescent="0.25">
      <c r="G1" s="177" t="s">
        <v>444</v>
      </c>
      <c r="K1" s="177" t="s">
        <v>444</v>
      </c>
      <c r="O1" s="177" t="s">
        <v>444</v>
      </c>
      <c r="S1" s="177" t="s">
        <v>444</v>
      </c>
      <c r="U1" s="177" t="s">
        <v>444</v>
      </c>
    </row>
    <row r="2" spans="1:22" ht="29.25" customHeight="1" x14ac:dyDescent="0.25">
      <c r="A2" s="736"/>
      <c r="B2" s="737"/>
      <c r="C2" s="738"/>
      <c r="D2" s="1668" t="s">
        <v>1616</v>
      </c>
      <c r="E2" s="1669"/>
      <c r="F2" s="1669"/>
      <c r="G2" s="1670"/>
      <c r="H2" s="1668" t="s">
        <v>1616</v>
      </c>
      <c r="I2" s="1669"/>
      <c r="J2" s="1669"/>
      <c r="K2" s="1670"/>
      <c r="L2" s="1652" t="s">
        <v>1616</v>
      </c>
      <c r="M2" s="1652"/>
      <c r="N2" s="1652"/>
      <c r="O2" s="1652"/>
      <c r="P2" s="1652" t="s">
        <v>1616</v>
      </c>
      <c r="Q2" s="1652"/>
      <c r="R2" s="1652"/>
      <c r="S2" s="1652"/>
      <c r="T2" s="1671" t="s">
        <v>1616</v>
      </c>
      <c r="U2" s="1671"/>
    </row>
    <row r="3" spans="1:22" ht="36.75" customHeight="1" x14ac:dyDescent="0.2">
      <c r="A3" s="1658" t="s">
        <v>136</v>
      </c>
      <c r="B3" s="1659"/>
      <c r="C3" s="166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c r="T3" s="1554" t="s">
        <v>279</v>
      </c>
      <c r="U3" s="1554" t="s">
        <v>1512</v>
      </c>
    </row>
    <row r="4" spans="1:22" ht="104.25" customHeight="1" x14ac:dyDescent="0.2">
      <c r="A4" s="1666" t="s">
        <v>192</v>
      </c>
      <c r="B4" s="1667" t="s">
        <v>250</v>
      </c>
      <c r="C4" s="1667"/>
      <c r="D4" s="1552" t="s">
        <v>501</v>
      </c>
      <c r="E4" s="1552" t="s">
        <v>501</v>
      </c>
      <c r="F4" s="1552" t="s">
        <v>341</v>
      </c>
      <c r="G4" s="1552" t="s">
        <v>341</v>
      </c>
      <c r="H4" s="1553" t="s">
        <v>342</v>
      </c>
      <c r="I4" s="1553" t="s">
        <v>342</v>
      </c>
      <c r="J4" s="1552" t="s">
        <v>341</v>
      </c>
      <c r="K4" s="1552" t="s">
        <v>341</v>
      </c>
      <c r="L4" s="1552" t="s">
        <v>341</v>
      </c>
      <c r="M4" s="1552" t="s">
        <v>341</v>
      </c>
      <c r="N4" s="1552" t="s">
        <v>184</v>
      </c>
      <c r="O4" s="1552" t="s">
        <v>184</v>
      </c>
      <c r="P4" s="1552" t="s">
        <v>341</v>
      </c>
      <c r="Q4" s="1552" t="s">
        <v>341</v>
      </c>
      <c r="R4" s="1552" t="s">
        <v>341</v>
      </c>
      <c r="S4" s="1552" t="s">
        <v>341</v>
      </c>
      <c r="T4" s="1654" t="s">
        <v>138</v>
      </c>
      <c r="U4" s="1654" t="s">
        <v>138</v>
      </c>
    </row>
    <row r="5" spans="1:22" ht="25.5" customHeight="1" x14ac:dyDescent="0.2">
      <c r="A5" s="1666"/>
      <c r="B5" s="1667" t="s">
        <v>11</v>
      </c>
      <c r="C5" s="1667"/>
      <c r="D5" s="1552" t="s">
        <v>228</v>
      </c>
      <c r="E5" s="1552" t="s">
        <v>228</v>
      </c>
      <c r="F5" s="1552" t="s">
        <v>228</v>
      </c>
      <c r="G5" s="1552" t="s">
        <v>228</v>
      </c>
      <c r="H5" s="1552" t="s">
        <v>228</v>
      </c>
      <c r="I5" s="1552" t="s">
        <v>228</v>
      </c>
      <c r="J5" s="1553" t="s">
        <v>228</v>
      </c>
      <c r="K5" s="1553" t="s">
        <v>228</v>
      </c>
      <c r="L5" s="1553" t="s">
        <v>228</v>
      </c>
      <c r="M5" s="1553" t="s">
        <v>228</v>
      </c>
      <c r="N5" s="1553" t="s">
        <v>228</v>
      </c>
      <c r="O5" s="1553" t="s">
        <v>228</v>
      </c>
      <c r="P5" s="1553" t="s">
        <v>228</v>
      </c>
      <c r="Q5" s="1553" t="s">
        <v>228</v>
      </c>
      <c r="R5" s="1553" t="s">
        <v>228</v>
      </c>
      <c r="S5" s="1553" t="s">
        <v>228</v>
      </c>
      <c r="T5" s="1654"/>
      <c r="U5" s="1654"/>
    </row>
    <row r="6" spans="1:22" ht="15.75" customHeight="1" x14ac:dyDescent="0.2">
      <c r="A6" s="1666"/>
      <c r="B6" s="1634" t="s">
        <v>741</v>
      </c>
      <c r="C6" s="1634"/>
      <c r="D6" s="1657" t="s">
        <v>408</v>
      </c>
      <c r="E6" s="1657" t="s">
        <v>355</v>
      </c>
      <c r="F6" s="1657" t="s">
        <v>409</v>
      </c>
      <c r="G6" s="1657" t="s">
        <v>1590</v>
      </c>
      <c r="H6" s="1657" t="s">
        <v>784</v>
      </c>
      <c r="I6" s="1657" t="s">
        <v>1591</v>
      </c>
      <c r="J6" s="1657" t="s">
        <v>870</v>
      </c>
      <c r="K6" s="1657" t="s">
        <v>1592</v>
      </c>
      <c r="L6" s="1657" t="s">
        <v>869</v>
      </c>
      <c r="M6" s="1657" t="s">
        <v>1593</v>
      </c>
      <c r="N6" s="1657" t="s">
        <v>892</v>
      </c>
      <c r="O6" s="1657" t="s">
        <v>892</v>
      </c>
      <c r="P6" s="1672" t="s">
        <v>1267</v>
      </c>
      <c r="Q6" s="1672" t="s">
        <v>1267</v>
      </c>
      <c r="R6" s="1653" t="s">
        <v>515</v>
      </c>
      <c r="S6" s="1653" t="s">
        <v>515</v>
      </c>
      <c r="T6" s="1654"/>
      <c r="U6" s="1654"/>
    </row>
    <row r="7" spans="1:22" ht="116.25" customHeight="1" x14ac:dyDescent="0.2">
      <c r="A7" s="1666"/>
      <c r="B7" s="1551" t="s">
        <v>193</v>
      </c>
      <c r="C7" s="134" t="s">
        <v>251</v>
      </c>
      <c r="D7" s="1657"/>
      <c r="E7" s="1657"/>
      <c r="F7" s="1657"/>
      <c r="G7" s="1657"/>
      <c r="H7" s="1657"/>
      <c r="I7" s="1657"/>
      <c r="J7" s="1657"/>
      <c r="K7" s="1657"/>
      <c r="L7" s="1657"/>
      <c r="M7" s="1657"/>
      <c r="N7" s="1657"/>
      <c r="O7" s="1657"/>
      <c r="P7" s="1673"/>
      <c r="Q7" s="1673"/>
      <c r="R7" s="1653"/>
      <c r="S7" s="1653"/>
      <c r="T7" s="1654"/>
      <c r="U7" s="1654"/>
    </row>
    <row r="8" spans="1:22"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c r="P8" s="385" t="s">
        <v>235</v>
      </c>
      <c r="Q8" s="385" t="s">
        <v>236</v>
      </c>
      <c r="R8" s="385" t="s">
        <v>237</v>
      </c>
      <c r="S8" s="385" t="s">
        <v>238</v>
      </c>
      <c r="T8" s="385" t="s">
        <v>239</v>
      </c>
      <c r="U8" s="385" t="s">
        <v>266</v>
      </c>
    </row>
    <row r="9" spans="1:22" ht="21.75" customHeight="1" x14ac:dyDescent="0.25">
      <c r="A9" s="26" t="s">
        <v>194</v>
      </c>
      <c r="B9" s="23" t="s">
        <v>335</v>
      </c>
      <c r="C9" s="136" t="s">
        <v>205</v>
      </c>
      <c r="D9" s="179"/>
      <c r="E9" s="179"/>
      <c r="F9" s="179">
        <v>264996841</v>
      </c>
      <c r="G9" s="179">
        <f>264996841-1095854-1076873-1125327-1523029+375000+4600000-1127577-1125327-979496-755827+4000-880315+143000-20497175+18725000+143000-902338+143000-1118064+143000</f>
        <v>257065639</v>
      </c>
      <c r="H9" s="179"/>
      <c r="I9" s="179">
        <f>690344+8239+37271+360000+682384+34489+360000+743588+21739+360000+709790+400000+23239+390000+200000+743588+23989+360000+743588+21739+360000+674551+33739+48326+222880+743588+8239+695213+8239+33863+625581+800000+20989+82605+100000+743588+15750+926825+23239+25000</f>
        <v>13106202</v>
      </c>
      <c r="J9" s="179"/>
      <c r="K9" s="179">
        <v>176850</v>
      </c>
      <c r="L9" s="179"/>
      <c r="M9" s="179"/>
      <c r="N9" s="179"/>
      <c r="O9" s="179"/>
      <c r="P9" s="179"/>
      <c r="Q9" s="179"/>
      <c r="R9" s="179"/>
      <c r="S9" s="179"/>
      <c r="T9" s="179">
        <f>D9+F9+H9+R9+J9+L9+P9+N9</f>
        <v>264996841</v>
      </c>
      <c r="U9" s="179">
        <f>E9+G9+I9+S9+K9+M9+Q9+O9</f>
        <v>270348691</v>
      </c>
      <c r="V9" s="84"/>
    </row>
    <row r="10" spans="1:22" ht="21.75" customHeight="1" x14ac:dyDescent="0.25">
      <c r="A10" s="26" t="s">
        <v>195</v>
      </c>
      <c r="B10" s="28" t="s">
        <v>206</v>
      </c>
      <c r="C10" s="136" t="s">
        <v>207</v>
      </c>
      <c r="D10" s="179"/>
      <c r="E10" s="179"/>
      <c r="F10" s="179">
        <f>36357089+4800000</f>
        <v>41157089</v>
      </c>
      <c r="G10" s="179">
        <f>36357089+4800000-83901-140693-101346-212463+48750+598000-101346-101346-98654-96666-94780-207764-75606-120487</f>
        <v>40368787</v>
      </c>
      <c r="H10" s="179"/>
      <c r="I10" s="179">
        <f>83901+140693+101346+212463+26000+101346+101346+98654+96666+94780+207764+75606+120487</f>
        <v>1461052</v>
      </c>
      <c r="J10" s="179"/>
      <c r="K10" s="179"/>
      <c r="L10" s="179"/>
      <c r="M10" s="179"/>
      <c r="N10" s="179"/>
      <c r="O10" s="179"/>
      <c r="P10" s="179"/>
      <c r="Q10" s="179"/>
      <c r="R10" s="179"/>
      <c r="S10" s="179"/>
      <c r="T10" s="179">
        <f t="shared" ref="T10:U51" si="0">D10+F10+H10+R10+J10+L10+P10+N10</f>
        <v>41157089</v>
      </c>
      <c r="U10" s="179">
        <f t="shared" si="0"/>
        <v>41829839</v>
      </c>
      <c r="V10" s="84"/>
    </row>
    <row r="11" spans="1:22" ht="21.75" customHeight="1" x14ac:dyDescent="0.25">
      <c r="A11" s="26" t="s">
        <v>196</v>
      </c>
      <c r="B11" s="28" t="s">
        <v>336</v>
      </c>
      <c r="C11" s="136" t="s">
        <v>208</v>
      </c>
      <c r="D11" s="179">
        <v>141374</v>
      </c>
      <c r="E11" s="179">
        <f>141374-141374</f>
        <v>0</v>
      </c>
      <c r="F11" s="179">
        <f>+(32621120)+22860+404943</f>
        <v>33048923</v>
      </c>
      <c r="G11" s="179">
        <f>+(32621120)+22860+404943+141374+5760000+1555200+320000+86400+200000-50000-393701-106299-244094-65906-600000+600000-200000+200000-200000-54000+5511811+1488189-327370-67133-200000-54000-300000+300000+28441</f>
        <v>46377835</v>
      </c>
      <c r="H11" s="179">
        <v>762000</v>
      </c>
      <c r="I11" s="179">
        <f>762000-500000-100000-162000</f>
        <v>0</v>
      </c>
      <c r="J11" s="179">
        <v>1016000</v>
      </c>
      <c r="K11" s="179">
        <f>1016000-74000+74000-30000+30000+393701+106299-216850+40000-286087+37087+249000-100000+100000</f>
        <v>1339150</v>
      </c>
      <c r="L11" s="179"/>
      <c r="M11" s="179">
        <f>196850+53150+275591+74409-52252+52252-119897+119897-110079+110079+196850+53150-190213-7126+197339-6921+6921</f>
        <v>850000</v>
      </c>
      <c r="N11" s="179"/>
      <c r="O11" s="179"/>
      <c r="P11" s="179"/>
      <c r="Q11" s="179"/>
      <c r="R11" s="179"/>
      <c r="S11" s="179"/>
      <c r="T11" s="179">
        <f t="shared" si="0"/>
        <v>34968297</v>
      </c>
      <c r="U11" s="179">
        <f t="shared" si="0"/>
        <v>48566985</v>
      </c>
      <c r="V11" s="84"/>
    </row>
    <row r="12" spans="1:22" ht="21.75" customHeight="1" x14ac:dyDescent="0.25">
      <c r="A12" s="26" t="s">
        <v>197</v>
      </c>
      <c r="B12" s="29" t="s">
        <v>337</v>
      </c>
      <c r="C12" s="136" t="s">
        <v>209</v>
      </c>
      <c r="D12" s="179"/>
      <c r="E12" s="179"/>
      <c r="F12" s="179"/>
      <c r="G12" s="179"/>
      <c r="H12" s="179"/>
      <c r="I12" s="179"/>
      <c r="J12" s="179"/>
      <c r="K12" s="179"/>
      <c r="L12" s="179"/>
      <c r="M12" s="179"/>
      <c r="N12" s="179"/>
      <c r="O12" s="179"/>
      <c r="P12" s="179"/>
      <c r="Q12" s="179"/>
      <c r="R12" s="179"/>
      <c r="S12" s="179"/>
      <c r="T12" s="179">
        <f t="shared" si="0"/>
        <v>0</v>
      </c>
      <c r="U12" s="179">
        <f t="shared" si="0"/>
        <v>0</v>
      </c>
    </row>
    <row r="13" spans="1:22" ht="21.75" customHeight="1" x14ac:dyDescent="0.25">
      <c r="A13" s="26" t="s">
        <v>198</v>
      </c>
      <c r="B13" s="29" t="s">
        <v>240</v>
      </c>
      <c r="C13" s="136" t="s">
        <v>210</v>
      </c>
      <c r="D13" s="179">
        <f t="shared" ref="D13:S13" si="1">SUM(D14:D16)</f>
        <v>0</v>
      </c>
      <c r="E13" s="179">
        <f t="shared" si="1"/>
        <v>11118964</v>
      </c>
      <c r="F13" s="179">
        <f t="shared" si="1"/>
        <v>0</v>
      </c>
      <c r="G13" s="179">
        <f t="shared" si="1"/>
        <v>0</v>
      </c>
      <c r="H13" s="179">
        <f t="shared" si="1"/>
        <v>0</v>
      </c>
      <c r="I13" s="179">
        <f t="shared" si="1"/>
        <v>0</v>
      </c>
      <c r="J13" s="179">
        <f t="shared" si="1"/>
        <v>0</v>
      </c>
      <c r="K13" s="179">
        <f t="shared" si="1"/>
        <v>0</v>
      </c>
      <c r="L13" s="179">
        <f t="shared" si="1"/>
        <v>0</v>
      </c>
      <c r="M13" s="179">
        <f t="shared" si="1"/>
        <v>0</v>
      </c>
      <c r="N13" s="179">
        <f t="shared" si="1"/>
        <v>0</v>
      </c>
      <c r="O13" s="179">
        <f t="shared" si="1"/>
        <v>0</v>
      </c>
      <c r="P13" s="179">
        <f t="shared" si="1"/>
        <v>0</v>
      </c>
      <c r="Q13" s="179">
        <f t="shared" si="1"/>
        <v>0</v>
      </c>
      <c r="R13" s="179">
        <f t="shared" si="1"/>
        <v>0</v>
      </c>
      <c r="S13" s="179">
        <f t="shared" si="1"/>
        <v>0</v>
      </c>
      <c r="T13" s="179">
        <f t="shared" si="0"/>
        <v>0</v>
      </c>
      <c r="U13" s="179">
        <f t="shared" si="0"/>
        <v>11118964</v>
      </c>
    </row>
    <row r="14" spans="1:22" ht="21.75" customHeight="1" x14ac:dyDescent="0.25">
      <c r="A14" s="26" t="s">
        <v>199</v>
      </c>
      <c r="B14" s="30" t="s">
        <v>588</v>
      </c>
      <c r="C14" s="136"/>
      <c r="D14" s="179"/>
      <c r="E14" s="179"/>
      <c r="F14" s="179"/>
      <c r="G14" s="179"/>
      <c r="H14" s="179"/>
      <c r="I14" s="179"/>
      <c r="J14" s="179"/>
      <c r="K14" s="179"/>
      <c r="L14" s="179"/>
      <c r="M14" s="179"/>
      <c r="N14" s="179"/>
      <c r="O14" s="179"/>
      <c r="P14" s="179"/>
      <c r="Q14" s="179"/>
      <c r="R14" s="179"/>
      <c r="S14" s="179"/>
      <c r="T14" s="179">
        <f t="shared" si="0"/>
        <v>0</v>
      </c>
      <c r="U14" s="179">
        <f t="shared" si="0"/>
        <v>0</v>
      </c>
    </row>
    <row r="15" spans="1:22" ht="21.75" customHeight="1" x14ac:dyDescent="0.25">
      <c r="A15" s="26" t="s">
        <v>200</v>
      </c>
      <c r="B15" s="30" t="s">
        <v>590</v>
      </c>
      <c r="C15" s="137"/>
      <c r="D15" s="179"/>
      <c r="E15" s="179"/>
      <c r="F15" s="179"/>
      <c r="G15" s="179"/>
      <c r="H15" s="179"/>
      <c r="I15" s="179"/>
      <c r="J15" s="179"/>
      <c r="K15" s="179"/>
      <c r="L15" s="179"/>
      <c r="M15" s="179"/>
      <c r="N15" s="179"/>
      <c r="O15" s="179"/>
      <c r="P15" s="179"/>
      <c r="Q15" s="179"/>
      <c r="R15" s="179"/>
      <c r="S15" s="179"/>
      <c r="T15" s="179">
        <f t="shared" si="0"/>
        <v>0</v>
      </c>
      <c r="U15" s="179">
        <f t="shared" si="0"/>
        <v>0</v>
      </c>
    </row>
    <row r="16" spans="1:22" ht="21.75" customHeight="1" x14ac:dyDescent="0.25">
      <c r="A16" s="26" t="s">
        <v>201</v>
      </c>
      <c r="B16" s="92" t="s">
        <v>589</v>
      </c>
      <c r="C16" s="137"/>
      <c r="D16" s="179"/>
      <c r="E16" s="179">
        <v>11118964</v>
      </c>
      <c r="F16" s="179"/>
      <c r="G16" s="179"/>
      <c r="H16" s="179"/>
      <c r="I16" s="179"/>
      <c r="J16" s="179"/>
      <c r="K16" s="179"/>
      <c r="L16" s="179"/>
      <c r="M16" s="179"/>
      <c r="N16" s="179"/>
      <c r="O16" s="179"/>
      <c r="P16" s="179"/>
      <c r="Q16" s="179"/>
      <c r="R16" s="179"/>
      <c r="S16" s="179"/>
      <c r="T16" s="179">
        <f t="shared" si="0"/>
        <v>0</v>
      </c>
      <c r="U16" s="179">
        <f t="shared" si="0"/>
        <v>11118964</v>
      </c>
    </row>
    <row r="17" spans="1:21" ht="21.75" customHeight="1" x14ac:dyDescent="0.25">
      <c r="A17" s="26" t="s">
        <v>202</v>
      </c>
      <c r="B17" s="32" t="s">
        <v>247</v>
      </c>
      <c r="C17" s="136" t="s">
        <v>211</v>
      </c>
      <c r="D17" s="179"/>
      <c r="E17" s="179"/>
      <c r="F17" s="181">
        <f>+'6.sz. Beruházások'!E152</f>
        <v>1315720</v>
      </c>
      <c r="G17" s="181">
        <f>1315720+50000+244094+65906+2816772+760529+200000+54000+292370+67133+200000+54000</f>
        <v>6120524</v>
      </c>
      <c r="H17" s="179">
        <f>+'6.sz. Beruházások'!E153</f>
        <v>127000</v>
      </c>
      <c r="I17" s="179">
        <f>127000+627559+169441</f>
        <v>924000</v>
      </c>
      <c r="J17" s="179"/>
      <c r="K17" s="179"/>
      <c r="L17" s="179"/>
      <c r="M17" s="179"/>
      <c r="N17" s="179"/>
      <c r="O17" s="179"/>
      <c r="P17" s="179"/>
      <c r="Q17" s="179"/>
      <c r="R17" s="179"/>
      <c r="S17" s="179"/>
      <c r="T17" s="179">
        <f t="shared" si="0"/>
        <v>1442720</v>
      </c>
      <c r="U17" s="179">
        <f t="shared" si="0"/>
        <v>7044524</v>
      </c>
    </row>
    <row r="18" spans="1:21" ht="21.75" customHeight="1" x14ac:dyDescent="0.25">
      <c r="A18" s="26" t="s">
        <v>203</v>
      </c>
      <c r="B18" s="29" t="s">
        <v>338</v>
      </c>
      <c r="C18" s="136" t="s">
        <v>212</v>
      </c>
      <c r="D18" s="179"/>
      <c r="E18" s="179"/>
      <c r="F18" s="179"/>
      <c r="G18" s="179"/>
      <c r="H18" s="179"/>
      <c r="I18" s="179"/>
      <c r="J18" s="179"/>
      <c r="K18" s="179"/>
      <c r="L18" s="179"/>
      <c r="M18" s="179"/>
      <c r="N18" s="179"/>
      <c r="O18" s="179"/>
      <c r="P18" s="179"/>
      <c r="Q18" s="179"/>
      <c r="R18" s="179"/>
      <c r="S18" s="179"/>
      <c r="T18" s="179">
        <f t="shared" si="0"/>
        <v>0</v>
      </c>
      <c r="U18" s="179">
        <f t="shared" si="0"/>
        <v>0</v>
      </c>
    </row>
    <row r="19" spans="1:21" ht="21.75" customHeight="1" x14ac:dyDescent="0.25">
      <c r="A19" s="26" t="s">
        <v>204</v>
      </c>
      <c r="B19" s="29" t="s">
        <v>241</v>
      </c>
      <c r="C19" s="136" t="s">
        <v>213</v>
      </c>
      <c r="D19" s="179"/>
      <c r="E19" s="179"/>
      <c r="F19" s="179"/>
      <c r="G19" s="179"/>
      <c r="H19" s="179"/>
      <c r="I19" s="179"/>
      <c r="J19" s="179"/>
      <c r="K19" s="179"/>
      <c r="L19" s="179"/>
      <c r="M19" s="179"/>
      <c r="N19" s="179"/>
      <c r="O19" s="179"/>
      <c r="P19" s="179"/>
      <c r="Q19" s="179"/>
      <c r="R19" s="179"/>
      <c r="S19" s="179"/>
      <c r="T19" s="179">
        <f t="shared" si="0"/>
        <v>0</v>
      </c>
      <c r="U19" s="179">
        <f t="shared" si="0"/>
        <v>0</v>
      </c>
    </row>
    <row r="20" spans="1:21" ht="21.75" customHeight="1" x14ac:dyDescent="0.25">
      <c r="A20" s="26" t="s">
        <v>231</v>
      </c>
      <c r="B20" s="30" t="s">
        <v>591</v>
      </c>
      <c r="C20" s="136"/>
      <c r="D20" s="179"/>
      <c r="E20" s="179"/>
      <c r="F20" s="179"/>
      <c r="G20" s="179"/>
      <c r="H20" s="179"/>
      <c r="I20" s="179"/>
      <c r="J20" s="179"/>
      <c r="K20" s="179"/>
      <c r="L20" s="179"/>
      <c r="M20" s="179"/>
      <c r="N20" s="179"/>
      <c r="O20" s="179"/>
      <c r="P20" s="179"/>
      <c r="Q20" s="179"/>
      <c r="R20" s="179"/>
      <c r="S20" s="179"/>
      <c r="T20" s="179">
        <f t="shared" si="0"/>
        <v>0</v>
      </c>
      <c r="U20" s="179">
        <f t="shared" si="0"/>
        <v>0</v>
      </c>
    </row>
    <row r="21" spans="1:21" ht="21.75" customHeight="1" x14ac:dyDescent="0.25">
      <c r="A21" s="26" t="s">
        <v>232</v>
      </c>
      <c r="B21" s="32" t="s">
        <v>242</v>
      </c>
      <c r="C21" s="136" t="s">
        <v>214</v>
      </c>
      <c r="D21" s="179">
        <f>+D9+D10+D11+D12+D13+D17+D18+D19</f>
        <v>141374</v>
      </c>
      <c r="E21" s="179">
        <f t="shared" ref="E21:S21" si="2">+E9+E10+E11+E12+E13+E17+E18+E19</f>
        <v>11118964</v>
      </c>
      <c r="F21" s="179">
        <f t="shared" si="2"/>
        <v>340518573</v>
      </c>
      <c r="G21" s="179">
        <f t="shared" si="2"/>
        <v>349932785</v>
      </c>
      <c r="H21" s="179">
        <f t="shared" si="2"/>
        <v>889000</v>
      </c>
      <c r="I21" s="179">
        <f t="shared" si="2"/>
        <v>15491254</v>
      </c>
      <c r="J21" s="179">
        <f t="shared" si="2"/>
        <v>1016000</v>
      </c>
      <c r="K21" s="179">
        <f t="shared" si="2"/>
        <v>1516000</v>
      </c>
      <c r="L21" s="179">
        <f t="shared" si="2"/>
        <v>0</v>
      </c>
      <c r="M21" s="179">
        <f t="shared" si="2"/>
        <v>850000</v>
      </c>
      <c r="N21" s="179">
        <f t="shared" si="2"/>
        <v>0</v>
      </c>
      <c r="O21" s="179">
        <f t="shared" si="2"/>
        <v>0</v>
      </c>
      <c r="P21" s="179">
        <f t="shared" si="2"/>
        <v>0</v>
      </c>
      <c r="Q21" s="179">
        <f t="shared" si="2"/>
        <v>0</v>
      </c>
      <c r="R21" s="179">
        <f t="shared" si="2"/>
        <v>0</v>
      </c>
      <c r="S21" s="179">
        <f t="shared" si="2"/>
        <v>0</v>
      </c>
      <c r="T21" s="179">
        <f t="shared" si="0"/>
        <v>342564947</v>
      </c>
      <c r="U21" s="179">
        <f t="shared" si="0"/>
        <v>378909003</v>
      </c>
    </row>
    <row r="22" spans="1:21" ht="21.75" customHeight="1" x14ac:dyDescent="0.25">
      <c r="A22" s="26" t="s">
        <v>233</v>
      </c>
      <c r="B22" s="32" t="s">
        <v>227</v>
      </c>
      <c r="C22" s="136" t="s">
        <v>223</v>
      </c>
      <c r="D22" s="179">
        <f>SUM(D23:D26)</f>
        <v>0</v>
      </c>
      <c r="E22" s="179">
        <f t="shared" ref="E22:S22" si="3">SUM(E23:E26)</f>
        <v>0</v>
      </c>
      <c r="F22" s="179">
        <f t="shared" si="3"/>
        <v>0</v>
      </c>
      <c r="G22" s="179">
        <f t="shared" si="3"/>
        <v>0</v>
      </c>
      <c r="H22" s="179">
        <f t="shared" si="3"/>
        <v>0</v>
      </c>
      <c r="I22" s="179">
        <f t="shared" si="3"/>
        <v>0</v>
      </c>
      <c r="J22" s="179">
        <f t="shared" si="3"/>
        <v>0</v>
      </c>
      <c r="K22" s="179">
        <f t="shared" si="3"/>
        <v>0</v>
      </c>
      <c r="L22" s="179">
        <f t="shared" si="3"/>
        <v>0</v>
      </c>
      <c r="M22" s="179">
        <f t="shared" si="3"/>
        <v>0</v>
      </c>
      <c r="N22" s="179">
        <f t="shared" si="3"/>
        <v>0</v>
      </c>
      <c r="O22" s="179">
        <f t="shared" si="3"/>
        <v>0</v>
      </c>
      <c r="P22" s="179">
        <f t="shared" si="3"/>
        <v>0</v>
      </c>
      <c r="Q22" s="179">
        <f t="shared" si="3"/>
        <v>0</v>
      </c>
      <c r="R22" s="179">
        <f t="shared" si="3"/>
        <v>0</v>
      </c>
      <c r="S22" s="179">
        <f t="shared" si="3"/>
        <v>0</v>
      </c>
      <c r="T22" s="179">
        <f t="shared" si="0"/>
        <v>0</v>
      </c>
      <c r="U22" s="179">
        <f t="shared" si="0"/>
        <v>0</v>
      </c>
    </row>
    <row r="23" spans="1:21" ht="21.75" customHeight="1" x14ac:dyDescent="0.25">
      <c r="A23" s="26" t="s">
        <v>234</v>
      </c>
      <c r="B23" s="94" t="s">
        <v>182</v>
      </c>
      <c r="C23" s="137"/>
      <c r="D23" s="179"/>
      <c r="E23" s="179"/>
      <c r="F23" s="179"/>
      <c r="G23" s="179"/>
      <c r="H23" s="179"/>
      <c r="I23" s="179"/>
      <c r="J23" s="179"/>
      <c r="K23" s="179"/>
      <c r="L23" s="179"/>
      <c r="M23" s="179"/>
      <c r="N23" s="179"/>
      <c r="O23" s="179"/>
      <c r="P23" s="179"/>
      <c r="Q23" s="179"/>
      <c r="R23" s="179"/>
      <c r="S23" s="179"/>
      <c r="T23" s="179">
        <f t="shared" si="0"/>
        <v>0</v>
      </c>
      <c r="U23" s="179">
        <f t="shared" si="0"/>
        <v>0</v>
      </c>
    </row>
    <row r="24" spans="1:21" ht="21.75" customHeight="1" x14ac:dyDescent="0.25">
      <c r="A24" s="26" t="s">
        <v>235</v>
      </c>
      <c r="B24" s="33" t="s">
        <v>569</v>
      </c>
      <c r="C24" s="137"/>
      <c r="D24" s="179"/>
      <c r="E24" s="179"/>
      <c r="F24" s="179"/>
      <c r="G24" s="179"/>
      <c r="H24" s="179"/>
      <c r="I24" s="179"/>
      <c r="J24" s="179"/>
      <c r="K24" s="179"/>
      <c r="L24" s="179"/>
      <c r="M24" s="179"/>
      <c r="N24" s="179"/>
      <c r="O24" s="179"/>
      <c r="P24" s="179"/>
      <c r="Q24" s="179"/>
      <c r="R24" s="179"/>
      <c r="S24" s="179"/>
      <c r="T24" s="179">
        <f t="shared" si="0"/>
        <v>0</v>
      </c>
      <c r="U24" s="179">
        <f t="shared" si="0"/>
        <v>0</v>
      </c>
    </row>
    <row r="25" spans="1:21" ht="21.75" customHeight="1" x14ac:dyDescent="0.25">
      <c r="A25" s="26" t="s">
        <v>236</v>
      </c>
      <c r="B25" s="33" t="s">
        <v>570</v>
      </c>
      <c r="C25" s="137"/>
      <c r="D25" s="179"/>
      <c r="E25" s="179"/>
      <c r="F25" s="179"/>
      <c r="G25" s="179"/>
      <c r="H25" s="179"/>
      <c r="I25" s="179"/>
      <c r="J25" s="179"/>
      <c r="K25" s="179"/>
      <c r="L25" s="179"/>
      <c r="M25" s="179"/>
      <c r="N25" s="179"/>
      <c r="O25" s="179"/>
      <c r="P25" s="179"/>
      <c r="Q25" s="179"/>
      <c r="R25" s="179"/>
      <c r="S25" s="179"/>
      <c r="T25" s="179">
        <f t="shared" si="0"/>
        <v>0</v>
      </c>
      <c r="U25" s="179">
        <f t="shared" si="0"/>
        <v>0</v>
      </c>
    </row>
    <row r="26" spans="1:21" ht="21.75" customHeight="1" x14ac:dyDescent="0.25">
      <c r="A26" s="26" t="s">
        <v>237</v>
      </c>
      <c r="B26" s="33" t="s">
        <v>126</v>
      </c>
      <c r="C26" s="137"/>
      <c r="D26" s="179"/>
      <c r="E26" s="179"/>
      <c r="F26" s="179"/>
      <c r="G26" s="179"/>
      <c r="H26" s="179"/>
      <c r="I26" s="179"/>
      <c r="J26" s="179"/>
      <c r="K26" s="179"/>
      <c r="L26" s="179"/>
      <c r="M26" s="179"/>
      <c r="N26" s="179"/>
      <c r="O26" s="179"/>
      <c r="P26" s="179"/>
      <c r="Q26" s="179"/>
      <c r="R26" s="179"/>
      <c r="S26" s="179"/>
      <c r="T26" s="179">
        <f t="shared" si="0"/>
        <v>0</v>
      </c>
      <c r="U26" s="179">
        <f t="shared" si="0"/>
        <v>0</v>
      </c>
    </row>
    <row r="27" spans="1:21" ht="21.75" customHeight="1" x14ac:dyDescent="0.25">
      <c r="A27" s="26" t="s">
        <v>238</v>
      </c>
      <c r="B27" s="236" t="s">
        <v>847</v>
      </c>
      <c r="C27" s="137"/>
      <c r="D27" s="179"/>
      <c r="E27" s="179"/>
      <c r="F27" s="179"/>
      <c r="G27" s="179"/>
      <c r="H27" s="179"/>
      <c r="I27" s="179"/>
      <c r="J27" s="179"/>
      <c r="K27" s="179"/>
      <c r="L27" s="179"/>
      <c r="M27" s="179"/>
      <c r="N27" s="179"/>
      <c r="O27" s="179"/>
      <c r="P27" s="179"/>
      <c r="Q27" s="179"/>
      <c r="R27" s="179"/>
      <c r="S27" s="179"/>
      <c r="T27" s="179">
        <f t="shared" si="0"/>
        <v>0</v>
      </c>
      <c r="U27" s="179">
        <f t="shared" si="0"/>
        <v>0</v>
      </c>
    </row>
    <row r="28" spans="1:21" s="36" customFormat="1" ht="21.75" customHeight="1" x14ac:dyDescent="0.25">
      <c r="A28" s="26" t="s">
        <v>239</v>
      </c>
      <c r="B28" s="34" t="s">
        <v>32</v>
      </c>
      <c r="C28" s="136"/>
      <c r="D28" s="180">
        <f>+D9+D10+D11+D12+D13+D23+D24</f>
        <v>141374</v>
      </c>
      <c r="E28" s="180">
        <f t="shared" ref="E28:S28" si="4">+E9+E10+E11+E12+E13+E23+E24</f>
        <v>11118964</v>
      </c>
      <c r="F28" s="180">
        <f t="shared" si="4"/>
        <v>339202853</v>
      </c>
      <c r="G28" s="180">
        <f t="shared" si="4"/>
        <v>343812261</v>
      </c>
      <c r="H28" s="180">
        <f t="shared" si="4"/>
        <v>762000</v>
      </c>
      <c r="I28" s="180">
        <f t="shared" si="4"/>
        <v>14567254</v>
      </c>
      <c r="J28" s="180">
        <f t="shared" si="4"/>
        <v>1016000</v>
      </c>
      <c r="K28" s="180">
        <f t="shared" si="4"/>
        <v>1516000</v>
      </c>
      <c r="L28" s="180">
        <f t="shared" si="4"/>
        <v>0</v>
      </c>
      <c r="M28" s="180">
        <f t="shared" si="4"/>
        <v>850000</v>
      </c>
      <c r="N28" s="180">
        <f t="shared" si="4"/>
        <v>0</v>
      </c>
      <c r="O28" s="180">
        <f t="shared" si="4"/>
        <v>0</v>
      </c>
      <c r="P28" s="180">
        <f t="shared" si="4"/>
        <v>0</v>
      </c>
      <c r="Q28" s="180">
        <f t="shared" si="4"/>
        <v>0</v>
      </c>
      <c r="R28" s="180">
        <f t="shared" si="4"/>
        <v>0</v>
      </c>
      <c r="S28" s="180">
        <f t="shared" si="4"/>
        <v>0</v>
      </c>
      <c r="T28" s="179">
        <f t="shared" si="0"/>
        <v>341122227</v>
      </c>
      <c r="U28" s="179">
        <f t="shared" si="0"/>
        <v>371864479</v>
      </c>
    </row>
    <row r="29" spans="1:21" s="36" customFormat="1" ht="21.75" customHeight="1" x14ac:dyDescent="0.25">
      <c r="A29" s="26" t="s">
        <v>266</v>
      </c>
      <c r="B29" s="34" t="s">
        <v>33</v>
      </c>
      <c r="C29" s="136"/>
      <c r="D29" s="180">
        <f>+D17+D18+D19+D25+D26</f>
        <v>0</v>
      </c>
      <c r="E29" s="180">
        <f t="shared" ref="E29:S29" si="5">+E17+E18+E19+E25+E26</f>
        <v>0</v>
      </c>
      <c r="F29" s="180">
        <f t="shared" si="5"/>
        <v>1315720</v>
      </c>
      <c r="G29" s="180">
        <f t="shared" si="5"/>
        <v>6120524</v>
      </c>
      <c r="H29" s="180">
        <f t="shared" si="5"/>
        <v>127000</v>
      </c>
      <c r="I29" s="180">
        <f t="shared" si="5"/>
        <v>924000</v>
      </c>
      <c r="J29" s="180">
        <f t="shared" si="5"/>
        <v>0</v>
      </c>
      <c r="K29" s="180">
        <f t="shared" si="5"/>
        <v>0</v>
      </c>
      <c r="L29" s="180">
        <f t="shared" si="5"/>
        <v>0</v>
      </c>
      <c r="M29" s="180">
        <f t="shared" si="5"/>
        <v>0</v>
      </c>
      <c r="N29" s="180">
        <f t="shared" si="5"/>
        <v>0</v>
      </c>
      <c r="O29" s="180">
        <f t="shared" si="5"/>
        <v>0</v>
      </c>
      <c r="P29" s="180">
        <f t="shared" si="5"/>
        <v>0</v>
      </c>
      <c r="Q29" s="180">
        <f t="shared" si="5"/>
        <v>0</v>
      </c>
      <c r="R29" s="180">
        <f t="shared" si="5"/>
        <v>0</v>
      </c>
      <c r="S29" s="180">
        <f t="shared" si="5"/>
        <v>0</v>
      </c>
      <c r="T29" s="179">
        <f t="shared" si="0"/>
        <v>1442720</v>
      </c>
      <c r="U29" s="179">
        <f t="shared" si="0"/>
        <v>7044524</v>
      </c>
    </row>
    <row r="30" spans="1:21" s="36" customFormat="1" ht="21.75" customHeight="1" x14ac:dyDescent="0.25">
      <c r="A30" s="26" t="s">
        <v>267</v>
      </c>
      <c r="B30" s="34" t="s">
        <v>333</v>
      </c>
      <c r="C30" s="136" t="s">
        <v>31</v>
      </c>
      <c r="D30" s="180">
        <f>SUM(D28:D29)</f>
        <v>141374</v>
      </c>
      <c r="E30" s="180">
        <f t="shared" ref="E30:S30" si="6">SUM(E28:E29)</f>
        <v>11118964</v>
      </c>
      <c r="F30" s="180">
        <f t="shared" si="6"/>
        <v>340518573</v>
      </c>
      <c r="G30" s="180">
        <f t="shared" si="6"/>
        <v>349932785</v>
      </c>
      <c r="H30" s="180">
        <f t="shared" si="6"/>
        <v>889000</v>
      </c>
      <c r="I30" s="180">
        <f t="shared" si="6"/>
        <v>15491254</v>
      </c>
      <c r="J30" s="180">
        <f t="shared" si="6"/>
        <v>1016000</v>
      </c>
      <c r="K30" s="180">
        <f t="shared" si="6"/>
        <v>1516000</v>
      </c>
      <c r="L30" s="180">
        <f t="shared" si="6"/>
        <v>0</v>
      </c>
      <c r="M30" s="180">
        <f t="shared" si="6"/>
        <v>850000</v>
      </c>
      <c r="N30" s="180">
        <f t="shared" si="6"/>
        <v>0</v>
      </c>
      <c r="O30" s="180">
        <f t="shared" si="6"/>
        <v>0</v>
      </c>
      <c r="P30" s="180">
        <f t="shared" si="6"/>
        <v>0</v>
      </c>
      <c r="Q30" s="180">
        <f t="shared" si="6"/>
        <v>0</v>
      </c>
      <c r="R30" s="180">
        <f t="shared" si="6"/>
        <v>0</v>
      </c>
      <c r="S30" s="180">
        <f t="shared" si="6"/>
        <v>0</v>
      </c>
      <c r="T30" s="179">
        <f t="shared" si="0"/>
        <v>342564947</v>
      </c>
      <c r="U30" s="179">
        <f t="shared" si="0"/>
        <v>378909003</v>
      </c>
    </row>
    <row r="31" spans="1:21" ht="21.75" customHeight="1" x14ac:dyDescent="0.25">
      <c r="A31" s="26" t="s">
        <v>268</v>
      </c>
      <c r="B31" s="28" t="s">
        <v>52</v>
      </c>
      <c r="C31" s="32" t="s">
        <v>215</v>
      </c>
      <c r="D31" s="179"/>
      <c r="E31" s="179"/>
      <c r="F31" s="179"/>
      <c r="G31" s="179"/>
      <c r="H31" s="179"/>
      <c r="I31" s="179"/>
      <c r="J31" s="179"/>
      <c r="K31" s="179"/>
      <c r="L31" s="179"/>
      <c r="M31" s="179">
        <v>350000</v>
      </c>
      <c r="N31" s="179"/>
      <c r="O31" s="179"/>
      <c r="P31" s="179"/>
      <c r="Q31" s="179"/>
      <c r="R31" s="179"/>
      <c r="S31" s="179"/>
      <c r="T31" s="179">
        <f t="shared" si="0"/>
        <v>0</v>
      </c>
      <c r="U31" s="179">
        <f t="shared" si="0"/>
        <v>350000</v>
      </c>
    </row>
    <row r="32" spans="1:21" ht="21.75" customHeight="1" x14ac:dyDescent="0.25">
      <c r="A32" s="26" t="s">
        <v>269</v>
      </c>
      <c r="B32" s="28" t="s">
        <v>226</v>
      </c>
      <c r="C32" s="32" t="s">
        <v>216</v>
      </c>
      <c r="D32" s="179"/>
      <c r="E32" s="179"/>
      <c r="F32" s="179"/>
      <c r="G32" s="179"/>
      <c r="H32" s="179"/>
      <c r="I32" s="179"/>
      <c r="J32" s="179"/>
      <c r="K32" s="179"/>
      <c r="L32" s="179"/>
      <c r="M32" s="179"/>
      <c r="N32" s="179"/>
      <c r="O32" s="179"/>
      <c r="P32" s="179"/>
      <c r="Q32" s="179"/>
      <c r="R32" s="179"/>
      <c r="S32" s="179"/>
      <c r="T32" s="179">
        <f t="shared" si="0"/>
        <v>0</v>
      </c>
      <c r="U32" s="179">
        <f t="shared" si="0"/>
        <v>0</v>
      </c>
    </row>
    <row r="33" spans="1:21" ht="21.75" customHeight="1" x14ac:dyDescent="0.25">
      <c r="A33" s="26" t="s">
        <v>270</v>
      </c>
      <c r="B33" s="28" t="s">
        <v>225</v>
      </c>
      <c r="C33" s="32" t="s">
        <v>217</v>
      </c>
      <c r="D33" s="179"/>
      <c r="E33" s="179"/>
      <c r="F33" s="179"/>
      <c r="G33" s="179"/>
      <c r="H33" s="179"/>
      <c r="I33" s="179"/>
      <c r="J33" s="179"/>
      <c r="K33" s="179"/>
      <c r="L33" s="179"/>
      <c r="M33" s="179"/>
      <c r="N33" s="179"/>
      <c r="O33" s="179"/>
      <c r="P33" s="179"/>
      <c r="Q33" s="179"/>
      <c r="R33" s="179"/>
      <c r="S33" s="179"/>
      <c r="T33" s="179">
        <f t="shared" si="0"/>
        <v>0</v>
      </c>
      <c r="U33" s="179">
        <f t="shared" si="0"/>
        <v>0</v>
      </c>
    </row>
    <row r="34" spans="1:21" ht="21.75" customHeight="1" x14ac:dyDescent="0.25">
      <c r="A34" s="26" t="s">
        <v>271</v>
      </c>
      <c r="B34" s="29" t="s">
        <v>0</v>
      </c>
      <c r="C34" s="32" t="s">
        <v>218</v>
      </c>
      <c r="D34" s="179"/>
      <c r="E34" s="179"/>
      <c r="F34" s="179">
        <v>200020</v>
      </c>
      <c r="G34" s="179">
        <f>200020+141374+200000-11+66452-38000</f>
        <v>569835</v>
      </c>
      <c r="H34" s="179"/>
      <c r="I34" s="179"/>
      <c r="J34" s="179"/>
      <c r="K34" s="179"/>
      <c r="L34" s="179"/>
      <c r="M34" s="179"/>
      <c r="N34" s="179">
        <v>141374</v>
      </c>
      <c r="O34" s="179">
        <f>141374-141374</f>
        <v>0</v>
      </c>
      <c r="P34" s="179"/>
      <c r="Q34" s="179"/>
      <c r="R34" s="179"/>
      <c r="S34" s="179"/>
      <c r="T34" s="179">
        <f t="shared" si="0"/>
        <v>341394</v>
      </c>
      <c r="U34" s="179">
        <f t="shared" si="0"/>
        <v>569835</v>
      </c>
    </row>
    <row r="35" spans="1:21" ht="21.75" customHeight="1" x14ac:dyDescent="0.25">
      <c r="A35" s="26" t="s">
        <v>272</v>
      </c>
      <c r="B35" s="28" t="s">
        <v>248</v>
      </c>
      <c r="C35" s="32" t="s">
        <v>219</v>
      </c>
      <c r="D35" s="179"/>
      <c r="E35" s="179"/>
      <c r="F35" s="179"/>
      <c r="G35" s="179"/>
      <c r="H35" s="179"/>
      <c r="I35" s="179"/>
      <c r="J35" s="179"/>
      <c r="K35" s="179"/>
      <c r="L35" s="179"/>
      <c r="M35" s="179"/>
      <c r="N35" s="179"/>
      <c r="O35" s="179"/>
      <c r="P35" s="179"/>
      <c r="Q35" s="179"/>
      <c r="R35" s="179"/>
      <c r="S35" s="179"/>
      <c r="T35" s="179">
        <f t="shared" si="0"/>
        <v>0</v>
      </c>
      <c r="U35" s="179">
        <f t="shared" si="0"/>
        <v>0</v>
      </c>
    </row>
    <row r="36" spans="1:21" ht="21.75" customHeight="1" x14ac:dyDescent="0.25">
      <c r="A36" s="26" t="s">
        <v>273</v>
      </c>
      <c r="B36" s="28" t="s">
        <v>243</v>
      </c>
      <c r="C36" s="32" t="s">
        <v>220</v>
      </c>
      <c r="D36" s="179"/>
      <c r="E36" s="179"/>
      <c r="F36" s="179"/>
      <c r="G36" s="179"/>
      <c r="H36" s="179"/>
      <c r="I36" s="179"/>
      <c r="J36" s="179"/>
      <c r="K36" s="179"/>
      <c r="L36" s="179"/>
      <c r="M36" s="179"/>
      <c r="N36" s="179"/>
      <c r="O36" s="179"/>
      <c r="P36" s="179"/>
      <c r="Q36" s="179"/>
      <c r="R36" s="179"/>
      <c r="S36" s="179"/>
      <c r="T36" s="179">
        <f t="shared" si="0"/>
        <v>0</v>
      </c>
      <c r="U36" s="179">
        <f t="shared" si="0"/>
        <v>0</v>
      </c>
    </row>
    <row r="37" spans="1:21" ht="21.75" customHeight="1" x14ac:dyDescent="0.25">
      <c r="A37" s="26" t="s">
        <v>274</v>
      </c>
      <c r="B37" s="28" t="s">
        <v>244</v>
      </c>
      <c r="C37" s="32" t="s">
        <v>221</v>
      </c>
      <c r="D37" s="179"/>
      <c r="E37" s="179"/>
      <c r="F37" s="179"/>
      <c r="G37" s="179"/>
      <c r="H37" s="179"/>
      <c r="I37" s="179"/>
      <c r="J37" s="179"/>
      <c r="K37" s="179"/>
      <c r="L37" s="179"/>
      <c r="M37" s="179"/>
      <c r="N37" s="179"/>
      <c r="O37" s="179"/>
      <c r="P37" s="179"/>
      <c r="Q37" s="179"/>
      <c r="R37" s="179"/>
      <c r="S37" s="179"/>
      <c r="T37" s="179">
        <f t="shared" si="0"/>
        <v>0</v>
      </c>
      <c r="U37" s="179">
        <f t="shared" si="0"/>
        <v>0</v>
      </c>
    </row>
    <row r="38" spans="1:21" ht="21.75" customHeight="1" x14ac:dyDescent="0.25">
      <c r="A38" s="26" t="s">
        <v>275</v>
      </c>
      <c r="B38" s="29" t="s">
        <v>245</v>
      </c>
      <c r="C38" s="32" t="s">
        <v>222</v>
      </c>
      <c r="D38" s="179">
        <f>+D31+D32+D33+D34+D35+D36+D37</f>
        <v>0</v>
      </c>
      <c r="E38" s="179">
        <f t="shared" ref="E38:S38" si="7">+E31+E32+E33+E34+E35+E36+E37</f>
        <v>0</v>
      </c>
      <c r="F38" s="179">
        <f t="shared" si="7"/>
        <v>200020</v>
      </c>
      <c r="G38" s="179">
        <f t="shared" si="7"/>
        <v>569835</v>
      </c>
      <c r="H38" s="179">
        <f t="shared" si="7"/>
        <v>0</v>
      </c>
      <c r="I38" s="179">
        <f t="shared" si="7"/>
        <v>0</v>
      </c>
      <c r="J38" s="179">
        <f t="shared" si="7"/>
        <v>0</v>
      </c>
      <c r="K38" s="179">
        <f t="shared" si="7"/>
        <v>0</v>
      </c>
      <c r="L38" s="179">
        <f t="shared" si="7"/>
        <v>0</v>
      </c>
      <c r="M38" s="179">
        <f t="shared" si="7"/>
        <v>350000</v>
      </c>
      <c r="N38" s="179">
        <f t="shared" si="7"/>
        <v>141374</v>
      </c>
      <c r="O38" s="179">
        <f t="shared" si="7"/>
        <v>0</v>
      </c>
      <c r="P38" s="179">
        <f t="shared" si="7"/>
        <v>0</v>
      </c>
      <c r="Q38" s="179">
        <f t="shared" si="7"/>
        <v>0</v>
      </c>
      <c r="R38" s="179">
        <f t="shared" si="7"/>
        <v>0</v>
      </c>
      <c r="S38" s="179">
        <f t="shared" si="7"/>
        <v>0</v>
      </c>
      <c r="T38" s="179">
        <f t="shared" si="0"/>
        <v>341394</v>
      </c>
      <c r="U38" s="179">
        <f t="shared" si="0"/>
        <v>919835</v>
      </c>
    </row>
    <row r="39" spans="1:21" ht="21.75" customHeight="1" x14ac:dyDescent="0.25">
      <c r="A39" s="26" t="s">
        <v>276</v>
      </c>
      <c r="B39" s="32" t="s">
        <v>246</v>
      </c>
      <c r="C39" s="136" t="s">
        <v>224</v>
      </c>
      <c r="D39" s="179">
        <f>SUM(D41:D45)</f>
        <v>342223553</v>
      </c>
      <c r="E39" s="179">
        <f t="shared" ref="E39:S39" si="8">SUM(E41:E45)</f>
        <v>377989168</v>
      </c>
      <c r="F39" s="179">
        <f t="shared" si="8"/>
        <v>0</v>
      </c>
      <c r="G39" s="179">
        <f t="shared" si="8"/>
        <v>0</v>
      </c>
      <c r="H39" s="179">
        <f t="shared" si="8"/>
        <v>0</v>
      </c>
      <c r="I39" s="179">
        <f t="shared" si="8"/>
        <v>0</v>
      </c>
      <c r="J39" s="179">
        <f t="shared" si="8"/>
        <v>0</v>
      </c>
      <c r="K39" s="179">
        <f t="shared" si="8"/>
        <v>0</v>
      </c>
      <c r="L39" s="179">
        <f t="shared" si="8"/>
        <v>0</v>
      </c>
      <c r="M39" s="179">
        <f t="shared" si="8"/>
        <v>0</v>
      </c>
      <c r="N39" s="179">
        <f t="shared" si="8"/>
        <v>0</v>
      </c>
      <c r="O39" s="179">
        <f t="shared" si="8"/>
        <v>0</v>
      </c>
      <c r="P39" s="179">
        <f t="shared" si="8"/>
        <v>0</v>
      </c>
      <c r="Q39" s="179">
        <f t="shared" si="8"/>
        <v>0</v>
      </c>
      <c r="R39" s="179">
        <f t="shared" si="8"/>
        <v>0</v>
      </c>
      <c r="S39" s="179">
        <f t="shared" si="8"/>
        <v>0</v>
      </c>
      <c r="T39" s="179">
        <f t="shared" si="0"/>
        <v>342223553</v>
      </c>
      <c r="U39" s="179">
        <f t="shared" si="0"/>
        <v>377989168</v>
      </c>
    </row>
    <row r="40" spans="1:21" ht="21.75" customHeight="1" x14ac:dyDescent="0.25">
      <c r="A40" s="26" t="s">
        <v>277</v>
      </c>
      <c r="B40" s="94" t="s">
        <v>582</v>
      </c>
      <c r="C40" s="136"/>
      <c r="D40" s="179"/>
      <c r="E40" s="179"/>
      <c r="F40" s="179"/>
      <c r="G40" s="179"/>
      <c r="H40" s="179"/>
      <c r="I40" s="179"/>
      <c r="J40" s="179"/>
      <c r="K40" s="179"/>
      <c r="L40" s="179"/>
      <c r="M40" s="179"/>
      <c r="N40" s="179"/>
      <c r="O40" s="179"/>
      <c r="P40" s="179"/>
      <c r="Q40" s="179"/>
      <c r="R40" s="179"/>
      <c r="S40" s="179"/>
      <c r="T40" s="179">
        <f t="shared" si="0"/>
        <v>0</v>
      </c>
      <c r="U40" s="179">
        <f t="shared" si="0"/>
        <v>0</v>
      </c>
    </row>
    <row r="41" spans="1:21" ht="21.75" customHeight="1" x14ac:dyDescent="0.25">
      <c r="A41" s="26" t="s">
        <v>278</v>
      </c>
      <c r="B41" s="33" t="s">
        <v>882</v>
      </c>
      <c r="C41" s="137"/>
      <c r="D41" s="179">
        <f>22860+404943</f>
        <v>427803</v>
      </c>
      <c r="E41" s="179">
        <f>22860+404943+11118964</f>
        <v>11546767</v>
      </c>
      <c r="F41" s="179"/>
      <c r="G41" s="179"/>
      <c r="H41" s="179"/>
      <c r="I41" s="179"/>
      <c r="J41" s="179"/>
      <c r="K41" s="179"/>
      <c r="L41" s="179"/>
      <c r="M41" s="179"/>
      <c r="N41" s="179"/>
      <c r="O41" s="179"/>
      <c r="P41" s="179"/>
      <c r="Q41" s="179"/>
      <c r="R41" s="179"/>
      <c r="S41" s="179"/>
      <c r="T41" s="179">
        <f t="shared" si="0"/>
        <v>427803</v>
      </c>
      <c r="U41" s="179">
        <f t="shared" si="0"/>
        <v>11546767</v>
      </c>
    </row>
    <row r="42" spans="1:21" ht="21.75" customHeight="1" x14ac:dyDescent="0.25">
      <c r="A42" s="26" t="s">
        <v>282</v>
      </c>
      <c r="B42" s="33" t="s">
        <v>883</v>
      </c>
      <c r="C42" s="137"/>
      <c r="D42" s="179"/>
      <c r="E42" s="179"/>
      <c r="F42" s="179"/>
      <c r="G42" s="179"/>
      <c r="H42" s="179"/>
      <c r="I42" s="179"/>
      <c r="J42" s="179"/>
      <c r="K42" s="179"/>
      <c r="L42" s="179"/>
      <c r="M42" s="179"/>
      <c r="N42" s="179"/>
      <c r="O42" s="179"/>
      <c r="P42" s="179"/>
      <c r="Q42" s="179"/>
      <c r="R42" s="179"/>
      <c r="S42" s="179"/>
      <c r="T42" s="179">
        <f t="shared" si="0"/>
        <v>0</v>
      </c>
      <c r="U42" s="179">
        <f t="shared" si="0"/>
        <v>0</v>
      </c>
    </row>
    <row r="43" spans="1:21" ht="21.75" customHeight="1" x14ac:dyDescent="0.25">
      <c r="A43" s="26" t="s">
        <v>283</v>
      </c>
      <c r="B43" s="33" t="s">
        <v>554</v>
      </c>
      <c r="C43" s="137"/>
      <c r="D43" s="179">
        <f>+T28-T31-T33-T34-T36-T41</f>
        <v>340353030</v>
      </c>
      <c r="E43" s="179">
        <f>+U28-U31-U33-U34-U36-U41</f>
        <v>359397877</v>
      </c>
      <c r="F43" s="179"/>
      <c r="G43" s="179"/>
      <c r="H43" s="179"/>
      <c r="I43" s="179"/>
      <c r="J43" s="179"/>
      <c r="K43" s="179"/>
      <c r="L43" s="179"/>
      <c r="M43" s="179"/>
      <c r="N43" s="179"/>
      <c r="O43" s="179"/>
      <c r="P43" s="179"/>
      <c r="Q43" s="179"/>
      <c r="R43" s="179"/>
      <c r="S43" s="179"/>
      <c r="T43" s="179">
        <f t="shared" si="0"/>
        <v>340353030</v>
      </c>
      <c r="U43" s="179">
        <f t="shared" si="0"/>
        <v>359397877</v>
      </c>
    </row>
    <row r="44" spans="1:21" ht="21.75" customHeight="1" x14ac:dyDescent="0.25">
      <c r="A44" s="26" t="s">
        <v>284</v>
      </c>
      <c r="B44" s="33" t="s">
        <v>555</v>
      </c>
      <c r="C44" s="137"/>
      <c r="D44" s="179">
        <f>+T29-T32-T35-T37-T42</f>
        <v>1442720</v>
      </c>
      <c r="E44" s="179">
        <f>+U29-U32-U35-U37-U42</f>
        <v>7044524</v>
      </c>
      <c r="F44" s="179"/>
      <c r="G44" s="179"/>
      <c r="H44" s="179"/>
      <c r="I44" s="179"/>
      <c r="J44" s="179"/>
      <c r="K44" s="179"/>
      <c r="L44" s="179"/>
      <c r="M44" s="179"/>
      <c r="N44" s="179"/>
      <c r="O44" s="179"/>
      <c r="P44" s="179"/>
      <c r="Q44" s="179"/>
      <c r="R44" s="179"/>
      <c r="S44" s="179"/>
      <c r="T44" s="179">
        <f t="shared" si="0"/>
        <v>1442720</v>
      </c>
      <c r="U44" s="179">
        <f t="shared" si="0"/>
        <v>7044524</v>
      </c>
    </row>
    <row r="45" spans="1:21" ht="21.75" customHeight="1" x14ac:dyDescent="0.25">
      <c r="A45" s="26" t="s">
        <v>285</v>
      </c>
      <c r="B45" s="33" t="s">
        <v>592</v>
      </c>
      <c r="C45" s="137"/>
      <c r="D45" s="179"/>
      <c r="E45" s="179"/>
      <c r="F45" s="179"/>
      <c r="G45" s="179"/>
      <c r="H45" s="179"/>
      <c r="I45" s="179"/>
      <c r="J45" s="179"/>
      <c r="K45" s="179"/>
      <c r="L45" s="179"/>
      <c r="M45" s="179"/>
      <c r="N45" s="179"/>
      <c r="O45" s="179"/>
      <c r="P45" s="179"/>
      <c r="Q45" s="179"/>
      <c r="R45" s="179"/>
      <c r="S45" s="179"/>
      <c r="T45" s="179">
        <f t="shared" si="0"/>
        <v>0</v>
      </c>
      <c r="U45" s="179">
        <f t="shared" si="0"/>
        <v>0</v>
      </c>
    </row>
    <row r="46" spans="1:21" ht="21.75" customHeight="1" x14ac:dyDescent="0.25">
      <c r="A46" s="26" t="s">
        <v>286</v>
      </c>
      <c r="B46" s="236" t="s">
        <v>846</v>
      </c>
      <c r="C46" s="137"/>
      <c r="D46" s="179"/>
      <c r="E46" s="179"/>
      <c r="F46" s="179"/>
      <c r="G46" s="179"/>
      <c r="H46" s="179"/>
      <c r="I46" s="179"/>
      <c r="J46" s="179"/>
      <c r="K46" s="179"/>
      <c r="L46" s="179"/>
      <c r="M46" s="179"/>
      <c r="N46" s="179"/>
      <c r="O46" s="179"/>
      <c r="P46" s="179"/>
      <c r="Q46" s="179"/>
      <c r="R46" s="179"/>
      <c r="S46" s="179"/>
      <c r="T46" s="179">
        <f t="shared" si="0"/>
        <v>0</v>
      </c>
      <c r="U46" s="179">
        <f t="shared" si="0"/>
        <v>0</v>
      </c>
    </row>
    <row r="47" spans="1:21" s="36" customFormat="1" ht="21.75" customHeight="1" x14ac:dyDescent="0.25">
      <c r="A47" s="26" t="s">
        <v>287</v>
      </c>
      <c r="B47" s="34" t="s">
        <v>112</v>
      </c>
      <c r="C47" s="136"/>
      <c r="D47" s="180">
        <f>+D31+D33+D34+D36+D41+D43</f>
        <v>340780833</v>
      </c>
      <c r="E47" s="180">
        <f t="shared" ref="E47:S47" si="9">+E31+E33+E34+E36+E41+E43</f>
        <v>370944644</v>
      </c>
      <c r="F47" s="180">
        <f t="shared" si="9"/>
        <v>200020</v>
      </c>
      <c r="G47" s="180">
        <f t="shared" si="9"/>
        <v>569835</v>
      </c>
      <c r="H47" s="180">
        <f t="shared" si="9"/>
        <v>0</v>
      </c>
      <c r="I47" s="180">
        <f t="shared" si="9"/>
        <v>0</v>
      </c>
      <c r="J47" s="180">
        <f t="shared" si="9"/>
        <v>0</v>
      </c>
      <c r="K47" s="180">
        <f t="shared" si="9"/>
        <v>0</v>
      </c>
      <c r="L47" s="180">
        <f t="shared" si="9"/>
        <v>0</v>
      </c>
      <c r="M47" s="180">
        <f t="shared" si="9"/>
        <v>350000</v>
      </c>
      <c r="N47" s="180">
        <f t="shared" si="9"/>
        <v>141374</v>
      </c>
      <c r="O47" s="180">
        <f t="shared" si="9"/>
        <v>0</v>
      </c>
      <c r="P47" s="180">
        <f t="shared" si="9"/>
        <v>0</v>
      </c>
      <c r="Q47" s="180">
        <f t="shared" si="9"/>
        <v>0</v>
      </c>
      <c r="R47" s="180">
        <f t="shared" si="9"/>
        <v>0</v>
      </c>
      <c r="S47" s="180">
        <f t="shared" si="9"/>
        <v>0</v>
      </c>
      <c r="T47" s="179">
        <f t="shared" si="0"/>
        <v>341122227</v>
      </c>
      <c r="U47" s="179">
        <f t="shared" si="0"/>
        <v>371864479</v>
      </c>
    </row>
    <row r="48" spans="1:21" s="36" customFormat="1" ht="21.75" customHeight="1" x14ac:dyDescent="0.25">
      <c r="A48" s="26" t="s">
        <v>288</v>
      </c>
      <c r="B48" s="34" t="s">
        <v>113</v>
      </c>
      <c r="C48" s="136"/>
      <c r="D48" s="180">
        <f>+D32+D35+D37+D42+D429+D45+D44</f>
        <v>1442720</v>
      </c>
      <c r="E48" s="180">
        <f t="shared" ref="E48:S48" si="10">+E32+E35+E37+E42+E429+E45+E44</f>
        <v>7044524</v>
      </c>
      <c r="F48" s="180">
        <f t="shared" si="10"/>
        <v>0</v>
      </c>
      <c r="G48" s="180">
        <f t="shared" si="10"/>
        <v>0</v>
      </c>
      <c r="H48" s="180">
        <f t="shared" si="10"/>
        <v>0</v>
      </c>
      <c r="I48" s="180">
        <f t="shared" si="10"/>
        <v>0</v>
      </c>
      <c r="J48" s="180">
        <f t="shared" si="10"/>
        <v>0</v>
      </c>
      <c r="K48" s="180">
        <f t="shared" si="10"/>
        <v>0</v>
      </c>
      <c r="L48" s="180">
        <f t="shared" si="10"/>
        <v>0</v>
      </c>
      <c r="M48" s="180">
        <f t="shared" si="10"/>
        <v>0</v>
      </c>
      <c r="N48" s="180">
        <f t="shared" si="10"/>
        <v>0</v>
      </c>
      <c r="O48" s="180">
        <f t="shared" si="10"/>
        <v>0</v>
      </c>
      <c r="P48" s="180">
        <f t="shared" si="10"/>
        <v>0</v>
      </c>
      <c r="Q48" s="180">
        <f t="shared" si="10"/>
        <v>0</v>
      </c>
      <c r="R48" s="180">
        <f t="shared" si="10"/>
        <v>0</v>
      </c>
      <c r="S48" s="180">
        <f t="shared" si="10"/>
        <v>0</v>
      </c>
      <c r="T48" s="179">
        <f t="shared" si="0"/>
        <v>1442720</v>
      </c>
      <c r="U48" s="179">
        <f t="shared" si="0"/>
        <v>7044524</v>
      </c>
    </row>
    <row r="49" spans="1:21" s="36" customFormat="1" ht="21.75" customHeight="1" x14ac:dyDescent="0.25">
      <c r="A49" s="26" t="s">
        <v>289</v>
      </c>
      <c r="B49" s="34" t="s">
        <v>334</v>
      </c>
      <c r="C49" s="136"/>
      <c r="D49" s="180">
        <f>+D47+D48</f>
        <v>342223553</v>
      </c>
      <c r="E49" s="180">
        <f t="shared" ref="E49:S49" si="11">+E47+E48</f>
        <v>377989168</v>
      </c>
      <c r="F49" s="180">
        <f t="shared" si="11"/>
        <v>200020</v>
      </c>
      <c r="G49" s="180">
        <f t="shared" si="11"/>
        <v>569835</v>
      </c>
      <c r="H49" s="180">
        <f t="shared" si="11"/>
        <v>0</v>
      </c>
      <c r="I49" s="180">
        <f t="shared" si="11"/>
        <v>0</v>
      </c>
      <c r="J49" s="180">
        <f t="shared" si="11"/>
        <v>0</v>
      </c>
      <c r="K49" s="180">
        <f t="shared" si="11"/>
        <v>0</v>
      </c>
      <c r="L49" s="180">
        <f t="shared" si="11"/>
        <v>0</v>
      </c>
      <c r="M49" s="180">
        <f t="shared" si="11"/>
        <v>350000</v>
      </c>
      <c r="N49" s="180">
        <f t="shared" si="11"/>
        <v>141374</v>
      </c>
      <c r="O49" s="180">
        <f t="shared" si="11"/>
        <v>0</v>
      </c>
      <c r="P49" s="180">
        <f t="shared" si="11"/>
        <v>0</v>
      </c>
      <c r="Q49" s="180">
        <f t="shared" si="11"/>
        <v>0</v>
      </c>
      <c r="R49" s="180">
        <f t="shared" si="11"/>
        <v>0</v>
      </c>
      <c r="S49" s="180">
        <f t="shared" si="11"/>
        <v>0</v>
      </c>
      <c r="T49" s="179">
        <f t="shared" si="0"/>
        <v>342564947</v>
      </c>
      <c r="U49" s="179">
        <f t="shared" si="0"/>
        <v>378909003</v>
      </c>
    </row>
    <row r="50" spans="1:21" ht="21.75" customHeight="1" x14ac:dyDescent="0.25">
      <c r="A50" s="26" t="s">
        <v>290</v>
      </c>
      <c r="B50" s="380" t="s">
        <v>450</v>
      </c>
      <c r="C50" s="182"/>
      <c r="D50" s="179"/>
      <c r="E50" s="179"/>
      <c r="F50" s="179">
        <v>48</v>
      </c>
      <c r="G50" s="179">
        <v>48</v>
      </c>
      <c r="H50" s="179">
        <v>4</v>
      </c>
      <c r="I50" s="179">
        <v>4</v>
      </c>
      <c r="J50" s="179"/>
      <c r="K50" s="179"/>
      <c r="L50" s="179"/>
      <c r="M50" s="179"/>
      <c r="N50" s="179"/>
      <c r="O50" s="179"/>
      <c r="P50" s="179"/>
      <c r="Q50" s="179"/>
      <c r="R50" s="179"/>
      <c r="S50" s="179"/>
      <c r="T50" s="179">
        <f t="shared" si="0"/>
        <v>52</v>
      </c>
      <c r="U50" s="179">
        <f t="shared" si="0"/>
        <v>52</v>
      </c>
    </row>
    <row r="51" spans="1:21" ht="21.75" customHeight="1" x14ac:dyDescent="0.25">
      <c r="A51" s="26" t="s">
        <v>291</v>
      </c>
      <c r="B51" s="48" t="s">
        <v>1357</v>
      </c>
      <c r="C51" s="182"/>
      <c r="D51" s="212"/>
      <c r="E51" s="212"/>
      <c r="F51" s="212"/>
      <c r="G51" s="212"/>
      <c r="H51" s="212"/>
      <c r="I51" s="212"/>
      <c r="J51" s="212"/>
      <c r="K51" s="212"/>
      <c r="L51" s="212"/>
      <c r="M51" s="212"/>
      <c r="N51" s="212"/>
      <c r="O51" s="212"/>
      <c r="P51" s="212"/>
      <c r="Q51" s="212"/>
      <c r="R51" s="212"/>
      <c r="S51" s="212"/>
      <c r="T51" s="179">
        <f t="shared" si="0"/>
        <v>0</v>
      </c>
      <c r="U51" s="179">
        <f t="shared" si="0"/>
        <v>0</v>
      </c>
    </row>
  </sheetData>
  <mergeCells count="28">
    <mergeCell ref="S6:S7"/>
    <mergeCell ref="F6:F7"/>
    <mergeCell ref="H6:H7"/>
    <mergeCell ref="R6:R7"/>
    <mergeCell ref="N6:N7"/>
    <mergeCell ref="O6:O7"/>
    <mergeCell ref="Q6:Q7"/>
    <mergeCell ref="B5:C5"/>
    <mergeCell ref="B6:C6"/>
    <mergeCell ref="A4:A7"/>
    <mergeCell ref="B4:C4"/>
    <mergeCell ref="A3:C3"/>
    <mergeCell ref="U4:U7"/>
    <mergeCell ref="D2:G2"/>
    <mergeCell ref="H2:K2"/>
    <mergeCell ref="L2:O2"/>
    <mergeCell ref="P2:S2"/>
    <mergeCell ref="T2:U2"/>
    <mergeCell ref="E6:E7"/>
    <mergeCell ref="G6:G7"/>
    <mergeCell ref="I6:I7"/>
    <mergeCell ref="K6:K7"/>
    <mergeCell ref="M6:M7"/>
    <mergeCell ref="P6:P7"/>
    <mergeCell ref="D6:D7"/>
    <mergeCell ref="L6:L7"/>
    <mergeCell ref="J6:J7"/>
    <mergeCell ref="T4:T7"/>
  </mergeCells>
  <phoneticPr fontId="45" type="noConversion"/>
  <printOptions horizontalCentered="1" verticalCentered="1"/>
  <pageMargins left="0.35433070866141736" right="0.35433070866141736" top="0.19685039370078741" bottom="0.19685039370078741" header="0.51181102362204722" footer="0.51181102362204722"/>
  <pageSetup paperSize="9" scale="51" orientation="portrait" horizontalDpi="200" verticalDpi="200" r:id="rId1"/>
  <headerFooter alignWithMargins="0">
    <oddHeader>&amp;C2022. évi költségvetés&amp;R&amp;A</oddHeader>
    <oddFooter>&amp;C&amp;P/&amp;N</oddFooter>
  </headerFooter>
  <colBreaks count="4" manualBreakCount="4">
    <brk id="7" max="50" man="1"/>
    <brk id="11" max="50" man="1"/>
    <brk id="15" max="50" man="1"/>
    <brk id="19" max="50"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1"/>
  <sheetViews>
    <sheetView view="pageBreakPreview" topLeftCell="A99" zoomScale="90" zoomScaleSheetLayoutView="90" workbookViewId="0">
      <selection activeCell="R101" sqref="R101"/>
    </sheetView>
  </sheetViews>
  <sheetFormatPr defaultRowHeight="15" x14ac:dyDescent="0.25"/>
  <cols>
    <col min="1" max="2" width="5.28515625" style="1010" customWidth="1"/>
    <col min="3" max="3" width="35.28515625" style="968" customWidth="1"/>
    <col min="4" max="4" width="6.42578125" style="968" customWidth="1"/>
    <col min="5" max="5" width="6.7109375" style="968" customWidth="1"/>
    <col min="6" max="6" width="6.5703125" style="968" customWidth="1"/>
    <col min="7" max="7" width="5.28515625" style="968" customWidth="1"/>
    <col min="8" max="9" width="14.28515625" style="968" customWidth="1"/>
    <col min="10" max="10" width="13.42578125" style="968" customWidth="1"/>
    <col min="11" max="11" width="12.85546875" style="968" customWidth="1"/>
    <col min="12" max="12" width="12.5703125" style="968" customWidth="1"/>
    <col min="13" max="13" width="11.7109375" style="968" customWidth="1"/>
    <col min="14" max="14" width="10.42578125" style="968" customWidth="1"/>
    <col min="15" max="15" width="11.5703125" style="968" customWidth="1"/>
    <col min="16" max="16" width="11.85546875" style="968" customWidth="1"/>
    <col min="17" max="17" width="13.7109375" style="997" customWidth="1"/>
    <col min="18" max="18" width="13.7109375" style="968" customWidth="1"/>
    <col min="19" max="19" width="11.7109375" style="968" customWidth="1"/>
    <col min="20" max="20" width="13.140625" style="968" customWidth="1"/>
    <col min="21" max="21" width="12.140625" style="968" customWidth="1"/>
    <col min="22" max="22" width="12" style="968" customWidth="1"/>
    <col min="23" max="23" width="11.5703125" style="968" customWidth="1"/>
    <col min="24" max="24" width="12.85546875" style="968" customWidth="1"/>
    <col min="25" max="25" width="13.85546875" style="968" bestFit="1" customWidth="1"/>
    <col min="26" max="256" width="9.140625" style="968"/>
    <col min="257" max="258" width="5.28515625" style="968" customWidth="1"/>
    <col min="259" max="259" width="35.28515625" style="968" customWidth="1"/>
    <col min="260" max="260" width="6.42578125" style="968" customWidth="1"/>
    <col min="261" max="261" width="6.7109375" style="968" customWidth="1"/>
    <col min="262" max="262" width="6.5703125" style="968" customWidth="1"/>
    <col min="263" max="263" width="5.28515625" style="968" customWidth="1"/>
    <col min="264" max="264" width="14" style="968" customWidth="1"/>
    <col min="265" max="265" width="15" style="968" customWidth="1"/>
    <col min="266" max="266" width="13.42578125" style="968" customWidth="1"/>
    <col min="267" max="267" width="13.28515625" style="968" customWidth="1"/>
    <col min="268" max="268" width="12.5703125" style="968" customWidth="1"/>
    <col min="269" max="269" width="11.7109375" style="968" customWidth="1"/>
    <col min="270" max="270" width="10.42578125" style="968" customWidth="1"/>
    <col min="271" max="271" width="11.5703125" style="968" customWidth="1"/>
    <col min="272" max="272" width="11.85546875" style="968" customWidth="1"/>
    <col min="273" max="274" width="13.7109375" style="968" customWidth="1"/>
    <col min="275" max="275" width="11.7109375" style="968" customWidth="1"/>
    <col min="276" max="276" width="13.7109375" style="968" customWidth="1"/>
    <col min="277" max="277" width="12.140625" style="968" customWidth="1"/>
    <col min="278" max="278" width="12.85546875" style="968" customWidth="1"/>
    <col min="279" max="279" width="12.7109375" style="968" customWidth="1"/>
    <col min="280" max="280" width="12.5703125" style="968" customWidth="1"/>
    <col min="281" max="281" width="13.85546875" style="968" bestFit="1" customWidth="1"/>
    <col min="282" max="512" width="9.140625" style="968"/>
    <col min="513" max="514" width="5.28515625" style="968" customWidth="1"/>
    <col min="515" max="515" width="35.28515625" style="968" customWidth="1"/>
    <col min="516" max="516" width="6.42578125" style="968" customWidth="1"/>
    <col min="517" max="517" width="6.7109375" style="968" customWidth="1"/>
    <col min="518" max="518" width="6.5703125" style="968" customWidth="1"/>
    <col min="519" max="519" width="5.28515625" style="968" customWidth="1"/>
    <col min="520" max="520" width="14" style="968" customWidth="1"/>
    <col min="521" max="521" width="15" style="968" customWidth="1"/>
    <col min="522" max="522" width="13.42578125" style="968" customWidth="1"/>
    <col min="523" max="523" width="13.28515625" style="968" customWidth="1"/>
    <col min="524" max="524" width="12.5703125" style="968" customWidth="1"/>
    <col min="525" max="525" width="11.7109375" style="968" customWidth="1"/>
    <col min="526" max="526" width="10.42578125" style="968" customWidth="1"/>
    <col min="527" max="527" width="11.5703125" style="968" customWidth="1"/>
    <col min="528" max="528" width="11.85546875" style="968" customWidth="1"/>
    <col min="529" max="530" width="13.7109375" style="968" customWidth="1"/>
    <col min="531" max="531" width="11.7109375" style="968" customWidth="1"/>
    <col min="532" max="532" width="13.7109375" style="968" customWidth="1"/>
    <col min="533" max="533" width="12.140625" style="968" customWidth="1"/>
    <col min="534" max="534" width="12.85546875" style="968" customWidth="1"/>
    <col min="535" max="535" width="12.7109375" style="968" customWidth="1"/>
    <col min="536" max="536" width="12.5703125" style="968" customWidth="1"/>
    <col min="537" max="537" width="13.85546875" style="968" bestFit="1" customWidth="1"/>
    <col min="538" max="768" width="9.140625" style="968"/>
    <col min="769" max="770" width="5.28515625" style="968" customWidth="1"/>
    <col min="771" max="771" width="35.28515625" style="968" customWidth="1"/>
    <col min="772" max="772" width="6.42578125" style="968" customWidth="1"/>
    <col min="773" max="773" width="6.7109375" style="968" customWidth="1"/>
    <col min="774" max="774" width="6.5703125" style="968" customWidth="1"/>
    <col min="775" max="775" width="5.28515625" style="968" customWidth="1"/>
    <col min="776" max="776" width="14" style="968" customWidth="1"/>
    <col min="777" max="777" width="15" style="968" customWidth="1"/>
    <col min="778" max="778" width="13.42578125" style="968" customWidth="1"/>
    <col min="779" max="779" width="13.28515625" style="968" customWidth="1"/>
    <col min="780" max="780" width="12.5703125" style="968" customWidth="1"/>
    <col min="781" max="781" width="11.7109375" style="968" customWidth="1"/>
    <col min="782" max="782" width="10.42578125" style="968" customWidth="1"/>
    <col min="783" max="783" width="11.5703125" style="968" customWidth="1"/>
    <col min="784" max="784" width="11.85546875" style="968" customWidth="1"/>
    <col min="785" max="786" width="13.7109375" style="968" customWidth="1"/>
    <col min="787" max="787" width="11.7109375" style="968" customWidth="1"/>
    <col min="788" max="788" width="13.7109375" style="968" customWidth="1"/>
    <col min="789" max="789" width="12.140625" style="968" customWidth="1"/>
    <col min="790" max="790" width="12.85546875" style="968" customWidth="1"/>
    <col min="791" max="791" width="12.7109375" style="968" customWidth="1"/>
    <col min="792" max="792" width="12.5703125" style="968" customWidth="1"/>
    <col min="793" max="793" width="13.85546875" style="968" bestFit="1" customWidth="1"/>
    <col min="794" max="1024" width="9.140625" style="968"/>
    <col min="1025" max="1026" width="5.28515625" style="968" customWidth="1"/>
    <col min="1027" max="1027" width="35.28515625" style="968" customWidth="1"/>
    <col min="1028" max="1028" width="6.42578125" style="968" customWidth="1"/>
    <col min="1029" max="1029" width="6.7109375" style="968" customWidth="1"/>
    <col min="1030" max="1030" width="6.5703125" style="968" customWidth="1"/>
    <col min="1031" max="1031" width="5.28515625" style="968" customWidth="1"/>
    <col min="1032" max="1032" width="14" style="968" customWidth="1"/>
    <col min="1033" max="1033" width="15" style="968" customWidth="1"/>
    <col min="1034" max="1034" width="13.42578125" style="968" customWidth="1"/>
    <col min="1035" max="1035" width="13.28515625" style="968" customWidth="1"/>
    <col min="1036" max="1036" width="12.5703125" style="968" customWidth="1"/>
    <col min="1037" max="1037" width="11.7109375" style="968" customWidth="1"/>
    <col min="1038" max="1038" width="10.42578125" style="968" customWidth="1"/>
    <col min="1039" max="1039" width="11.5703125" style="968" customWidth="1"/>
    <col min="1040" max="1040" width="11.85546875" style="968" customWidth="1"/>
    <col min="1041" max="1042" width="13.7109375" style="968" customWidth="1"/>
    <col min="1043" max="1043" width="11.7109375" style="968" customWidth="1"/>
    <col min="1044" max="1044" width="13.7109375" style="968" customWidth="1"/>
    <col min="1045" max="1045" width="12.140625" style="968" customWidth="1"/>
    <col min="1046" max="1046" width="12.85546875" style="968" customWidth="1"/>
    <col min="1047" max="1047" width="12.7109375" style="968" customWidth="1"/>
    <col min="1048" max="1048" width="12.5703125" style="968" customWidth="1"/>
    <col min="1049" max="1049" width="13.85546875" style="968" bestFit="1" customWidth="1"/>
    <col min="1050" max="1280" width="9.140625" style="968"/>
    <col min="1281" max="1282" width="5.28515625" style="968" customWidth="1"/>
    <col min="1283" max="1283" width="35.28515625" style="968" customWidth="1"/>
    <col min="1284" max="1284" width="6.42578125" style="968" customWidth="1"/>
    <col min="1285" max="1285" width="6.7109375" style="968" customWidth="1"/>
    <col min="1286" max="1286" width="6.5703125" style="968" customWidth="1"/>
    <col min="1287" max="1287" width="5.28515625" style="968" customWidth="1"/>
    <col min="1288" max="1288" width="14" style="968" customWidth="1"/>
    <col min="1289" max="1289" width="15" style="968" customWidth="1"/>
    <col min="1290" max="1290" width="13.42578125" style="968" customWidth="1"/>
    <col min="1291" max="1291" width="13.28515625" style="968" customWidth="1"/>
    <col min="1292" max="1292" width="12.5703125" style="968" customWidth="1"/>
    <col min="1293" max="1293" width="11.7109375" style="968" customWidth="1"/>
    <col min="1294" max="1294" width="10.42578125" style="968" customWidth="1"/>
    <col min="1295" max="1295" width="11.5703125" style="968" customWidth="1"/>
    <col min="1296" max="1296" width="11.85546875" style="968" customWidth="1"/>
    <col min="1297" max="1298" width="13.7109375" style="968" customWidth="1"/>
    <col min="1299" max="1299" width="11.7109375" style="968" customWidth="1"/>
    <col min="1300" max="1300" width="13.7109375" style="968" customWidth="1"/>
    <col min="1301" max="1301" width="12.140625" style="968" customWidth="1"/>
    <col min="1302" max="1302" width="12.85546875" style="968" customWidth="1"/>
    <col min="1303" max="1303" width="12.7109375" style="968" customWidth="1"/>
    <col min="1304" max="1304" width="12.5703125" style="968" customWidth="1"/>
    <col min="1305" max="1305" width="13.85546875" style="968" bestFit="1" customWidth="1"/>
    <col min="1306" max="1536" width="9.140625" style="968"/>
    <col min="1537" max="1538" width="5.28515625" style="968" customWidth="1"/>
    <col min="1539" max="1539" width="35.28515625" style="968" customWidth="1"/>
    <col min="1540" max="1540" width="6.42578125" style="968" customWidth="1"/>
    <col min="1541" max="1541" width="6.7109375" style="968" customWidth="1"/>
    <col min="1542" max="1542" width="6.5703125" style="968" customWidth="1"/>
    <col min="1543" max="1543" width="5.28515625" style="968" customWidth="1"/>
    <col min="1544" max="1544" width="14" style="968" customWidth="1"/>
    <col min="1545" max="1545" width="15" style="968" customWidth="1"/>
    <col min="1546" max="1546" width="13.42578125" style="968" customWidth="1"/>
    <col min="1547" max="1547" width="13.28515625" style="968" customWidth="1"/>
    <col min="1548" max="1548" width="12.5703125" style="968" customWidth="1"/>
    <col min="1549" max="1549" width="11.7109375" style="968" customWidth="1"/>
    <col min="1550" max="1550" width="10.42578125" style="968" customWidth="1"/>
    <col min="1551" max="1551" width="11.5703125" style="968" customWidth="1"/>
    <col min="1552" max="1552" width="11.85546875" style="968" customWidth="1"/>
    <col min="1553" max="1554" width="13.7109375" style="968" customWidth="1"/>
    <col min="1555" max="1555" width="11.7109375" style="968" customWidth="1"/>
    <col min="1556" max="1556" width="13.7109375" style="968" customWidth="1"/>
    <col min="1557" max="1557" width="12.140625" style="968" customWidth="1"/>
    <col min="1558" max="1558" width="12.85546875" style="968" customWidth="1"/>
    <col min="1559" max="1559" width="12.7109375" style="968" customWidth="1"/>
    <col min="1560" max="1560" width="12.5703125" style="968" customWidth="1"/>
    <col min="1561" max="1561" width="13.85546875" style="968" bestFit="1" customWidth="1"/>
    <col min="1562" max="1792" width="9.140625" style="968"/>
    <col min="1793" max="1794" width="5.28515625" style="968" customWidth="1"/>
    <col min="1795" max="1795" width="35.28515625" style="968" customWidth="1"/>
    <col min="1796" max="1796" width="6.42578125" style="968" customWidth="1"/>
    <col min="1797" max="1797" width="6.7109375" style="968" customWidth="1"/>
    <col min="1798" max="1798" width="6.5703125" style="968" customWidth="1"/>
    <col min="1799" max="1799" width="5.28515625" style="968" customWidth="1"/>
    <col min="1800" max="1800" width="14" style="968" customWidth="1"/>
    <col min="1801" max="1801" width="15" style="968" customWidth="1"/>
    <col min="1802" max="1802" width="13.42578125" style="968" customWidth="1"/>
    <col min="1803" max="1803" width="13.28515625" style="968" customWidth="1"/>
    <col min="1804" max="1804" width="12.5703125" style="968" customWidth="1"/>
    <col min="1805" max="1805" width="11.7109375" style="968" customWidth="1"/>
    <col min="1806" max="1806" width="10.42578125" style="968" customWidth="1"/>
    <col min="1807" max="1807" width="11.5703125" style="968" customWidth="1"/>
    <col min="1808" max="1808" width="11.85546875" style="968" customWidth="1"/>
    <col min="1809" max="1810" width="13.7109375" style="968" customWidth="1"/>
    <col min="1811" max="1811" width="11.7109375" style="968" customWidth="1"/>
    <col min="1812" max="1812" width="13.7109375" style="968" customWidth="1"/>
    <col min="1813" max="1813" width="12.140625" style="968" customWidth="1"/>
    <col min="1814" max="1814" width="12.85546875" style="968" customWidth="1"/>
    <col min="1815" max="1815" width="12.7109375" style="968" customWidth="1"/>
    <col min="1816" max="1816" width="12.5703125" style="968" customWidth="1"/>
    <col min="1817" max="1817" width="13.85546875" style="968" bestFit="1" customWidth="1"/>
    <col min="1818" max="2048" width="9.140625" style="968"/>
    <col min="2049" max="2050" width="5.28515625" style="968" customWidth="1"/>
    <col min="2051" max="2051" width="35.28515625" style="968" customWidth="1"/>
    <col min="2052" max="2052" width="6.42578125" style="968" customWidth="1"/>
    <col min="2053" max="2053" width="6.7109375" style="968" customWidth="1"/>
    <col min="2054" max="2054" width="6.5703125" style="968" customWidth="1"/>
    <col min="2055" max="2055" width="5.28515625" style="968" customWidth="1"/>
    <col min="2056" max="2056" width="14" style="968" customWidth="1"/>
    <col min="2057" max="2057" width="15" style="968" customWidth="1"/>
    <col min="2058" max="2058" width="13.42578125" style="968" customWidth="1"/>
    <col min="2059" max="2059" width="13.28515625" style="968" customWidth="1"/>
    <col min="2060" max="2060" width="12.5703125" style="968" customWidth="1"/>
    <col min="2061" max="2061" width="11.7109375" style="968" customWidth="1"/>
    <col min="2062" max="2062" width="10.42578125" style="968" customWidth="1"/>
    <col min="2063" max="2063" width="11.5703125" style="968" customWidth="1"/>
    <col min="2064" max="2064" width="11.85546875" style="968" customWidth="1"/>
    <col min="2065" max="2066" width="13.7109375" style="968" customWidth="1"/>
    <col min="2067" max="2067" width="11.7109375" style="968" customWidth="1"/>
    <col min="2068" max="2068" width="13.7109375" style="968" customWidth="1"/>
    <col min="2069" max="2069" width="12.140625" style="968" customWidth="1"/>
    <col min="2070" max="2070" width="12.85546875" style="968" customWidth="1"/>
    <col min="2071" max="2071" width="12.7109375" style="968" customWidth="1"/>
    <col min="2072" max="2072" width="12.5703125" style="968" customWidth="1"/>
    <col min="2073" max="2073" width="13.85546875" style="968" bestFit="1" customWidth="1"/>
    <col min="2074" max="2304" width="9.140625" style="968"/>
    <col min="2305" max="2306" width="5.28515625" style="968" customWidth="1"/>
    <col min="2307" max="2307" width="35.28515625" style="968" customWidth="1"/>
    <col min="2308" max="2308" width="6.42578125" style="968" customWidth="1"/>
    <col min="2309" max="2309" width="6.7109375" style="968" customWidth="1"/>
    <col min="2310" max="2310" width="6.5703125" style="968" customWidth="1"/>
    <col min="2311" max="2311" width="5.28515625" style="968" customWidth="1"/>
    <col min="2312" max="2312" width="14" style="968" customWidth="1"/>
    <col min="2313" max="2313" width="15" style="968" customWidth="1"/>
    <col min="2314" max="2314" width="13.42578125" style="968" customWidth="1"/>
    <col min="2315" max="2315" width="13.28515625" style="968" customWidth="1"/>
    <col min="2316" max="2316" width="12.5703125" style="968" customWidth="1"/>
    <col min="2317" max="2317" width="11.7109375" style="968" customWidth="1"/>
    <col min="2318" max="2318" width="10.42578125" style="968" customWidth="1"/>
    <col min="2319" max="2319" width="11.5703125" style="968" customWidth="1"/>
    <col min="2320" max="2320" width="11.85546875" style="968" customWidth="1"/>
    <col min="2321" max="2322" width="13.7109375" style="968" customWidth="1"/>
    <col min="2323" max="2323" width="11.7109375" style="968" customWidth="1"/>
    <col min="2324" max="2324" width="13.7109375" style="968" customWidth="1"/>
    <col min="2325" max="2325" width="12.140625" style="968" customWidth="1"/>
    <col min="2326" max="2326" width="12.85546875" style="968" customWidth="1"/>
    <col min="2327" max="2327" width="12.7109375" style="968" customWidth="1"/>
    <col min="2328" max="2328" width="12.5703125" style="968" customWidth="1"/>
    <col min="2329" max="2329" width="13.85546875" style="968" bestFit="1" customWidth="1"/>
    <col min="2330" max="2560" width="9.140625" style="968"/>
    <col min="2561" max="2562" width="5.28515625" style="968" customWidth="1"/>
    <col min="2563" max="2563" width="35.28515625" style="968" customWidth="1"/>
    <col min="2564" max="2564" width="6.42578125" style="968" customWidth="1"/>
    <col min="2565" max="2565" width="6.7109375" style="968" customWidth="1"/>
    <col min="2566" max="2566" width="6.5703125" style="968" customWidth="1"/>
    <col min="2567" max="2567" width="5.28515625" style="968" customWidth="1"/>
    <col min="2568" max="2568" width="14" style="968" customWidth="1"/>
    <col min="2569" max="2569" width="15" style="968" customWidth="1"/>
    <col min="2570" max="2570" width="13.42578125" style="968" customWidth="1"/>
    <col min="2571" max="2571" width="13.28515625" style="968" customWidth="1"/>
    <col min="2572" max="2572" width="12.5703125" style="968" customWidth="1"/>
    <col min="2573" max="2573" width="11.7109375" style="968" customWidth="1"/>
    <col min="2574" max="2574" width="10.42578125" style="968" customWidth="1"/>
    <col min="2575" max="2575" width="11.5703125" style="968" customWidth="1"/>
    <col min="2576" max="2576" width="11.85546875" style="968" customWidth="1"/>
    <col min="2577" max="2578" width="13.7109375" style="968" customWidth="1"/>
    <col min="2579" max="2579" width="11.7109375" style="968" customWidth="1"/>
    <col min="2580" max="2580" width="13.7109375" style="968" customWidth="1"/>
    <col min="2581" max="2581" width="12.140625" style="968" customWidth="1"/>
    <col min="2582" max="2582" width="12.85546875" style="968" customWidth="1"/>
    <col min="2583" max="2583" width="12.7109375" style="968" customWidth="1"/>
    <col min="2584" max="2584" width="12.5703125" style="968" customWidth="1"/>
    <col min="2585" max="2585" width="13.85546875" style="968" bestFit="1" customWidth="1"/>
    <col min="2586" max="2816" width="9.140625" style="968"/>
    <col min="2817" max="2818" width="5.28515625" style="968" customWidth="1"/>
    <col min="2819" max="2819" width="35.28515625" style="968" customWidth="1"/>
    <col min="2820" max="2820" width="6.42578125" style="968" customWidth="1"/>
    <col min="2821" max="2821" width="6.7109375" style="968" customWidth="1"/>
    <col min="2822" max="2822" width="6.5703125" style="968" customWidth="1"/>
    <col min="2823" max="2823" width="5.28515625" style="968" customWidth="1"/>
    <col min="2824" max="2824" width="14" style="968" customWidth="1"/>
    <col min="2825" max="2825" width="15" style="968" customWidth="1"/>
    <col min="2826" max="2826" width="13.42578125" style="968" customWidth="1"/>
    <col min="2827" max="2827" width="13.28515625" style="968" customWidth="1"/>
    <col min="2828" max="2828" width="12.5703125" style="968" customWidth="1"/>
    <col min="2829" max="2829" width="11.7109375" style="968" customWidth="1"/>
    <col min="2830" max="2830" width="10.42578125" style="968" customWidth="1"/>
    <col min="2831" max="2831" width="11.5703125" style="968" customWidth="1"/>
    <col min="2832" max="2832" width="11.85546875" style="968" customWidth="1"/>
    <col min="2833" max="2834" width="13.7109375" style="968" customWidth="1"/>
    <col min="2835" max="2835" width="11.7109375" style="968" customWidth="1"/>
    <col min="2836" max="2836" width="13.7109375" style="968" customWidth="1"/>
    <col min="2837" max="2837" width="12.140625" style="968" customWidth="1"/>
    <col min="2838" max="2838" width="12.85546875" style="968" customWidth="1"/>
    <col min="2839" max="2839" width="12.7109375" style="968" customWidth="1"/>
    <col min="2840" max="2840" width="12.5703125" style="968" customWidth="1"/>
    <col min="2841" max="2841" width="13.85546875" style="968" bestFit="1" customWidth="1"/>
    <col min="2842" max="3072" width="9.140625" style="968"/>
    <col min="3073" max="3074" width="5.28515625" style="968" customWidth="1"/>
    <col min="3075" max="3075" width="35.28515625" style="968" customWidth="1"/>
    <col min="3076" max="3076" width="6.42578125" style="968" customWidth="1"/>
    <col min="3077" max="3077" width="6.7109375" style="968" customWidth="1"/>
    <col min="3078" max="3078" width="6.5703125" style="968" customWidth="1"/>
    <col min="3079" max="3079" width="5.28515625" style="968" customWidth="1"/>
    <col min="3080" max="3080" width="14" style="968" customWidth="1"/>
    <col min="3081" max="3081" width="15" style="968" customWidth="1"/>
    <col min="3082" max="3082" width="13.42578125" style="968" customWidth="1"/>
    <col min="3083" max="3083" width="13.28515625" style="968" customWidth="1"/>
    <col min="3084" max="3084" width="12.5703125" style="968" customWidth="1"/>
    <col min="3085" max="3085" width="11.7109375" style="968" customWidth="1"/>
    <col min="3086" max="3086" width="10.42578125" style="968" customWidth="1"/>
    <col min="3087" max="3087" width="11.5703125" style="968" customWidth="1"/>
    <col min="3088" max="3088" width="11.85546875" style="968" customWidth="1"/>
    <col min="3089" max="3090" width="13.7109375" style="968" customWidth="1"/>
    <col min="3091" max="3091" width="11.7109375" style="968" customWidth="1"/>
    <col min="3092" max="3092" width="13.7109375" style="968" customWidth="1"/>
    <col min="3093" max="3093" width="12.140625" style="968" customWidth="1"/>
    <col min="3094" max="3094" width="12.85546875" style="968" customWidth="1"/>
    <col min="3095" max="3095" width="12.7109375" style="968" customWidth="1"/>
    <col min="3096" max="3096" width="12.5703125" style="968" customWidth="1"/>
    <col min="3097" max="3097" width="13.85546875" style="968" bestFit="1" customWidth="1"/>
    <col min="3098" max="3328" width="9.140625" style="968"/>
    <col min="3329" max="3330" width="5.28515625" style="968" customWidth="1"/>
    <col min="3331" max="3331" width="35.28515625" style="968" customWidth="1"/>
    <col min="3332" max="3332" width="6.42578125" style="968" customWidth="1"/>
    <col min="3333" max="3333" width="6.7109375" style="968" customWidth="1"/>
    <col min="3334" max="3334" width="6.5703125" style="968" customWidth="1"/>
    <col min="3335" max="3335" width="5.28515625" style="968" customWidth="1"/>
    <col min="3336" max="3336" width="14" style="968" customWidth="1"/>
    <col min="3337" max="3337" width="15" style="968" customWidth="1"/>
    <col min="3338" max="3338" width="13.42578125" style="968" customWidth="1"/>
    <col min="3339" max="3339" width="13.28515625" style="968" customWidth="1"/>
    <col min="3340" max="3340" width="12.5703125" style="968" customWidth="1"/>
    <col min="3341" max="3341" width="11.7109375" style="968" customWidth="1"/>
    <col min="3342" max="3342" width="10.42578125" style="968" customWidth="1"/>
    <col min="3343" max="3343" width="11.5703125" style="968" customWidth="1"/>
    <col min="3344" max="3344" width="11.85546875" style="968" customWidth="1"/>
    <col min="3345" max="3346" width="13.7109375" style="968" customWidth="1"/>
    <col min="3347" max="3347" width="11.7109375" style="968" customWidth="1"/>
    <col min="3348" max="3348" width="13.7109375" style="968" customWidth="1"/>
    <col min="3349" max="3349" width="12.140625" style="968" customWidth="1"/>
    <col min="3350" max="3350" width="12.85546875" style="968" customWidth="1"/>
    <col min="3351" max="3351" width="12.7109375" style="968" customWidth="1"/>
    <col min="3352" max="3352" width="12.5703125" style="968" customWidth="1"/>
    <col min="3353" max="3353" width="13.85546875" style="968" bestFit="1" customWidth="1"/>
    <col min="3354" max="3584" width="9.140625" style="968"/>
    <col min="3585" max="3586" width="5.28515625" style="968" customWidth="1"/>
    <col min="3587" max="3587" width="35.28515625" style="968" customWidth="1"/>
    <col min="3588" max="3588" width="6.42578125" style="968" customWidth="1"/>
    <col min="3589" max="3589" width="6.7109375" style="968" customWidth="1"/>
    <col min="3590" max="3590" width="6.5703125" style="968" customWidth="1"/>
    <col min="3591" max="3591" width="5.28515625" style="968" customWidth="1"/>
    <col min="3592" max="3592" width="14" style="968" customWidth="1"/>
    <col min="3593" max="3593" width="15" style="968" customWidth="1"/>
    <col min="3594" max="3594" width="13.42578125" style="968" customWidth="1"/>
    <col min="3595" max="3595" width="13.28515625" style="968" customWidth="1"/>
    <col min="3596" max="3596" width="12.5703125" style="968" customWidth="1"/>
    <col min="3597" max="3597" width="11.7109375" style="968" customWidth="1"/>
    <col min="3598" max="3598" width="10.42578125" style="968" customWidth="1"/>
    <col min="3599" max="3599" width="11.5703125" style="968" customWidth="1"/>
    <col min="3600" max="3600" width="11.85546875" style="968" customWidth="1"/>
    <col min="3601" max="3602" width="13.7109375" style="968" customWidth="1"/>
    <col min="3603" max="3603" width="11.7109375" style="968" customWidth="1"/>
    <col min="3604" max="3604" width="13.7109375" style="968" customWidth="1"/>
    <col min="3605" max="3605" width="12.140625" style="968" customWidth="1"/>
    <col min="3606" max="3606" width="12.85546875" style="968" customWidth="1"/>
    <col min="3607" max="3607" width="12.7109375" style="968" customWidth="1"/>
    <col min="3608" max="3608" width="12.5703125" style="968" customWidth="1"/>
    <col min="3609" max="3609" width="13.85546875" style="968" bestFit="1" customWidth="1"/>
    <col min="3610" max="3840" width="9.140625" style="968"/>
    <col min="3841" max="3842" width="5.28515625" style="968" customWidth="1"/>
    <col min="3843" max="3843" width="35.28515625" style="968" customWidth="1"/>
    <col min="3844" max="3844" width="6.42578125" style="968" customWidth="1"/>
    <col min="3845" max="3845" width="6.7109375" style="968" customWidth="1"/>
    <col min="3846" max="3846" width="6.5703125" style="968" customWidth="1"/>
    <col min="3847" max="3847" width="5.28515625" style="968" customWidth="1"/>
    <col min="3848" max="3848" width="14" style="968" customWidth="1"/>
    <col min="3849" max="3849" width="15" style="968" customWidth="1"/>
    <col min="3850" max="3850" width="13.42578125" style="968" customWidth="1"/>
    <col min="3851" max="3851" width="13.28515625" style="968" customWidth="1"/>
    <col min="3852" max="3852" width="12.5703125" style="968" customWidth="1"/>
    <col min="3853" max="3853" width="11.7109375" style="968" customWidth="1"/>
    <col min="3854" max="3854" width="10.42578125" style="968" customWidth="1"/>
    <col min="3855" max="3855" width="11.5703125" style="968" customWidth="1"/>
    <col min="3856" max="3856" width="11.85546875" style="968" customWidth="1"/>
    <col min="3857" max="3858" width="13.7109375" style="968" customWidth="1"/>
    <col min="3859" max="3859" width="11.7109375" style="968" customWidth="1"/>
    <col min="3860" max="3860" width="13.7109375" style="968" customWidth="1"/>
    <col min="3861" max="3861" width="12.140625" style="968" customWidth="1"/>
    <col min="3862" max="3862" width="12.85546875" style="968" customWidth="1"/>
    <col min="3863" max="3863" width="12.7109375" style="968" customWidth="1"/>
    <col min="3864" max="3864" width="12.5703125" style="968" customWidth="1"/>
    <col min="3865" max="3865" width="13.85546875" style="968" bestFit="1" customWidth="1"/>
    <col min="3866" max="4096" width="9.140625" style="968"/>
    <col min="4097" max="4098" width="5.28515625" style="968" customWidth="1"/>
    <col min="4099" max="4099" width="35.28515625" style="968" customWidth="1"/>
    <col min="4100" max="4100" width="6.42578125" style="968" customWidth="1"/>
    <col min="4101" max="4101" width="6.7109375" style="968" customWidth="1"/>
    <col min="4102" max="4102" width="6.5703125" style="968" customWidth="1"/>
    <col min="4103" max="4103" width="5.28515625" style="968" customWidth="1"/>
    <col min="4104" max="4104" width="14" style="968" customWidth="1"/>
    <col min="4105" max="4105" width="15" style="968" customWidth="1"/>
    <col min="4106" max="4106" width="13.42578125" style="968" customWidth="1"/>
    <col min="4107" max="4107" width="13.28515625" style="968" customWidth="1"/>
    <col min="4108" max="4108" width="12.5703125" style="968" customWidth="1"/>
    <col min="4109" max="4109" width="11.7109375" style="968" customWidth="1"/>
    <col min="4110" max="4110" width="10.42578125" style="968" customWidth="1"/>
    <col min="4111" max="4111" width="11.5703125" style="968" customWidth="1"/>
    <col min="4112" max="4112" width="11.85546875" style="968" customWidth="1"/>
    <col min="4113" max="4114" width="13.7109375" style="968" customWidth="1"/>
    <col min="4115" max="4115" width="11.7109375" style="968" customWidth="1"/>
    <col min="4116" max="4116" width="13.7109375" style="968" customWidth="1"/>
    <col min="4117" max="4117" width="12.140625" style="968" customWidth="1"/>
    <col min="4118" max="4118" width="12.85546875" style="968" customWidth="1"/>
    <col min="4119" max="4119" width="12.7109375" style="968" customWidth="1"/>
    <col min="4120" max="4120" width="12.5703125" style="968" customWidth="1"/>
    <col min="4121" max="4121" width="13.85546875" style="968" bestFit="1" customWidth="1"/>
    <col min="4122" max="4352" width="9.140625" style="968"/>
    <col min="4353" max="4354" width="5.28515625" style="968" customWidth="1"/>
    <col min="4355" max="4355" width="35.28515625" style="968" customWidth="1"/>
    <col min="4356" max="4356" width="6.42578125" style="968" customWidth="1"/>
    <col min="4357" max="4357" width="6.7109375" style="968" customWidth="1"/>
    <col min="4358" max="4358" width="6.5703125" style="968" customWidth="1"/>
    <col min="4359" max="4359" width="5.28515625" style="968" customWidth="1"/>
    <col min="4360" max="4360" width="14" style="968" customWidth="1"/>
    <col min="4361" max="4361" width="15" style="968" customWidth="1"/>
    <col min="4362" max="4362" width="13.42578125" style="968" customWidth="1"/>
    <col min="4363" max="4363" width="13.28515625" style="968" customWidth="1"/>
    <col min="4364" max="4364" width="12.5703125" style="968" customWidth="1"/>
    <col min="4365" max="4365" width="11.7109375" style="968" customWidth="1"/>
    <col min="4366" max="4366" width="10.42578125" style="968" customWidth="1"/>
    <col min="4367" max="4367" width="11.5703125" style="968" customWidth="1"/>
    <col min="4368" max="4368" width="11.85546875" style="968" customWidth="1"/>
    <col min="4369" max="4370" width="13.7109375" style="968" customWidth="1"/>
    <col min="4371" max="4371" width="11.7109375" style="968" customWidth="1"/>
    <col min="4372" max="4372" width="13.7109375" style="968" customWidth="1"/>
    <col min="4373" max="4373" width="12.140625" style="968" customWidth="1"/>
    <col min="4374" max="4374" width="12.85546875" style="968" customWidth="1"/>
    <col min="4375" max="4375" width="12.7109375" style="968" customWidth="1"/>
    <col min="4376" max="4376" width="12.5703125" style="968" customWidth="1"/>
    <col min="4377" max="4377" width="13.85546875" style="968" bestFit="1" customWidth="1"/>
    <col min="4378" max="4608" width="9.140625" style="968"/>
    <col min="4609" max="4610" width="5.28515625" style="968" customWidth="1"/>
    <col min="4611" max="4611" width="35.28515625" style="968" customWidth="1"/>
    <col min="4612" max="4612" width="6.42578125" style="968" customWidth="1"/>
    <col min="4613" max="4613" width="6.7109375" style="968" customWidth="1"/>
    <col min="4614" max="4614" width="6.5703125" style="968" customWidth="1"/>
    <col min="4615" max="4615" width="5.28515625" style="968" customWidth="1"/>
    <col min="4616" max="4616" width="14" style="968" customWidth="1"/>
    <col min="4617" max="4617" width="15" style="968" customWidth="1"/>
    <col min="4618" max="4618" width="13.42578125" style="968" customWidth="1"/>
    <col min="4619" max="4619" width="13.28515625" style="968" customWidth="1"/>
    <col min="4620" max="4620" width="12.5703125" style="968" customWidth="1"/>
    <col min="4621" max="4621" width="11.7109375" style="968" customWidth="1"/>
    <col min="4622" max="4622" width="10.42578125" style="968" customWidth="1"/>
    <col min="4623" max="4623" width="11.5703125" style="968" customWidth="1"/>
    <col min="4624" max="4624" width="11.85546875" style="968" customWidth="1"/>
    <col min="4625" max="4626" width="13.7109375" style="968" customWidth="1"/>
    <col min="4627" max="4627" width="11.7109375" style="968" customWidth="1"/>
    <col min="4628" max="4628" width="13.7109375" style="968" customWidth="1"/>
    <col min="4629" max="4629" width="12.140625" style="968" customWidth="1"/>
    <col min="4630" max="4630" width="12.85546875" style="968" customWidth="1"/>
    <col min="4631" max="4631" width="12.7109375" style="968" customWidth="1"/>
    <col min="4632" max="4632" width="12.5703125" style="968" customWidth="1"/>
    <col min="4633" max="4633" width="13.85546875" style="968" bestFit="1" customWidth="1"/>
    <col min="4634" max="4864" width="9.140625" style="968"/>
    <col min="4865" max="4866" width="5.28515625" style="968" customWidth="1"/>
    <col min="4867" max="4867" width="35.28515625" style="968" customWidth="1"/>
    <col min="4868" max="4868" width="6.42578125" style="968" customWidth="1"/>
    <col min="4869" max="4869" width="6.7109375" style="968" customWidth="1"/>
    <col min="4870" max="4870" width="6.5703125" style="968" customWidth="1"/>
    <col min="4871" max="4871" width="5.28515625" style="968" customWidth="1"/>
    <col min="4872" max="4872" width="14" style="968" customWidth="1"/>
    <col min="4873" max="4873" width="15" style="968" customWidth="1"/>
    <col min="4874" max="4874" width="13.42578125" style="968" customWidth="1"/>
    <col min="4875" max="4875" width="13.28515625" style="968" customWidth="1"/>
    <col min="4876" max="4876" width="12.5703125" style="968" customWidth="1"/>
    <col min="4877" max="4877" width="11.7109375" style="968" customWidth="1"/>
    <col min="4878" max="4878" width="10.42578125" style="968" customWidth="1"/>
    <col min="4879" max="4879" width="11.5703125" style="968" customWidth="1"/>
    <col min="4880" max="4880" width="11.85546875" style="968" customWidth="1"/>
    <col min="4881" max="4882" width="13.7109375" style="968" customWidth="1"/>
    <col min="4883" max="4883" width="11.7109375" style="968" customWidth="1"/>
    <col min="4884" max="4884" width="13.7109375" style="968" customWidth="1"/>
    <col min="4885" max="4885" width="12.140625" style="968" customWidth="1"/>
    <col min="4886" max="4886" width="12.85546875" style="968" customWidth="1"/>
    <col min="4887" max="4887" width="12.7109375" style="968" customWidth="1"/>
    <col min="4888" max="4888" width="12.5703125" style="968" customWidth="1"/>
    <col min="4889" max="4889" width="13.85546875" style="968" bestFit="1" customWidth="1"/>
    <col min="4890" max="5120" width="9.140625" style="968"/>
    <col min="5121" max="5122" width="5.28515625" style="968" customWidth="1"/>
    <col min="5123" max="5123" width="35.28515625" style="968" customWidth="1"/>
    <col min="5124" max="5124" width="6.42578125" style="968" customWidth="1"/>
    <col min="5125" max="5125" width="6.7109375" style="968" customWidth="1"/>
    <col min="5126" max="5126" width="6.5703125" style="968" customWidth="1"/>
    <col min="5127" max="5127" width="5.28515625" style="968" customWidth="1"/>
    <col min="5128" max="5128" width="14" style="968" customWidth="1"/>
    <col min="5129" max="5129" width="15" style="968" customWidth="1"/>
    <col min="5130" max="5130" width="13.42578125" style="968" customWidth="1"/>
    <col min="5131" max="5131" width="13.28515625" style="968" customWidth="1"/>
    <col min="5132" max="5132" width="12.5703125" style="968" customWidth="1"/>
    <col min="5133" max="5133" width="11.7109375" style="968" customWidth="1"/>
    <col min="5134" max="5134" width="10.42578125" style="968" customWidth="1"/>
    <col min="5135" max="5135" width="11.5703125" style="968" customWidth="1"/>
    <col min="5136" max="5136" width="11.85546875" style="968" customWidth="1"/>
    <col min="5137" max="5138" width="13.7109375" style="968" customWidth="1"/>
    <col min="5139" max="5139" width="11.7109375" style="968" customWidth="1"/>
    <col min="5140" max="5140" width="13.7109375" style="968" customWidth="1"/>
    <col min="5141" max="5141" width="12.140625" style="968" customWidth="1"/>
    <col min="5142" max="5142" width="12.85546875" style="968" customWidth="1"/>
    <col min="5143" max="5143" width="12.7109375" style="968" customWidth="1"/>
    <col min="5144" max="5144" width="12.5703125" style="968" customWidth="1"/>
    <col min="5145" max="5145" width="13.85546875" style="968" bestFit="1" customWidth="1"/>
    <col min="5146" max="5376" width="9.140625" style="968"/>
    <col min="5377" max="5378" width="5.28515625" style="968" customWidth="1"/>
    <col min="5379" max="5379" width="35.28515625" style="968" customWidth="1"/>
    <col min="5380" max="5380" width="6.42578125" style="968" customWidth="1"/>
    <col min="5381" max="5381" width="6.7109375" style="968" customWidth="1"/>
    <col min="5382" max="5382" width="6.5703125" style="968" customWidth="1"/>
    <col min="5383" max="5383" width="5.28515625" style="968" customWidth="1"/>
    <col min="5384" max="5384" width="14" style="968" customWidth="1"/>
    <col min="5385" max="5385" width="15" style="968" customWidth="1"/>
    <col min="5386" max="5386" width="13.42578125" style="968" customWidth="1"/>
    <col min="5387" max="5387" width="13.28515625" style="968" customWidth="1"/>
    <col min="5388" max="5388" width="12.5703125" style="968" customWidth="1"/>
    <col min="5389" max="5389" width="11.7109375" style="968" customWidth="1"/>
    <col min="5390" max="5390" width="10.42578125" style="968" customWidth="1"/>
    <col min="5391" max="5391" width="11.5703125" style="968" customWidth="1"/>
    <col min="5392" max="5392" width="11.85546875" style="968" customWidth="1"/>
    <col min="5393" max="5394" width="13.7109375" style="968" customWidth="1"/>
    <col min="5395" max="5395" width="11.7109375" style="968" customWidth="1"/>
    <col min="5396" max="5396" width="13.7109375" style="968" customWidth="1"/>
    <col min="5397" max="5397" width="12.140625" style="968" customWidth="1"/>
    <col min="5398" max="5398" width="12.85546875" style="968" customWidth="1"/>
    <col min="5399" max="5399" width="12.7109375" style="968" customWidth="1"/>
    <col min="5400" max="5400" width="12.5703125" style="968" customWidth="1"/>
    <col min="5401" max="5401" width="13.85546875" style="968" bestFit="1" customWidth="1"/>
    <col min="5402" max="5632" width="9.140625" style="968"/>
    <col min="5633" max="5634" width="5.28515625" style="968" customWidth="1"/>
    <col min="5635" max="5635" width="35.28515625" style="968" customWidth="1"/>
    <col min="5636" max="5636" width="6.42578125" style="968" customWidth="1"/>
    <col min="5637" max="5637" width="6.7109375" style="968" customWidth="1"/>
    <col min="5638" max="5638" width="6.5703125" style="968" customWidth="1"/>
    <col min="5639" max="5639" width="5.28515625" style="968" customWidth="1"/>
    <col min="5640" max="5640" width="14" style="968" customWidth="1"/>
    <col min="5641" max="5641" width="15" style="968" customWidth="1"/>
    <col min="5642" max="5642" width="13.42578125" style="968" customWidth="1"/>
    <col min="5643" max="5643" width="13.28515625" style="968" customWidth="1"/>
    <col min="5644" max="5644" width="12.5703125" style="968" customWidth="1"/>
    <col min="5645" max="5645" width="11.7109375" style="968" customWidth="1"/>
    <col min="5646" max="5646" width="10.42578125" style="968" customWidth="1"/>
    <col min="5647" max="5647" width="11.5703125" style="968" customWidth="1"/>
    <col min="5648" max="5648" width="11.85546875" style="968" customWidth="1"/>
    <col min="5649" max="5650" width="13.7109375" style="968" customWidth="1"/>
    <col min="5651" max="5651" width="11.7109375" style="968" customWidth="1"/>
    <col min="5652" max="5652" width="13.7109375" style="968" customWidth="1"/>
    <col min="5653" max="5653" width="12.140625" style="968" customWidth="1"/>
    <col min="5654" max="5654" width="12.85546875" style="968" customWidth="1"/>
    <col min="5655" max="5655" width="12.7109375" style="968" customWidth="1"/>
    <col min="5656" max="5656" width="12.5703125" style="968" customWidth="1"/>
    <col min="5657" max="5657" width="13.85546875" style="968" bestFit="1" customWidth="1"/>
    <col min="5658" max="5888" width="9.140625" style="968"/>
    <col min="5889" max="5890" width="5.28515625" style="968" customWidth="1"/>
    <col min="5891" max="5891" width="35.28515625" style="968" customWidth="1"/>
    <col min="5892" max="5892" width="6.42578125" style="968" customWidth="1"/>
    <col min="5893" max="5893" width="6.7109375" style="968" customWidth="1"/>
    <col min="5894" max="5894" width="6.5703125" style="968" customWidth="1"/>
    <col min="5895" max="5895" width="5.28515625" style="968" customWidth="1"/>
    <col min="5896" max="5896" width="14" style="968" customWidth="1"/>
    <col min="5897" max="5897" width="15" style="968" customWidth="1"/>
    <col min="5898" max="5898" width="13.42578125" style="968" customWidth="1"/>
    <col min="5899" max="5899" width="13.28515625" style="968" customWidth="1"/>
    <col min="5900" max="5900" width="12.5703125" style="968" customWidth="1"/>
    <col min="5901" max="5901" width="11.7109375" style="968" customWidth="1"/>
    <col min="5902" max="5902" width="10.42578125" style="968" customWidth="1"/>
    <col min="5903" max="5903" width="11.5703125" style="968" customWidth="1"/>
    <col min="5904" max="5904" width="11.85546875" style="968" customWidth="1"/>
    <col min="5905" max="5906" width="13.7109375" style="968" customWidth="1"/>
    <col min="5907" max="5907" width="11.7109375" style="968" customWidth="1"/>
    <col min="5908" max="5908" width="13.7109375" style="968" customWidth="1"/>
    <col min="5909" max="5909" width="12.140625" style="968" customWidth="1"/>
    <col min="5910" max="5910" width="12.85546875" style="968" customWidth="1"/>
    <col min="5911" max="5911" width="12.7109375" style="968" customWidth="1"/>
    <col min="5912" max="5912" width="12.5703125" style="968" customWidth="1"/>
    <col min="5913" max="5913" width="13.85546875" style="968" bestFit="1" customWidth="1"/>
    <col min="5914" max="6144" width="9.140625" style="968"/>
    <col min="6145" max="6146" width="5.28515625" style="968" customWidth="1"/>
    <col min="6147" max="6147" width="35.28515625" style="968" customWidth="1"/>
    <col min="6148" max="6148" width="6.42578125" style="968" customWidth="1"/>
    <col min="6149" max="6149" width="6.7109375" style="968" customWidth="1"/>
    <col min="6150" max="6150" width="6.5703125" style="968" customWidth="1"/>
    <col min="6151" max="6151" width="5.28515625" style="968" customWidth="1"/>
    <col min="6152" max="6152" width="14" style="968" customWidth="1"/>
    <col min="6153" max="6153" width="15" style="968" customWidth="1"/>
    <col min="6154" max="6154" width="13.42578125" style="968" customWidth="1"/>
    <col min="6155" max="6155" width="13.28515625" style="968" customWidth="1"/>
    <col min="6156" max="6156" width="12.5703125" style="968" customWidth="1"/>
    <col min="6157" max="6157" width="11.7109375" style="968" customWidth="1"/>
    <col min="6158" max="6158" width="10.42578125" style="968" customWidth="1"/>
    <col min="6159" max="6159" width="11.5703125" style="968" customWidth="1"/>
    <col min="6160" max="6160" width="11.85546875" style="968" customWidth="1"/>
    <col min="6161" max="6162" width="13.7109375" style="968" customWidth="1"/>
    <col min="6163" max="6163" width="11.7109375" style="968" customWidth="1"/>
    <col min="6164" max="6164" width="13.7109375" style="968" customWidth="1"/>
    <col min="6165" max="6165" width="12.140625" style="968" customWidth="1"/>
    <col min="6166" max="6166" width="12.85546875" style="968" customWidth="1"/>
    <col min="6167" max="6167" width="12.7109375" style="968" customWidth="1"/>
    <col min="6168" max="6168" width="12.5703125" style="968" customWidth="1"/>
    <col min="6169" max="6169" width="13.85546875" style="968" bestFit="1" customWidth="1"/>
    <col min="6170" max="6400" width="9.140625" style="968"/>
    <col min="6401" max="6402" width="5.28515625" style="968" customWidth="1"/>
    <col min="6403" max="6403" width="35.28515625" style="968" customWidth="1"/>
    <col min="6404" max="6404" width="6.42578125" style="968" customWidth="1"/>
    <col min="6405" max="6405" width="6.7109375" style="968" customWidth="1"/>
    <col min="6406" max="6406" width="6.5703125" style="968" customWidth="1"/>
    <col min="6407" max="6407" width="5.28515625" style="968" customWidth="1"/>
    <col min="6408" max="6408" width="14" style="968" customWidth="1"/>
    <col min="6409" max="6409" width="15" style="968" customWidth="1"/>
    <col min="6410" max="6410" width="13.42578125" style="968" customWidth="1"/>
    <col min="6411" max="6411" width="13.28515625" style="968" customWidth="1"/>
    <col min="6412" max="6412" width="12.5703125" style="968" customWidth="1"/>
    <col min="6413" max="6413" width="11.7109375" style="968" customWidth="1"/>
    <col min="6414" max="6414" width="10.42578125" style="968" customWidth="1"/>
    <col min="6415" max="6415" width="11.5703125" style="968" customWidth="1"/>
    <col min="6416" max="6416" width="11.85546875" style="968" customWidth="1"/>
    <col min="6417" max="6418" width="13.7109375" style="968" customWidth="1"/>
    <col min="6419" max="6419" width="11.7109375" style="968" customWidth="1"/>
    <col min="6420" max="6420" width="13.7109375" style="968" customWidth="1"/>
    <col min="6421" max="6421" width="12.140625" style="968" customWidth="1"/>
    <col min="6422" max="6422" width="12.85546875" style="968" customWidth="1"/>
    <col min="6423" max="6423" width="12.7109375" style="968" customWidth="1"/>
    <col min="6424" max="6424" width="12.5703125" style="968" customWidth="1"/>
    <col min="6425" max="6425" width="13.85546875" style="968" bestFit="1" customWidth="1"/>
    <col min="6426" max="6656" width="9.140625" style="968"/>
    <col min="6657" max="6658" width="5.28515625" style="968" customWidth="1"/>
    <col min="6659" max="6659" width="35.28515625" style="968" customWidth="1"/>
    <col min="6660" max="6660" width="6.42578125" style="968" customWidth="1"/>
    <col min="6661" max="6661" width="6.7109375" style="968" customWidth="1"/>
    <col min="6662" max="6662" width="6.5703125" style="968" customWidth="1"/>
    <col min="6663" max="6663" width="5.28515625" style="968" customWidth="1"/>
    <col min="6664" max="6664" width="14" style="968" customWidth="1"/>
    <col min="6665" max="6665" width="15" style="968" customWidth="1"/>
    <col min="6666" max="6666" width="13.42578125" style="968" customWidth="1"/>
    <col min="6667" max="6667" width="13.28515625" style="968" customWidth="1"/>
    <col min="6668" max="6668" width="12.5703125" style="968" customWidth="1"/>
    <col min="6669" max="6669" width="11.7109375" style="968" customWidth="1"/>
    <col min="6670" max="6670" width="10.42578125" style="968" customWidth="1"/>
    <col min="6671" max="6671" width="11.5703125" style="968" customWidth="1"/>
    <col min="6672" max="6672" width="11.85546875" style="968" customWidth="1"/>
    <col min="6673" max="6674" width="13.7109375" style="968" customWidth="1"/>
    <col min="6675" max="6675" width="11.7109375" style="968" customWidth="1"/>
    <col min="6676" max="6676" width="13.7109375" style="968" customWidth="1"/>
    <col min="6677" max="6677" width="12.140625" style="968" customWidth="1"/>
    <col min="6678" max="6678" width="12.85546875" style="968" customWidth="1"/>
    <col min="6679" max="6679" width="12.7109375" style="968" customWidth="1"/>
    <col min="6680" max="6680" width="12.5703125" style="968" customWidth="1"/>
    <col min="6681" max="6681" width="13.85546875" style="968" bestFit="1" customWidth="1"/>
    <col min="6682" max="6912" width="9.140625" style="968"/>
    <col min="6913" max="6914" width="5.28515625" style="968" customWidth="1"/>
    <col min="6915" max="6915" width="35.28515625" style="968" customWidth="1"/>
    <col min="6916" max="6916" width="6.42578125" style="968" customWidth="1"/>
    <col min="6917" max="6917" width="6.7109375" style="968" customWidth="1"/>
    <col min="6918" max="6918" width="6.5703125" style="968" customWidth="1"/>
    <col min="6919" max="6919" width="5.28515625" style="968" customWidth="1"/>
    <col min="6920" max="6920" width="14" style="968" customWidth="1"/>
    <col min="6921" max="6921" width="15" style="968" customWidth="1"/>
    <col min="6922" max="6922" width="13.42578125" style="968" customWidth="1"/>
    <col min="6923" max="6923" width="13.28515625" style="968" customWidth="1"/>
    <col min="6924" max="6924" width="12.5703125" style="968" customWidth="1"/>
    <col min="6925" max="6925" width="11.7109375" style="968" customWidth="1"/>
    <col min="6926" max="6926" width="10.42578125" style="968" customWidth="1"/>
    <col min="6927" max="6927" width="11.5703125" style="968" customWidth="1"/>
    <col min="6928" max="6928" width="11.85546875" style="968" customWidth="1"/>
    <col min="6929" max="6930" width="13.7109375" style="968" customWidth="1"/>
    <col min="6931" max="6931" width="11.7109375" style="968" customWidth="1"/>
    <col min="6932" max="6932" width="13.7109375" style="968" customWidth="1"/>
    <col min="6933" max="6933" width="12.140625" style="968" customWidth="1"/>
    <col min="6934" max="6934" width="12.85546875" style="968" customWidth="1"/>
    <col min="6935" max="6935" width="12.7109375" style="968" customWidth="1"/>
    <col min="6936" max="6936" width="12.5703125" style="968" customWidth="1"/>
    <col min="6937" max="6937" width="13.85546875" style="968" bestFit="1" customWidth="1"/>
    <col min="6938" max="7168" width="9.140625" style="968"/>
    <col min="7169" max="7170" width="5.28515625" style="968" customWidth="1"/>
    <col min="7171" max="7171" width="35.28515625" style="968" customWidth="1"/>
    <col min="7172" max="7172" width="6.42578125" style="968" customWidth="1"/>
    <col min="7173" max="7173" width="6.7109375" style="968" customWidth="1"/>
    <col min="7174" max="7174" width="6.5703125" style="968" customWidth="1"/>
    <col min="7175" max="7175" width="5.28515625" style="968" customWidth="1"/>
    <col min="7176" max="7176" width="14" style="968" customWidth="1"/>
    <col min="7177" max="7177" width="15" style="968" customWidth="1"/>
    <col min="7178" max="7178" width="13.42578125" style="968" customWidth="1"/>
    <col min="7179" max="7179" width="13.28515625" style="968" customWidth="1"/>
    <col min="7180" max="7180" width="12.5703125" style="968" customWidth="1"/>
    <col min="7181" max="7181" width="11.7109375" style="968" customWidth="1"/>
    <col min="7182" max="7182" width="10.42578125" style="968" customWidth="1"/>
    <col min="7183" max="7183" width="11.5703125" style="968" customWidth="1"/>
    <col min="7184" max="7184" width="11.85546875" style="968" customWidth="1"/>
    <col min="7185" max="7186" width="13.7109375" style="968" customWidth="1"/>
    <col min="7187" max="7187" width="11.7109375" style="968" customWidth="1"/>
    <col min="7188" max="7188" width="13.7109375" style="968" customWidth="1"/>
    <col min="7189" max="7189" width="12.140625" style="968" customWidth="1"/>
    <col min="7190" max="7190" width="12.85546875" style="968" customWidth="1"/>
    <col min="7191" max="7191" width="12.7109375" style="968" customWidth="1"/>
    <col min="7192" max="7192" width="12.5703125" style="968" customWidth="1"/>
    <col min="7193" max="7193" width="13.85546875" style="968" bestFit="1" customWidth="1"/>
    <col min="7194" max="7424" width="9.140625" style="968"/>
    <col min="7425" max="7426" width="5.28515625" style="968" customWidth="1"/>
    <col min="7427" max="7427" width="35.28515625" style="968" customWidth="1"/>
    <col min="7428" max="7428" width="6.42578125" style="968" customWidth="1"/>
    <col min="7429" max="7429" width="6.7109375" style="968" customWidth="1"/>
    <col min="7430" max="7430" width="6.5703125" style="968" customWidth="1"/>
    <col min="7431" max="7431" width="5.28515625" style="968" customWidth="1"/>
    <col min="7432" max="7432" width="14" style="968" customWidth="1"/>
    <col min="7433" max="7433" width="15" style="968" customWidth="1"/>
    <col min="7434" max="7434" width="13.42578125" style="968" customWidth="1"/>
    <col min="7435" max="7435" width="13.28515625" style="968" customWidth="1"/>
    <col min="7436" max="7436" width="12.5703125" style="968" customWidth="1"/>
    <col min="7437" max="7437" width="11.7109375" style="968" customWidth="1"/>
    <col min="7438" max="7438" width="10.42578125" style="968" customWidth="1"/>
    <col min="7439" max="7439" width="11.5703125" style="968" customWidth="1"/>
    <col min="7440" max="7440" width="11.85546875" style="968" customWidth="1"/>
    <col min="7441" max="7442" width="13.7109375" style="968" customWidth="1"/>
    <col min="7443" max="7443" width="11.7109375" style="968" customWidth="1"/>
    <col min="7444" max="7444" width="13.7109375" style="968" customWidth="1"/>
    <col min="7445" max="7445" width="12.140625" style="968" customWidth="1"/>
    <col min="7446" max="7446" width="12.85546875" style="968" customWidth="1"/>
    <col min="7447" max="7447" width="12.7109375" style="968" customWidth="1"/>
    <col min="7448" max="7448" width="12.5703125" style="968" customWidth="1"/>
    <col min="7449" max="7449" width="13.85546875" style="968" bestFit="1" customWidth="1"/>
    <col min="7450" max="7680" width="9.140625" style="968"/>
    <col min="7681" max="7682" width="5.28515625" style="968" customWidth="1"/>
    <col min="7683" max="7683" width="35.28515625" style="968" customWidth="1"/>
    <col min="7684" max="7684" width="6.42578125" style="968" customWidth="1"/>
    <col min="7685" max="7685" width="6.7109375" style="968" customWidth="1"/>
    <col min="7686" max="7686" width="6.5703125" style="968" customWidth="1"/>
    <col min="7687" max="7687" width="5.28515625" style="968" customWidth="1"/>
    <col min="7688" max="7688" width="14" style="968" customWidth="1"/>
    <col min="7689" max="7689" width="15" style="968" customWidth="1"/>
    <col min="7690" max="7690" width="13.42578125" style="968" customWidth="1"/>
    <col min="7691" max="7691" width="13.28515625" style="968" customWidth="1"/>
    <col min="7692" max="7692" width="12.5703125" style="968" customWidth="1"/>
    <col min="7693" max="7693" width="11.7109375" style="968" customWidth="1"/>
    <col min="7694" max="7694" width="10.42578125" style="968" customWidth="1"/>
    <col min="7695" max="7695" width="11.5703125" style="968" customWidth="1"/>
    <col min="7696" max="7696" width="11.85546875" style="968" customWidth="1"/>
    <col min="7697" max="7698" width="13.7109375" style="968" customWidth="1"/>
    <col min="7699" max="7699" width="11.7109375" style="968" customWidth="1"/>
    <col min="7700" max="7700" width="13.7109375" style="968" customWidth="1"/>
    <col min="7701" max="7701" width="12.140625" style="968" customWidth="1"/>
    <col min="7702" max="7702" width="12.85546875" style="968" customWidth="1"/>
    <col min="7703" max="7703" width="12.7109375" style="968" customWidth="1"/>
    <col min="7704" max="7704" width="12.5703125" style="968" customWidth="1"/>
    <col min="7705" max="7705" width="13.85546875" style="968" bestFit="1" customWidth="1"/>
    <col min="7706" max="7936" width="9.140625" style="968"/>
    <col min="7937" max="7938" width="5.28515625" style="968" customWidth="1"/>
    <col min="7939" max="7939" width="35.28515625" style="968" customWidth="1"/>
    <col min="7940" max="7940" width="6.42578125" style="968" customWidth="1"/>
    <col min="7941" max="7941" width="6.7109375" style="968" customWidth="1"/>
    <col min="7942" max="7942" width="6.5703125" style="968" customWidth="1"/>
    <col min="7943" max="7943" width="5.28515625" style="968" customWidth="1"/>
    <col min="7944" max="7944" width="14" style="968" customWidth="1"/>
    <col min="7945" max="7945" width="15" style="968" customWidth="1"/>
    <col min="7946" max="7946" width="13.42578125" style="968" customWidth="1"/>
    <col min="7947" max="7947" width="13.28515625" style="968" customWidth="1"/>
    <col min="7948" max="7948" width="12.5703125" style="968" customWidth="1"/>
    <col min="7949" max="7949" width="11.7109375" style="968" customWidth="1"/>
    <col min="7950" max="7950" width="10.42578125" style="968" customWidth="1"/>
    <col min="7951" max="7951" width="11.5703125" style="968" customWidth="1"/>
    <col min="7952" max="7952" width="11.85546875" style="968" customWidth="1"/>
    <col min="7953" max="7954" width="13.7109375" style="968" customWidth="1"/>
    <col min="7955" max="7955" width="11.7109375" style="968" customWidth="1"/>
    <col min="7956" max="7956" width="13.7109375" style="968" customWidth="1"/>
    <col min="7957" max="7957" width="12.140625" style="968" customWidth="1"/>
    <col min="7958" max="7958" width="12.85546875" style="968" customWidth="1"/>
    <col min="7959" max="7959" width="12.7109375" style="968" customWidth="1"/>
    <col min="7960" max="7960" width="12.5703125" style="968" customWidth="1"/>
    <col min="7961" max="7961" width="13.85546875" style="968" bestFit="1" customWidth="1"/>
    <col min="7962" max="8192" width="9.140625" style="968"/>
    <col min="8193" max="8194" width="5.28515625" style="968" customWidth="1"/>
    <col min="8195" max="8195" width="35.28515625" style="968" customWidth="1"/>
    <col min="8196" max="8196" width="6.42578125" style="968" customWidth="1"/>
    <col min="8197" max="8197" width="6.7109375" style="968" customWidth="1"/>
    <col min="8198" max="8198" width="6.5703125" style="968" customWidth="1"/>
    <col min="8199" max="8199" width="5.28515625" style="968" customWidth="1"/>
    <col min="8200" max="8200" width="14" style="968" customWidth="1"/>
    <col min="8201" max="8201" width="15" style="968" customWidth="1"/>
    <col min="8202" max="8202" width="13.42578125" style="968" customWidth="1"/>
    <col min="8203" max="8203" width="13.28515625" style="968" customWidth="1"/>
    <col min="8204" max="8204" width="12.5703125" style="968" customWidth="1"/>
    <col min="8205" max="8205" width="11.7109375" style="968" customWidth="1"/>
    <col min="8206" max="8206" width="10.42578125" style="968" customWidth="1"/>
    <col min="8207" max="8207" width="11.5703125" style="968" customWidth="1"/>
    <col min="8208" max="8208" width="11.85546875" style="968" customWidth="1"/>
    <col min="8209" max="8210" width="13.7109375" style="968" customWidth="1"/>
    <col min="8211" max="8211" width="11.7109375" style="968" customWidth="1"/>
    <col min="8212" max="8212" width="13.7109375" style="968" customWidth="1"/>
    <col min="8213" max="8213" width="12.140625" style="968" customWidth="1"/>
    <col min="8214" max="8214" width="12.85546875" style="968" customWidth="1"/>
    <col min="8215" max="8215" width="12.7109375" style="968" customWidth="1"/>
    <col min="8216" max="8216" width="12.5703125" style="968" customWidth="1"/>
    <col min="8217" max="8217" width="13.85546875" style="968" bestFit="1" customWidth="1"/>
    <col min="8218" max="8448" width="9.140625" style="968"/>
    <col min="8449" max="8450" width="5.28515625" style="968" customWidth="1"/>
    <col min="8451" max="8451" width="35.28515625" style="968" customWidth="1"/>
    <col min="8452" max="8452" width="6.42578125" style="968" customWidth="1"/>
    <col min="8453" max="8453" width="6.7109375" style="968" customWidth="1"/>
    <col min="8454" max="8454" width="6.5703125" style="968" customWidth="1"/>
    <col min="8455" max="8455" width="5.28515625" style="968" customWidth="1"/>
    <col min="8456" max="8456" width="14" style="968" customWidth="1"/>
    <col min="8457" max="8457" width="15" style="968" customWidth="1"/>
    <col min="8458" max="8458" width="13.42578125" style="968" customWidth="1"/>
    <col min="8459" max="8459" width="13.28515625" style="968" customWidth="1"/>
    <col min="8460" max="8460" width="12.5703125" style="968" customWidth="1"/>
    <col min="8461" max="8461" width="11.7109375" style="968" customWidth="1"/>
    <col min="8462" max="8462" width="10.42578125" style="968" customWidth="1"/>
    <col min="8463" max="8463" width="11.5703125" style="968" customWidth="1"/>
    <col min="8464" max="8464" width="11.85546875" style="968" customWidth="1"/>
    <col min="8465" max="8466" width="13.7109375" style="968" customWidth="1"/>
    <col min="8467" max="8467" width="11.7109375" style="968" customWidth="1"/>
    <col min="8468" max="8468" width="13.7109375" style="968" customWidth="1"/>
    <col min="8469" max="8469" width="12.140625" style="968" customWidth="1"/>
    <col min="8470" max="8470" width="12.85546875" style="968" customWidth="1"/>
    <col min="8471" max="8471" width="12.7109375" style="968" customWidth="1"/>
    <col min="8472" max="8472" width="12.5703125" style="968" customWidth="1"/>
    <col min="8473" max="8473" width="13.85546875" style="968" bestFit="1" customWidth="1"/>
    <col min="8474" max="8704" width="9.140625" style="968"/>
    <col min="8705" max="8706" width="5.28515625" style="968" customWidth="1"/>
    <col min="8707" max="8707" width="35.28515625" style="968" customWidth="1"/>
    <col min="8708" max="8708" width="6.42578125" style="968" customWidth="1"/>
    <col min="8709" max="8709" width="6.7109375" style="968" customWidth="1"/>
    <col min="8710" max="8710" width="6.5703125" style="968" customWidth="1"/>
    <col min="8711" max="8711" width="5.28515625" style="968" customWidth="1"/>
    <col min="8712" max="8712" width="14" style="968" customWidth="1"/>
    <col min="8713" max="8713" width="15" style="968" customWidth="1"/>
    <col min="8714" max="8714" width="13.42578125" style="968" customWidth="1"/>
    <col min="8715" max="8715" width="13.28515625" style="968" customWidth="1"/>
    <col min="8716" max="8716" width="12.5703125" style="968" customWidth="1"/>
    <col min="8717" max="8717" width="11.7109375" style="968" customWidth="1"/>
    <col min="8718" max="8718" width="10.42578125" style="968" customWidth="1"/>
    <col min="8719" max="8719" width="11.5703125" style="968" customWidth="1"/>
    <col min="8720" max="8720" width="11.85546875" style="968" customWidth="1"/>
    <col min="8721" max="8722" width="13.7109375" style="968" customWidth="1"/>
    <col min="8723" max="8723" width="11.7109375" style="968" customWidth="1"/>
    <col min="8724" max="8724" width="13.7109375" style="968" customWidth="1"/>
    <col min="8725" max="8725" width="12.140625" style="968" customWidth="1"/>
    <col min="8726" max="8726" width="12.85546875" style="968" customWidth="1"/>
    <col min="8727" max="8727" width="12.7109375" style="968" customWidth="1"/>
    <col min="8728" max="8728" width="12.5703125" style="968" customWidth="1"/>
    <col min="8729" max="8729" width="13.85546875" style="968" bestFit="1" customWidth="1"/>
    <col min="8730" max="8960" width="9.140625" style="968"/>
    <col min="8961" max="8962" width="5.28515625" style="968" customWidth="1"/>
    <col min="8963" max="8963" width="35.28515625" style="968" customWidth="1"/>
    <col min="8964" max="8964" width="6.42578125" style="968" customWidth="1"/>
    <col min="8965" max="8965" width="6.7109375" style="968" customWidth="1"/>
    <col min="8966" max="8966" width="6.5703125" style="968" customWidth="1"/>
    <col min="8967" max="8967" width="5.28515625" style="968" customWidth="1"/>
    <col min="8968" max="8968" width="14" style="968" customWidth="1"/>
    <col min="8969" max="8969" width="15" style="968" customWidth="1"/>
    <col min="8970" max="8970" width="13.42578125" style="968" customWidth="1"/>
    <col min="8971" max="8971" width="13.28515625" style="968" customWidth="1"/>
    <col min="8972" max="8972" width="12.5703125" style="968" customWidth="1"/>
    <col min="8973" max="8973" width="11.7109375" style="968" customWidth="1"/>
    <col min="8974" max="8974" width="10.42578125" style="968" customWidth="1"/>
    <col min="8975" max="8975" width="11.5703125" style="968" customWidth="1"/>
    <col min="8976" max="8976" width="11.85546875" style="968" customWidth="1"/>
    <col min="8977" max="8978" width="13.7109375" style="968" customWidth="1"/>
    <col min="8979" max="8979" width="11.7109375" style="968" customWidth="1"/>
    <col min="8980" max="8980" width="13.7109375" style="968" customWidth="1"/>
    <col min="8981" max="8981" width="12.140625" style="968" customWidth="1"/>
    <col min="8982" max="8982" width="12.85546875" style="968" customWidth="1"/>
    <col min="8983" max="8983" width="12.7109375" style="968" customWidth="1"/>
    <col min="8984" max="8984" width="12.5703125" style="968" customWidth="1"/>
    <col min="8985" max="8985" width="13.85546875" style="968" bestFit="1" customWidth="1"/>
    <col min="8986" max="9216" width="9.140625" style="968"/>
    <col min="9217" max="9218" width="5.28515625" style="968" customWidth="1"/>
    <col min="9219" max="9219" width="35.28515625" style="968" customWidth="1"/>
    <col min="9220" max="9220" width="6.42578125" style="968" customWidth="1"/>
    <col min="9221" max="9221" width="6.7109375" style="968" customWidth="1"/>
    <col min="9222" max="9222" width="6.5703125" style="968" customWidth="1"/>
    <col min="9223" max="9223" width="5.28515625" style="968" customWidth="1"/>
    <col min="9224" max="9224" width="14" style="968" customWidth="1"/>
    <col min="9225" max="9225" width="15" style="968" customWidth="1"/>
    <col min="9226" max="9226" width="13.42578125" style="968" customWidth="1"/>
    <col min="9227" max="9227" width="13.28515625" style="968" customWidth="1"/>
    <col min="9228" max="9228" width="12.5703125" style="968" customWidth="1"/>
    <col min="9229" max="9229" width="11.7109375" style="968" customWidth="1"/>
    <col min="9230" max="9230" width="10.42578125" style="968" customWidth="1"/>
    <col min="9231" max="9231" width="11.5703125" style="968" customWidth="1"/>
    <col min="9232" max="9232" width="11.85546875" style="968" customWidth="1"/>
    <col min="9233" max="9234" width="13.7109375" style="968" customWidth="1"/>
    <col min="9235" max="9235" width="11.7109375" style="968" customWidth="1"/>
    <col min="9236" max="9236" width="13.7109375" style="968" customWidth="1"/>
    <col min="9237" max="9237" width="12.140625" style="968" customWidth="1"/>
    <col min="9238" max="9238" width="12.85546875" style="968" customWidth="1"/>
    <col min="9239" max="9239" width="12.7109375" style="968" customWidth="1"/>
    <col min="9240" max="9240" width="12.5703125" style="968" customWidth="1"/>
    <col min="9241" max="9241" width="13.85546875" style="968" bestFit="1" customWidth="1"/>
    <col min="9242" max="9472" width="9.140625" style="968"/>
    <col min="9473" max="9474" width="5.28515625" style="968" customWidth="1"/>
    <col min="9475" max="9475" width="35.28515625" style="968" customWidth="1"/>
    <col min="9476" max="9476" width="6.42578125" style="968" customWidth="1"/>
    <col min="9477" max="9477" width="6.7109375" style="968" customWidth="1"/>
    <col min="9478" max="9478" width="6.5703125" style="968" customWidth="1"/>
    <col min="9479" max="9479" width="5.28515625" style="968" customWidth="1"/>
    <col min="9480" max="9480" width="14" style="968" customWidth="1"/>
    <col min="9481" max="9481" width="15" style="968" customWidth="1"/>
    <col min="9482" max="9482" width="13.42578125" style="968" customWidth="1"/>
    <col min="9483" max="9483" width="13.28515625" style="968" customWidth="1"/>
    <col min="9484" max="9484" width="12.5703125" style="968" customWidth="1"/>
    <col min="9485" max="9485" width="11.7109375" style="968" customWidth="1"/>
    <col min="9486" max="9486" width="10.42578125" style="968" customWidth="1"/>
    <col min="9487" max="9487" width="11.5703125" style="968" customWidth="1"/>
    <col min="9488" max="9488" width="11.85546875" style="968" customWidth="1"/>
    <col min="9489" max="9490" width="13.7109375" style="968" customWidth="1"/>
    <col min="9491" max="9491" width="11.7109375" style="968" customWidth="1"/>
    <col min="9492" max="9492" width="13.7109375" style="968" customWidth="1"/>
    <col min="9493" max="9493" width="12.140625" style="968" customWidth="1"/>
    <col min="9494" max="9494" width="12.85546875" style="968" customWidth="1"/>
    <col min="9495" max="9495" width="12.7109375" style="968" customWidth="1"/>
    <col min="9496" max="9496" width="12.5703125" style="968" customWidth="1"/>
    <col min="9497" max="9497" width="13.85546875" style="968" bestFit="1" customWidth="1"/>
    <col min="9498" max="9728" width="9.140625" style="968"/>
    <col min="9729" max="9730" width="5.28515625" style="968" customWidth="1"/>
    <col min="9731" max="9731" width="35.28515625" style="968" customWidth="1"/>
    <col min="9732" max="9732" width="6.42578125" style="968" customWidth="1"/>
    <col min="9733" max="9733" width="6.7109375" style="968" customWidth="1"/>
    <col min="9734" max="9734" width="6.5703125" style="968" customWidth="1"/>
    <col min="9735" max="9735" width="5.28515625" style="968" customWidth="1"/>
    <col min="9736" max="9736" width="14" style="968" customWidth="1"/>
    <col min="9737" max="9737" width="15" style="968" customWidth="1"/>
    <col min="9738" max="9738" width="13.42578125" style="968" customWidth="1"/>
    <col min="9739" max="9739" width="13.28515625" style="968" customWidth="1"/>
    <col min="9740" max="9740" width="12.5703125" style="968" customWidth="1"/>
    <col min="9741" max="9741" width="11.7109375" style="968" customWidth="1"/>
    <col min="9742" max="9742" width="10.42578125" style="968" customWidth="1"/>
    <col min="9743" max="9743" width="11.5703125" style="968" customWidth="1"/>
    <col min="9744" max="9744" width="11.85546875" style="968" customWidth="1"/>
    <col min="9745" max="9746" width="13.7109375" style="968" customWidth="1"/>
    <col min="9747" max="9747" width="11.7109375" style="968" customWidth="1"/>
    <col min="9748" max="9748" width="13.7109375" style="968" customWidth="1"/>
    <col min="9749" max="9749" width="12.140625" style="968" customWidth="1"/>
    <col min="9750" max="9750" width="12.85546875" style="968" customWidth="1"/>
    <col min="9751" max="9751" width="12.7109375" style="968" customWidth="1"/>
    <col min="9752" max="9752" width="12.5703125" style="968" customWidth="1"/>
    <col min="9753" max="9753" width="13.85546875" style="968" bestFit="1" customWidth="1"/>
    <col min="9754" max="9984" width="9.140625" style="968"/>
    <col min="9985" max="9986" width="5.28515625" style="968" customWidth="1"/>
    <col min="9987" max="9987" width="35.28515625" style="968" customWidth="1"/>
    <col min="9988" max="9988" width="6.42578125" style="968" customWidth="1"/>
    <col min="9989" max="9989" width="6.7109375" style="968" customWidth="1"/>
    <col min="9990" max="9990" width="6.5703125" style="968" customWidth="1"/>
    <col min="9991" max="9991" width="5.28515625" style="968" customWidth="1"/>
    <col min="9992" max="9992" width="14" style="968" customWidth="1"/>
    <col min="9993" max="9993" width="15" style="968" customWidth="1"/>
    <col min="9994" max="9994" width="13.42578125" style="968" customWidth="1"/>
    <col min="9995" max="9995" width="13.28515625" style="968" customWidth="1"/>
    <col min="9996" max="9996" width="12.5703125" style="968" customWidth="1"/>
    <col min="9997" max="9997" width="11.7109375" style="968" customWidth="1"/>
    <col min="9998" max="9998" width="10.42578125" style="968" customWidth="1"/>
    <col min="9999" max="9999" width="11.5703125" style="968" customWidth="1"/>
    <col min="10000" max="10000" width="11.85546875" style="968" customWidth="1"/>
    <col min="10001" max="10002" width="13.7109375" style="968" customWidth="1"/>
    <col min="10003" max="10003" width="11.7109375" style="968" customWidth="1"/>
    <col min="10004" max="10004" width="13.7109375" style="968" customWidth="1"/>
    <col min="10005" max="10005" width="12.140625" style="968" customWidth="1"/>
    <col min="10006" max="10006" width="12.85546875" style="968" customWidth="1"/>
    <col min="10007" max="10007" width="12.7109375" style="968" customWidth="1"/>
    <col min="10008" max="10008" width="12.5703125" style="968" customWidth="1"/>
    <col min="10009" max="10009" width="13.85546875" style="968" bestFit="1" customWidth="1"/>
    <col min="10010" max="10240" width="9.140625" style="968"/>
    <col min="10241" max="10242" width="5.28515625" style="968" customWidth="1"/>
    <col min="10243" max="10243" width="35.28515625" style="968" customWidth="1"/>
    <col min="10244" max="10244" width="6.42578125" style="968" customWidth="1"/>
    <col min="10245" max="10245" width="6.7109375" style="968" customWidth="1"/>
    <col min="10246" max="10246" width="6.5703125" style="968" customWidth="1"/>
    <col min="10247" max="10247" width="5.28515625" style="968" customWidth="1"/>
    <col min="10248" max="10248" width="14" style="968" customWidth="1"/>
    <col min="10249" max="10249" width="15" style="968" customWidth="1"/>
    <col min="10250" max="10250" width="13.42578125" style="968" customWidth="1"/>
    <col min="10251" max="10251" width="13.28515625" style="968" customWidth="1"/>
    <col min="10252" max="10252" width="12.5703125" style="968" customWidth="1"/>
    <col min="10253" max="10253" width="11.7109375" style="968" customWidth="1"/>
    <col min="10254" max="10254" width="10.42578125" style="968" customWidth="1"/>
    <col min="10255" max="10255" width="11.5703125" style="968" customWidth="1"/>
    <col min="10256" max="10256" width="11.85546875" style="968" customWidth="1"/>
    <col min="10257" max="10258" width="13.7109375" style="968" customWidth="1"/>
    <col min="10259" max="10259" width="11.7109375" style="968" customWidth="1"/>
    <col min="10260" max="10260" width="13.7109375" style="968" customWidth="1"/>
    <col min="10261" max="10261" width="12.140625" style="968" customWidth="1"/>
    <col min="10262" max="10262" width="12.85546875" style="968" customWidth="1"/>
    <col min="10263" max="10263" width="12.7109375" style="968" customWidth="1"/>
    <col min="10264" max="10264" width="12.5703125" style="968" customWidth="1"/>
    <col min="10265" max="10265" width="13.85546875" style="968" bestFit="1" customWidth="1"/>
    <col min="10266" max="10496" width="9.140625" style="968"/>
    <col min="10497" max="10498" width="5.28515625" style="968" customWidth="1"/>
    <col min="10499" max="10499" width="35.28515625" style="968" customWidth="1"/>
    <col min="10500" max="10500" width="6.42578125" style="968" customWidth="1"/>
    <col min="10501" max="10501" width="6.7109375" style="968" customWidth="1"/>
    <col min="10502" max="10502" width="6.5703125" style="968" customWidth="1"/>
    <col min="10503" max="10503" width="5.28515625" style="968" customWidth="1"/>
    <col min="10504" max="10504" width="14" style="968" customWidth="1"/>
    <col min="10505" max="10505" width="15" style="968" customWidth="1"/>
    <col min="10506" max="10506" width="13.42578125" style="968" customWidth="1"/>
    <col min="10507" max="10507" width="13.28515625" style="968" customWidth="1"/>
    <col min="10508" max="10508" width="12.5703125" style="968" customWidth="1"/>
    <col min="10509" max="10509" width="11.7109375" style="968" customWidth="1"/>
    <col min="10510" max="10510" width="10.42578125" style="968" customWidth="1"/>
    <col min="10511" max="10511" width="11.5703125" style="968" customWidth="1"/>
    <col min="10512" max="10512" width="11.85546875" style="968" customWidth="1"/>
    <col min="10513" max="10514" width="13.7109375" style="968" customWidth="1"/>
    <col min="10515" max="10515" width="11.7109375" style="968" customWidth="1"/>
    <col min="10516" max="10516" width="13.7109375" style="968" customWidth="1"/>
    <col min="10517" max="10517" width="12.140625" style="968" customWidth="1"/>
    <col min="10518" max="10518" width="12.85546875" style="968" customWidth="1"/>
    <col min="10519" max="10519" width="12.7109375" style="968" customWidth="1"/>
    <col min="10520" max="10520" width="12.5703125" style="968" customWidth="1"/>
    <col min="10521" max="10521" width="13.85546875" style="968" bestFit="1" customWidth="1"/>
    <col min="10522" max="10752" width="9.140625" style="968"/>
    <col min="10753" max="10754" width="5.28515625" style="968" customWidth="1"/>
    <col min="10755" max="10755" width="35.28515625" style="968" customWidth="1"/>
    <col min="10756" max="10756" width="6.42578125" style="968" customWidth="1"/>
    <col min="10757" max="10757" width="6.7109375" style="968" customWidth="1"/>
    <col min="10758" max="10758" width="6.5703125" style="968" customWidth="1"/>
    <col min="10759" max="10759" width="5.28515625" style="968" customWidth="1"/>
    <col min="10760" max="10760" width="14" style="968" customWidth="1"/>
    <col min="10761" max="10761" width="15" style="968" customWidth="1"/>
    <col min="10762" max="10762" width="13.42578125" style="968" customWidth="1"/>
    <col min="10763" max="10763" width="13.28515625" style="968" customWidth="1"/>
    <col min="10764" max="10764" width="12.5703125" style="968" customWidth="1"/>
    <col min="10765" max="10765" width="11.7109375" style="968" customWidth="1"/>
    <col min="10766" max="10766" width="10.42578125" style="968" customWidth="1"/>
    <col min="10767" max="10767" width="11.5703125" style="968" customWidth="1"/>
    <col min="10768" max="10768" width="11.85546875" style="968" customWidth="1"/>
    <col min="10769" max="10770" width="13.7109375" style="968" customWidth="1"/>
    <col min="10771" max="10771" width="11.7109375" style="968" customWidth="1"/>
    <col min="10772" max="10772" width="13.7109375" style="968" customWidth="1"/>
    <col min="10773" max="10773" width="12.140625" style="968" customWidth="1"/>
    <col min="10774" max="10774" width="12.85546875" style="968" customWidth="1"/>
    <col min="10775" max="10775" width="12.7109375" style="968" customWidth="1"/>
    <col min="10776" max="10776" width="12.5703125" style="968" customWidth="1"/>
    <col min="10777" max="10777" width="13.85546875" style="968" bestFit="1" customWidth="1"/>
    <col min="10778" max="11008" width="9.140625" style="968"/>
    <col min="11009" max="11010" width="5.28515625" style="968" customWidth="1"/>
    <col min="11011" max="11011" width="35.28515625" style="968" customWidth="1"/>
    <col min="11012" max="11012" width="6.42578125" style="968" customWidth="1"/>
    <col min="11013" max="11013" width="6.7109375" style="968" customWidth="1"/>
    <col min="11014" max="11014" width="6.5703125" style="968" customWidth="1"/>
    <col min="11015" max="11015" width="5.28515625" style="968" customWidth="1"/>
    <col min="11016" max="11016" width="14" style="968" customWidth="1"/>
    <col min="11017" max="11017" width="15" style="968" customWidth="1"/>
    <col min="11018" max="11018" width="13.42578125" style="968" customWidth="1"/>
    <col min="11019" max="11019" width="13.28515625" style="968" customWidth="1"/>
    <col min="11020" max="11020" width="12.5703125" style="968" customWidth="1"/>
    <col min="11021" max="11021" width="11.7109375" style="968" customWidth="1"/>
    <col min="11022" max="11022" width="10.42578125" style="968" customWidth="1"/>
    <col min="11023" max="11023" width="11.5703125" style="968" customWidth="1"/>
    <col min="11024" max="11024" width="11.85546875" style="968" customWidth="1"/>
    <col min="11025" max="11026" width="13.7109375" style="968" customWidth="1"/>
    <col min="11027" max="11027" width="11.7109375" style="968" customWidth="1"/>
    <col min="11028" max="11028" width="13.7109375" style="968" customWidth="1"/>
    <col min="11029" max="11029" width="12.140625" style="968" customWidth="1"/>
    <col min="11030" max="11030" width="12.85546875" style="968" customWidth="1"/>
    <col min="11031" max="11031" width="12.7109375" style="968" customWidth="1"/>
    <col min="11032" max="11032" width="12.5703125" style="968" customWidth="1"/>
    <col min="11033" max="11033" width="13.85546875" style="968" bestFit="1" customWidth="1"/>
    <col min="11034" max="11264" width="9.140625" style="968"/>
    <col min="11265" max="11266" width="5.28515625" style="968" customWidth="1"/>
    <col min="11267" max="11267" width="35.28515625" style="968" customWidth="1"/>
    <col min="11268" max="11268" width="6.42578125" style="968" customWidth="1"/>
    <col min="11269" max="11269" width="6.7109375" style="968" customWidth="1"/>
    <col min="11270" max="11270" width="6.5703125" style="968" customWidth="1"/>
    <col min="11271" max="11271" width="5.28515625" style="968" customWidth="1"/>
    <col min="11272" max="11272" width="14" style="968" customWidth="1"/>
    <col min="11273" max="11273" width="15" style="968" customWidth="1"/>
    <col min="11274" max="11274" width="13.42578125" style="968" customWidth="1"/>
    <col min="11275" max="11275" width="13.28515625" style="968" customWidth="1"/>
    <col min="11276" max="11276" width="12.5703125" style="968" customWidth="1"/>
    <col min="11277" max="11277" width="11.7109375" style="968" customWidth="1"/>
    <col min="11278" max="11278" width="10.42578125" style="968" customWidth="1"/>
    <col min="11279" max="11279" width="11.5703125" style="968" customWidth="1"/>
    <col min="11280" max="11280" width="11.85546875" style="968" customWidth="1"/>
    <col min="11281" max="11282" width="13.7109375" style="968" customWidth="1"/>
    <col min="11283" max="11283" width="11.7109375" style="968" customWidth="1"/>
    <col min="11284" max="11284" width="13.7109375" style="968" customWidth="1"/>
    <col min="11285" max="11285" width="12.140625" style="968" customWidth="1"/>
    <col min="11286" max="11286" width="12.85546875" style="968" customWidth="1"/>
    <col min="11287" max="11287" width="12.7109375" style="968" customWidth="1"/>
    <col min="11288" max="11288" width="12.5703125" style="968" customWidth="1"/>
    <col min="11289" max="11289" width="13.85546875" style="968" bestFit="1" customWidth="1"/>
    <col min="11290" max="11520" width="9.140625" style="968"/>
    <col min="11521" max="11522" width="5.28515625" style="968" customWidth="1"/>
    <col min="11523" max="11523" width="35.28515625" style="968" customWidth="1"/>
    <col min="11524" max="11524" width="6.42578125" style="968" customWidth="1"/>
    <col min="11525" max="11525" width="6.7109375" style="968" customWidth="1"/>
    <col min="11526" max="11526" width="6.5703125" style="968" customWidth="1"/>
    <col min="11527" max="11527" width="5.28515625" style="968" customWidth="1"/>
    <col min="11528" max="11528" width="14" style="968" customWidth="1"/>
    <col min="11529" max="11529" width="15" style="968" customWidth="1"/>
    <col min="11530" max="11530" width="13.42578125" style="968" customWidth="1"/>
    <col min="11531" max="11531" width="13.28515625" style="968" customWidth="1"/>
    <col min="11532" max="11532" width="12.5703125" style="968" customWidth="1"/>
    <col min="11533" max="11533" width="11.7109375" style="968" customWidth="1"/>
    <col min="11534" max="11534" width="10.42578125" style="968" customWidth="1"/>
    <col min="11535" max="11535" width="11.5703125" style="968" customWidth="1"/>
    <col min="11536" max="11536" width="11.85546875" style="968" customWidth="1"/>
    <col min="11537" max="11538" width="13.7109375" style="968" customWidth="1"/>
    <col min="11539" max="11539" width="11.7109375" style="968" customWidth="1"/>
    <col min="11540" max="11540" width="13.7109375" style="968" customWidth="1"/>
    <col min="11541" max="11541" width="12.140625" style="968" customWidth="1"/>
    <col min="11542" max="11542" width="12.85546875" style="968" customWidth="1"/>
    <col min="11543" max="11543" width="12.7109375" style="968" customWidth="1"/>
    <col min="11544" max="11544" width="12.5703125" style="968" customWidth="1"/>
    <col min="11545" max="11545" width="13.85546875" style="968" bestFit="1" customWidth="1"/>
    <col min="11546" max="11776" width="9.140625" style="968"/>
    <col min="11777" max="11778" width="5.28515625" style="968" customWidth="1"/>
    <col min="11779" max="11779" width="35.28515625" style="968" customWidth="1"/>
    <col min="11780" max="11780" width="6.42578125" style="968" customWidth="1"/>
    <col min="11781" max="11781" width="6.7109375" style="968" customWidth="1"/>
    <col min="11782" max="11782" width="6.5703125" style="968" customWidth="1"/>
    <col min="11783" max="11783" width="5.28515625" style="968" customWidth="1"/>
    <col min="11784" max="11784" width="14" style="968" customWidth="1"/>
    <col min="11785" max="11785" width="15" style="968" customWidth="1"/>
    <col min="11786" max="11786" width="13.42578125" style="968" customWidth="1"/>
    <col min="11787" max="11787" width="13.28515625" style="968" customWidth="1"/>
    <col min="11788" max="11788" width="12.5703125" style="968" customWidth="1"/>
    <col min="11789" max="11789" width="11.7109375" style="968" customWidth="1"/>
    <col min="11790" max="11790" width="10.42578125" style="968" customWidth="1"/>
    <col min="11791" max="11791" width="11.5703125" style="968" customWidth="1"/>
    <col min="11792" max="11792" width="11.85546875" style="968" customWidth="1"/>
    <col min="11793" max="11794" width="13.7109375" style="968" customWidth="1"/>
    <col min="11795" max="11795" width="11.7109375" style="968" customWidth="1"/>
    <col min="11796" max="11796" width="13.7109375" style="968" customWidth="1"/>
    <col min="11797" max="11797" width="12.140625" style="968" customWidth="1"/>
    <col min="11798" max="11798" width="12.85546875" style="968" customWidth="1"/>
    <col min="11799" max="11799" width="12.7109375" style="968" customWidth="1"/>
    <col min="11800" max="11800" width="12.5703125" style="968" customWidth="1"/>
    <col min="11801" max="11801" width="13.85546875" style="968" bestFit="1" customWidth="1"/>
    <col min="11802" max="12032" width="9.140625" style="968"/>
    <col min="12033" max="12034" width="5.28515625" style="968" customWidth="1"/>
    <col min="12035" max="12035" width="35.28515625" style="968" customWidth="1"/>
    <col min="12036" max="12036" width="6.42578125" style="968" customWidth="1"/>
    <col min="12037" max="12037" width="6.7109375" style="968" customWidth="1"/>
    <col min="12038" max="12038" width="6.5703125" style="968" customWidth="1"/>
    <col min="12039" max="12039" width="5.28515625" style="968" customWidth="1"/>
    <col min="12040" max="12040" width="14" style="968" customWidth="1"/>
    <col min="12041" max="12041" width="15" style="968" customWidth="1"/>
    <col min="12042" max="12042" width="13.42578125" style="968" customWidth="1"/>
    <col min="12043" max="12043" width="13.28515625" style="968" customWidth="1"/>
    <col min="12044" max="12044" width="12.5703125" style="968" customWidth="1"/>
    <col min="12045" max="12045" width="11.7109375" style="968" customWidth="1"/>
    <col min="12046" max="12046" width="10.42578125" style="968" customWidth="1"/>
    <col min="12047" max="12047" width="11.5703125" style="968" customWidth="1"/>
    <col min="12048" max="12048" width="11.85546875" style="968" customWidth="1"/>
    <col min="12049" max="12050" width="13.7109375" style="968" customWidth="1"/>
    <col min="12051" max="12051" width="11.7109375" style="968" customWidth="1"/>
    <col min="12052" max="12052" width="13.7109375" style="968" customWidth="1"/>
    <col min="12053" max="12053" width="12.140625" style="968" customWidth="1"/>
    <col min="12054" max="12054" width="12.85546875" style="968" customWidth="1"/>
    <col min="12055" max="12055" width="12.7109375" style="968" customWidth="1"/>
    <col min="12056" max="12056" width="12.5703125" style="968" customWidth="1"/>
    <col min="12057" max="12057" width="13.85546875" style="968" bestFit="1" customWidth="1"/>
    <col min="12058" max="12288" width="9.140625" style="968"/>
    <col min="12289" max="12290" width="5.28515625" style="968" customWidth="1"/>
    <col min="12291" max="12291" width="35.28515625" style="968" customWidth="1"/>
    <col min="12292" max="12292" width="6.42578125" style="968" customWidth="1"/>
    <col min="12293" max="12293" width="6.7109375" style="968" customWidth="1"/>
    <col min="12294" max="12294" width="6.5703125" style="968" customWidth="1"/>
    <col min="12295" max="12295" width="5.28515625" style="968" customWidth="1"/>
    <col min="12296" max="12296" width="14" style="968" customWidth="1"/>
    <col min="12297" max="12297" width="15" style="968" customWidth="1"/>
    <col min="12298" max="12298" width="13.42578125" style="968" customWidth="1"/>
    <col min="12299" max="12299" width="13.28515625" style="968" customWidth="1"/>
    <col min="12300" max="12300" width="12.5703125" style="968" customWidth="1"/>
    <col min="12301" max="12301" width="11.7109375" style="968" customWidth="1"/>
    <col min="12302" max="12302" width="10.42578125" style="968" customWidth="1"/>
    <col min="12303" max="12303" width="11.5703125" style="968" customWidth="1"/>
    <col min="12304" max="12304" width="11.85546875" style="968" customWidth="1"/>
    <col min="12305" max="12306" width="13.7109375" style="968" customWidth="1"/>
    <col min="12307" max="12307" width="11.7109375" style="968" customWidth="1"/>
    <col min="12308" max="12308" width="13.7109375" style="968" customWidth="1"/>
    <col min="12309" max="12309" width="12.140625" style="968" customWidth="1"/>
    <col min="12310" max="12310" width="12.85546875" style="968" customWidth="1"/>
    <col min="12311" max="12311" width="12.7109375" style="968" customWidth="1"/>
    <col min="12312" max="12312" width="12.5703125" style="968" customWidth="1"/>
    <col min="12313" max="12313" width="13.85546875" style="968" bestFit="1" customWidth="1"/>
    <col min="12314" max="12544" width="9.140625" style="968"/>
    <col min="12545" max="12546" width="5.28515625" style="968" customWidth="1"/>
    <col min="12547" max="12547" width="35.28515625" style="968" customWidth="1"/>
    <col min="12548" max="12548" width="6.42578125" style="968" customWidth="1"/>
    <col min="12549" max="12549" width="6.7109375" style="968" customWidth="1"/>
    <col min="12550" max="12550" width="6.5703125" style="968" customWidth="1"/>
    <col min="12551" max="12551" width="5.28515625" style="968" customWidth="1"/>
    <col min="12552" max="12552" width="14" style="968" customWidth="1"/>
    <col min="12553" max="12553" width="15" style="968" customWidth="1"/>
    <col min="12554" max="12554" width="13.42578125" style="968" customWidth="1"/>
    <col min="12555" max="12555" width="13.28515625" style="968" customWidth="1"/>
    <col min="12556" max="12556" width="12.5703125" style="968" customWidth="1"/>
    <col min="12557" max="12557" width="11.7109375" style="968" customWidth="1"/>
    <col min="12558" max="12558" width="10.42578125" style="968" customWidth="1"/>
    <col min="12559" max="12559" width="11.5703125" style="968" customWidth="1"/>
    <col min="12560" max="12560" width="11.85546875" style="968" customWidth="1"/>
    <col min="12561" max="12562" width="13.7109375" style="968" customWidth="1"/>
    <col min="12563" max="12563" width="11.7109375" style="968" customWidth="1"/>
    <col min="12564" max="12564" width="13.7109375" style="968" customWidth="1"/>
    <col min="12565" max="12565" width="12.140625" style="968" customWidth="1"/>
    <col min="12566" max="12566" width="12.85546875" style="968" customWidth="1"/>
    <col min="12567" max="12567" width="12.7109375" style="968" customWidth="1"/>
    <col min="12568" max="12568" width="12.5703125" style="968" customWidth="1"/>
    <col min="12569" max="12569" width="13.85546875" style="968" bestFit="1" customWidth="1"/>
    <col min="12570" max="12800" width="9.140625" style="968"/>
    <col min="12801" max="12802" width="5.28515625" style="968" customWidth="1"/>
    <col min="12803" max="12803" width="35.28515625" style="968" customWidth="1"/>
    <col min="12804" max="12804" width="6.42578125" style="968" customWidth="1"/>
    <col min="12805" max="12805" width="6.7109375" style="968" customWidth="1"/>
    <col min="12806" max="12806" width="6.5703125" style="968" customWidth="1"/>
    <col min="12807" max="12807" width="5.28515625" style="968" customWidth="1"/>
    <col min="12808" max="12808" width="14" style="968" customWidth="1"/>
    <col min="12809" max="12809" width="15" style="968" customWidth="1"/>
    <col min="12810" max="12810" width="13.42578125" style="968" customWidth="1"/>
    <col min="12811" max="12811" width="13.28515625" style="968" customWidth="1"/>
    <col min="12812" max="12812" width="12.5703125" style="968" customWidth="1"/>
    <col min="12813" max="12813" width="11.7109375" style="968" customWidth="1"/>
    <col min="12814" max="12814" width="10.42578125" style="968" customWidth="1"/>
    <col min="12815" max="12815" width="11.5703125" style="968" customWidth="1"/>
    <col min="12816" max="12816" width="11.85546875" style="968" customWidth="1"/>
    <col min="12817" max="12818" width="13.7109375" style="968" customWidth="1"/>
    <col min="12819" max="12819" width="11.7109375" style="968" customWidth="1"/>
    <col min="12820" max="12820" width="13.7109375" style="968" customWidth="1"/>
    <col min="12821" max="12821" width="12.140625" style="968" customWidth="1"/>
    <col min="12822" max="12822" width="12.85546875" style="968" customWidth="1"/>
    <col min="12823" max="12823" width="12.7109375" style="968" customWidth="1"/>
    <col min="12824" max="12824" width="12.5703125" style="968" customWidth="1"/>
    <col min="12825" max="12825" width="13.85546875" style="968" bestFit="1" customWidth="1"/>
    <col min="12826" max="13056" width="9.140625" style="968"/>
    <col min="13057" max="13058" width="5.28515625" style="968" customWidth="1"/>
    <col min="13059" max="13059" width="35.28515625" style="968" customWidth="1"/>
    <col min="13060" max="13060" width="6.42578125" style="968" customWidth="1"/>
    <col min="13061" max="13061" width="6.7109375" style="968" customWidth="1"/>
    <col min="13062" max="13062" width="6.5703125" style="968" customWidth="1"/>
    <col min="13063" max="13063" width="5.28515625" style="968" customWidth="1"/>
    <col min="13064" max="13064" width="14" style="968" customWidth="1"/>
    <col min="13065" max="13065" width="15" style="968" customWidth="1"/>
    <col min="13066" max="13066" width="13.42578125" style="968" customWidth="1"/>
    <col min="13067" max="13067" width="13.28515625" style="968" customWidth="1"/>
    <col min="13068" max="13068" width="12.5703125" style="968" customWidth="1"/>
    <col min="13069" max="13069" width="11.7109375" style="968" customWidth="1"/>
    <col min="13070" max="13070" width="10.42578125" style="968" customWidth="1"/>
    <col min="13071" max="13071" width="11.5703125" style="968" customWidth="1"/>
    <col min="13072" max="13072" width="11.85546875" style="968" customWidth="1"/>
    <col min="13073" max="13074" width="13.7109375" style="968" customWidth="1"/>
    <col min="13075" max="13075" width="11.7109375" style="968" customWidth="1"/>
    <col min="13076" max="13076" width="13.7109375" style="968" customWidth="1"/>
    <col min="13077" max="13077" width="12.140625" style="968" customWidth="1"/>
    <col min="13078" max="13078" width="12.85546875" style="968" customWidth="1"/>
    <col min="13079" max="13079" width="12.7109375" style="968" customWidth="1"/>
    <col min="13080" max="13080" width="12.5703125" style="968" customWidth="1"/>
    <col min="13081" max="13081" width="13.85546875" style="968" bestFit="1" customWidth="1"/>
    <col min="13082" max="13312" width="9.140625" style="968"/>
    <col min="13313" max="13314" width="5.28515625" style="968" customWidth="1"/>
    <col min="13315" max="13315" width="35.28515625" style="968" customWidth="1"/>
    <col min="13316" max="13316" width="6.42578125" style="968" customWidth="1"/>
    <col min="13317" max="13317" width="6.7109375" style="968" customWidth="1"/>
    <col min="13318" max="13318" width="6.5703125" style="968" customWidth="1"/>
    <col min="13319" max="13319" width="5.28515625" style="968" customWidth="1"/>
    <col min="13320" max="13320" width="14" style="968" customWidth="1"/>
    <col min="13321" max="13321" width="15" style="968" customWidth="1"/>
    <col min="13322" max="13322" width="13.42578125" style="968" customWidth="1"/>
    <col min="13323" max="13323" width="13.28515625" style="968" customWidth="1"/>
    <col min="13324" max="13324" width="12.5703125" style="968" customWidth="1"/>
    <col min="13325" max="13325" width="11.7109375" style="968" customWidth="1"/>
    <col min="13326" max="13326" width="10.42578125" style="968" customWidth="1"/>
    <col min="13327" max="13327" width="11.5703125" style="968" customWidth="1"/>
    <col min="13328" max="13328" width="11.85546875" style="968" customWidth="1"/>
    <col min="13329" max="13330" width="13.7109375" style="968" customWidth="1"/>
    <col min="13331" max="13331" width="11.7109375" style="968" customWidth="1"/>
    <col min="13332" max="13332" width="13.7109375" style="968" customWidth="1"/>
    <col min="13333" max="13333" width="12.140625" style="968" customWidth="1"/>
    <col min="13334" max="13334" width="12.85546875" style="968" customWidth="1"/>
    <col min="13335" max="13335" width="12.7109375" style="968" customWidth="1"/>
    <col min="13336" max="13336" width="12.5703125" style="968" customWidth="1"/>
    <col min="13337" max="13337" width="13.85546875" style="968" bestFit="1" customWidth="1"/>
    <col min="13338" max="13568" width="9.140625" style="968"/>
    <col min="13569" max="13570" width="5.28515625" style="968" customWidth="1"/>
    <col min="13571" max="13571" width="35.28515625" style="968" customWidth="1"/>
    <col min="13572" max="13572" width="6.42578125" style="968" customWidth="1"/>
    <col min="13573" max="13573" width="6.7109375" style="968" customWidth="1"/>
    <col min="13574" max="13574" width="6.5703125" style="968" customWidth="1"/>
    <col min="13575" max="13575" width="5.28515625" style="968" customWidth="1"/>
    <col min="13576" max="13576" width="14" style="968" customWidth="1"/>
    <col min="13577" max="13577" width="15" style="968" customWidth="1"/>
    <col min="13578" max="13578" width="13.42578125" style="968" customWidth="1"/>
    <col min="13579" max="13579" width="13.28515625" style="968" customWidth="1"/>
    <col min="13580" max="13580" width="12.5703125" style="968" customWidth="1"/>
    <col min="13581" max="13581" width="11.7109375" style="968" customWidth="1"/>
    <col min="13582" max="13582" width="10.42578125" style="968" customWidth="1"/>
    <col min="13583" max="13583" width="11.5703125" style="968" customWidth="1"/>
    <col min="13584" max="13584" width="11.85546875" style="968" customWidth="1"/>
    <col min="13585" max="13586" width="13.7109375" style="968" customWidth="1"/>
    <col min="13587" max="13587" width="11.7109375" style="968" customWidth="1"/>
    <col min="13588" max="13588" width="13.7109375" style="968" customWidth="1"/>
    <col min="13589" max="13589" width="12.140625" style="968" customWidth="1"/>
    <col min="13590" max="13590" width="12.85546875" style="968" customWidth="1"/>
    <col min="13591" max="13591" width="12.7109375" style="968" customWidth="1"/>
    <col min="13592" max="13592" width="12.5703125" style="968" customWidth="1"/>
    <col min="13593" max="13593" width="13.85546875" style="968" bestFit="1" customWidth="1"/>
    <col min="13594" max="13824" width="9.140625" style="968"/>
    <col min="13825" max="13826" width="5.28515625" style="968" customWidth="1"/>
    <col min="13827" max="13827" width="35.28515625" style="968" customWidth="1"/>
    <col min="13828" max="13828" width="6.42578125" style="968" customWidth="1"/>
    <col min="13829" max="13829" width="6.7109375" style="968" customWidth="1"/>
    <col min="13830" max="13830" width="6.5703125" style="968" customWidth="1"/>
    <col min="13831" max="13831" width="5.28515625" style="968" customWidth="1"/>
    <col min="13832" max="13832" width="14" style="968" customWidth="1"/>
    <col min="13833" max="13833" width="15" style="968" customWidth="1"/>
    <col min="13834" max="13834" width="13.42578125" style="968" customWidth="1"/>
    <col min="13835" max="13835" width="13.28515625" style="968" customWidth="1"/>
    <col min="13836" max="13836" width="12.5703125" style="968" customWidth="1"/>
    <col min="13837" max="13837" width="11.7109375" style="968" customWidth="1"/>
    <col min="13838" max="13838" width="10.42578125" style="968" customWidth="1"/>
    <col min="13839" max="13839" width="11.5703125" style="968" customWidth="1"/>
    <col min="13840" max="13840" width="11.85546875" style="968" customWidth="1"/>
    <col min="13841" max="13842" width="13.7109375" style="968" customWidth="1"/>
    <col min="13843" max="13843" width="11.7109375" style="968" customWidth="1"/>
    <col min="13844" max="13844" width="13.7109375" style="968" customWidth="1"/>
    <col min="13845" max="13845" width="12.140625" style="968" customWidth="1"/>
    <col min="13846" max="13846" width="12.85546875" style="968" customWidth="1"/>
    <col min="13847" max="13847" width="12.7109375" style="968" customWidth="1"/>
    <col min="13848" max="13848" width="12.5703125" style="968" customWidth="1"/>
    <col min="13849" max="13849" width="13.85546875" style="968" bestFit="1" customWidth="1"/>
    <col min="13850" max="14080" width="9.140625" style="968"/>
    <col min="14081" max="14082" width="5.28515625" style="968" customWidth="1"/>
    <col min="14083" max="14083" width="35.28515625" style="968" customWidth="1"/>
    <col min="14084" max="14084" width="6.42578125" style="968" customWidth="1"/>
    <col min="14085" max="14085" width="6.7109375" style="968" customWidth="1"/>
    <col min="14086" max="14086" width="6.5703125" style="968" customWidth="1"/>
    <col min="14087" max="14087" width="5.28515625" style="968" customWidth="1"/>
    <col min="14088" max="14088" width="14" style="968" customWidth="1"/>
    <col min="14089" max="14089" width="15" style="968" customWidth="1"/>
    <col min="14090" max="14090" width="13.42578125" style="968" customWidth="1"/>
    <col min="14091" max="14091" width="13.28515625" style="968" customWidth="1"/>
    <col min="14092" max="14092" width="12.5703125" style="968" customWidth="1"/>
    <col min="14093" max="14093" width="11.7109375" style="968" customWidth="1"/>
    <col min="14094" max="14094" width="10.42578125" style="968" customWidth="1"/>
    <col min="14095" max="14095" width="11.5703125" style="968" customWidth="1"/>
    <col min="14096" max="14096" width="11.85546875" style="968" customWidth="1"/>
    <col min="14097" max="14098" width="13.7109375" style="968" customWidth="1"/>
    <col min="14099" max="14099" width="11.7109375" style="968" customWidth="1"/>
    <col min="14100" max="14100" width="13.7109375" style="968" customWidth="1"/>
    <col min="14101" max="14101" width="12.140625" style="968" customWidth="1"/>
    <col min="14102" max="14102" width="12.85546875" style="968" customWidth="1"/>
    <col min="14103" max="14103" width="12.7109375" style="968" customWidth="1"/>
    <col min="14104" max="14104" width="12.5703125" style="968" customWidth="1"/>
    <col min="14105" max="14105" width="13.85546875" style="968" bestFit="1" customWidth="1"/>
    <col min="14106" max="14336" width="9.140625" style="968"/>
    <col min="14337" max="14338" width="5.28515625" style="968" customWidth="1"/>
    <col min="14339" max="14339" width="35.28515625" style="968" customWidth="1"/>
    <col min="14340" max="14340" width="6.42578125" style="968" customWidth="1"/>
    <col min="14341" max="14341" width="6.7109375" style="968" customWidth="1"/>
    <col min="14342" max="14342" width="6.5703125" style="968" customWidth="1"/>
    <col min="14343" max="14343" width="5.28515625" style="968" customWidth="1"/>
    <col min="14344" max="14344" width="14" style="968" customWidth="1"/>
    <col min="14345" max="14345" width="15" style="968" customWidth="1"/>
    <col min="14346" max="14346" width="13.42578125" style="968" customWidth="1"/>
    <col min="14347" max="14347" width="13.28515625" style="968" customWidth="1"/>
    <col min="14348" max="14348" width="12.5703125" style="968" customWidth="1"/>
    <col min="14349" max="14349" width="11.7109375" style="968" customWidth="1"/>
    <col min="14350" max="14350" width="10.42578125" style="968" customWidth="1"/>
    <col min="14351" max="14351" width="11.5703125" style="968" customWidth="1"/>
    <col min="14352" max="14352" width="11.85546875" style="968" customWidth="1"/>
    <col min="14353" max="14354" width="13.7109375" style="968" customWidth="1"/>
    <col min="14355" max="14355" width="11.7109375" style="968" customWidth="1"/>
    <col min="14356" max="14356" width="13.7109375" style="968" customWidth="1"/>
    <col min="14357" max="14357" width="12.140625" style="968" customWidth="1"/>
    <col min="14358" max="14358" width="12.85546875" style="968" customWidth="1"/>
    <col min="14359" max="14359" width="12.7109375" style="968" customWidth="1"/>
    <col min="14360" max="14360" width="12.5703125" style="968" customWidth="1"/>
    <col min="14361" max="14361" width="13.85546875" style="968" bestFit="1" customWidth="1"/>
    <col min="14362" max="14592" width="9.140625" style="968"/>
    <col min="14593" max="14594" width="5.28515625" style="968" customWidth="1"/>
    <col min="14595" max="14595" width="35.28515625" style="968" customWidth="1"/>
    <col min="14596" max="14596" width="6.42578125" style="968" customWidth="1"/>
    <col min="14597" max="14597" width="6.7109375" style="968" customWidth="1"/>
    <col min="14598" max="14598" width="6.5703125" style="968" customWidth="1"/>
    <col min="14599" max="14599" width="5.28515625" style="968" customWidth="1"/>
    <col min="14600" max="14600" width="14" style="968" customWidth="1"/>
    <col min="14601" max="14601" width="15" style="968" customWidth="1"/>
    <col min="14602" max="14602" width="13.42578125" style="968" customWidth="1"/>
    <col min="14603" max="14603" width="13.28515625" style="968" customWidth="1"/>
    <col min="14604" max="14604" width="12.5703125" style="968" customWidth="1"/>
    <col min="14605" max="14605" width="11.7109375" style="968" customWidth="1"/>
    <col min="14606" max="14606" width="10.42578125" style="968" customWidth="1"/>
    <col min="14607" max="14607" width="11.5703125" style="968" customWidth="1"/>
    <col min="14608" max="14608" width="11.85546875" style="968" customWidth="1"/>
    <col min="14609" max="14610" width="13.7109375" style="968" customWidth="1"/>
    <col min="14611" max="14611" width="11.7109375" style="968" customWidth="1"/>
    <col min="14612" max="14612" width="13.7109375" style="968" customWidth="1"/>
    <col min="14613" max="14613" width="12.140625" style="968" customWidth="1"/>
    <col min="14614" max="14614" width="12.85546875" style="968" customWidth="1"/>
    <col min="14615" max="14615" width="12.7109375" style="968" customWidth="1"/>
    <col min="14616" max="14616" width="12.5703125" style="968" customWidth="1"/>
    <col min="14617" max="14617" width="13.85546875" style="968" bestFit="1" customWidth="1"/>
    <col min="14618" max="14848" width="9.140625" style="968"/>
    <col min="14849" max="14850" width="5.28515625" style="968" customWidth="1"/>
    <col min="14851" max="14851" width="35.28515625" style="968" customWidth="1"/>
    <col min="14852" max="14852" width="6.42578125" style="968" customWidth="1"/>
    <col min="14853" max="14853" width="6.7109375" style="968" customWidth="1"/>
    <col min="14854" max="14854" width="6.5703125" style="968" customWidth="1"/>
    <col min="14855" max="14855" width="5.28515625" style="968" customWidth="1"/>
    <col min="14856" max="14856" width="14" style="968" customWidth="1"/>
    <col min="14857" max="14857" width="15" style="968" customWidth="1"/>
    <col min="14858" max="14858" width="13.42578125" style="968" customWidth="1"/>
    <col min="14859" max="14859" width="13.28515625" style="968" customWidth="1"/>
    <col min="14860" max="14860" width="12.5703125" style="968" customWidth="1"/>
    <col min="14861" max="14861" width="11.7109375" style="968" customWidth="1"/>
    <col min="14862" max="14862" width="10.42578125" style="968" customWidth="1"/>
    <col min="14863" max="14863" width="11.5703125" style="968" customWidth="1"/>
    <col min="14864" max="14864" width="11.85546875" style="968" customWidth="1"/>
    <col min="14865" max="14866" width="13.7109375" style="968" customWidth="1"/>
    <col min="14867" max="14867" width="11.7109375" style="968" customWidth="1"/>
    <col min="14868" max="14868" width="13.7109375" style="968" customWidth="1"/>
    <col min="14869" max="14869" width="12.140625" style="968" customWidth="1"/>
    <col min="14870" max="14870" width="12.85546875" style="968" customWidth="1"/>
    <col min="14871" max="14871" width="12.7109375" style="968" customWidth="1"/>
    <col min="14872" max="14872" width="12.5703125" style="968" customWidth="1"/>
    <col min="14873" max="14873" width="13.85546875" style="968" bestFit="1" customWidth="1"/>
    <col min="14874" max="15104" width="9.140625" style="968"/>
    <col min="15105" max="15106" width="5.28515625" style="968" customWidth="1"/>
    <col min="15107" max="15107" width="35.28515625" style="968" customWidth="1"/>
    <col min="15108" max="15108" width="6.42578125" style="968" customWidth="1"/>
    <col min="15109" max="15109" width="6.7109375" style="968" customWidth="1"/>
    <col min="15110" max="15110" width="6.5703125" style="968" customWidth="1"/>
    <col min="15111" max="15111" width="5.28515625" style="968" customWidth="1"/>
    <col min="15112" max="15112" width="14" style="968" customWidth="1"/>
    <col min="15113" max="15113" width="15" style="968" customWidth="1"/>
    <col min="15114" max="15114" width="13.42578125" style="968" customWidth="1"/>
    <col min="15115" max="15115" width="13.28515625" style="968" customWidth="1"/>
    <col min="15116" max="15116" width="12.5703125" style="968" customWidth="1"/>
    <col min="15117" max="15117" width="11.7109375" style="968" customWidth="1"/>
    <col min="15118" max="15118" width="10.42578125" style="968" customWidth="1"/>
    <col min="15119" max="15119" width="11.5703125" style="968" customWidth="1"/>
    <col min="15120" max="15120" width="11.85546875" style="968" customWidth="1"/>
    <col min="15121" max="15122" width="13.7109375" style="968" customWidth="1"/>
    <col min="15123" max="15123" width="11.7109375" style="968" customWidth="1"/>
    <col min="15124" max="15124" width="13.7109375" style="968" customWidth="1"/>
    <col min="15125" max="15125" width="12.140625" style="968" customWidth="1"/>
    <col min="15126" max="15126" width="12.85546875" style="968" customWidth="1"/>
    <col min="15127" max="15127" width="12.7109375" style="968" customWidth="1"/>
    <col min="15128" max="15128" width="12.5703125" style="968" customWidth="1"/>
    <col min="15129" max="15129" width="13.85546875" style="968" bestFit="1" customWidth="1"/>
    <col min="15130" max="15360" width="9.140625" style="968"/>
    <col min="15361" max="15362" width="5.28515625" style="968" customWidth="1"/>
    <col min="15363" max="15363" width="35.28515625" style="968" customWidth="1"/>
    <col min="15364" max="15364" width="6.42578125" style="968" customWidth="1"/>
    <col min="15365" max="15365" width="6.7109375" style="968" customWidth="1"/>
    <col min="15366" max="15366" width="6.5703125" style="968" customWidth="1"/>
    <col min="15367" max="15367" width="5.28515625" style="968" customWidth="1"/>
    <col min="15368" max="15368" width="14" style="968" customWidth="1"/>
    <col min="15369" max="15369" width="15" style="968" customWidth="1"/>
    <col min="15370" max="15370" width="13.42578125" style="968" customWidth="1"/>
    <col min="15371" max="15371" width="13.28515625" style="968" customWidth="1"/>
    <col min="15372" max="15372" width="12.5703125" style="968" customWidth="1"/>
    <col min="15373" max="15373" width="11.7109375" style="968" customWidth="1"/>
    <col min="15374" max="15374" width="10.42578125" style="968" customWidth="1"/>
    <col min="15375" max="15375" width="11.5703125" style="968" customWidth="1"/>
    <col min="15376" max="15376" width="11.85546875" style="968" customWidth="1"/>
    <col min="15377" max="15378" width="13.7109375" style="968" customWidth="1"/>
    <col min="15379" max="15379" width="11.7109375" style="968" customWidth="1"/>
    <col min="15380" max="15380" width="13.7109375" style="968" customWidth="1"/>
    <col min="15381" max="15381" width="12.140625" style="968" customWidth="1"/>
    <col min="15382" max="15382" width="12.85546875" style="968" customWidth="1"/>
    <col min="15383" max="15383" width="12.7109375" style="968" customWidth="1"/>
    <col min="15384" max="15384" width="12.5703125" style="968" customWidth="1"/>
    <col min="15385" max="15385" width="13.85546875" style="968" bestFit="1" customWidth="1"/>
    <col min="15386" max="15616" width="9.140625" style="968"/>
    <col min="15617" max="15618" width="5.28515625" style="968" customWidth="1"/>
    <col min="15619" max="15619" width="35.28515625" style="968" customWidth="1"/>
    <col min="15620" max="15620" width="6.42578125" style="968" customWidth="1"/>
    <col min="15621" max="15621" width="6.7109375" style="968" customWidth="1"/>
    <col min="15622" max="15622" width="6.5703125" style="968" customWidth="1"/>
    <col min="15623" max="15623" width="5.28515625" style="968" customWidth="1"/>
    <col min="15624" max="15624" width="14" style="968" customWidth="1"/>
    <col min="15625" max="15625" width="15" style="968" customWidth="1"/>
    <col min="15626" max="15626" width="13.42578125" style="968" customWidth="1"/>
    <col min="15627" max="15627" width="13.28515625" style="968" customWidth="1"/>
    <col min="15628" max="15628" width="12.5703125" style="968" customWidth="1"/>
    <col min="15629" max="15629" width="11.7109375" style="968" customWidth="1"/>
    <col min="15630" max="15630" width="10.42578125" style="968" customWidth="1"/>
    <col min="15631" max="15631" width="11.5703125" style="968" customWidth="1"/>
    <col min="15632" max="15632" width="11.85546875" style="968" customWidth="1"/>
    <col min="15633" max="15634" width="13.7109375" style="968" customWidth="1"/>
    <col min="15635" max="15635" width="11.7109375" style="968" customWidth="1"/>
    <col min="15636" max="15636" width="13.7109375" style="968" customWidth="1"/>
    <col min="15637" max="15637" width="12.140625" style="968" customWidth="1"/>
    <col min="15638" max="15638" width="12.85546875" style="968" customWidth="1"/>
    <col min="15639" max="15639" width="12.7109375" style="968" customWidth="1"/>
    <col min="15640" max="15640" width="12.5703125" style="968" customWidth="1"/>
    <col min="15641" max="15641" width="13.85546875" style="968" bestFit="1" customWidth="1"/>
    <col min="15642" max="15872" width="9.140625" style="968"/>
    <col min="15873" max="15874" width="5.28515625" style="968" customWidth="1"/>
    <col min="15875" max="15875" width="35.28515625" style="968" customWidth="1"/>
    <col min="15876" max="15876" width="6.42578125" style="968" customWidth="1"/>
    <col min="15877" max="15877" width="6.7109375" style="968" customWidth="1"/>
    <col min="15878" max="15878" width="6.5703125" style="968" customWidth="1"/>
    <col min="15879" max="15879" width="5.28515625" style="968" customWidth="1"/>
    <col min="15880" max="15880" width="14" style="968" customWidth="1"/>
    <col min="15881" max="15881" width="15" style="968" customWidth="1"/>
    <col min="15882" max="15882" width="13.42578125" style="968" customWidth="1"/>
    <col min="15883" max="15883" width="13.28515625" style="968" customWidth="1"/>
    <col min="15884" max="15884" width="12.5703125" style="968" customWidth="1"/>
    <col min="15885" max="15885" width="11.7109375" style="968" customWidth="1"/>
    <col min="15886" max="15886" width="10.42578125" style="968" customWidth="1"/>
    <col min="15887" max="15887" width="11.5703125" style="968" customWidth="1"/>
    <col min="15888" max="15888" width="11.85546875" style="968" customWidth="1"/>
    <col min="15889" max="15890" width="13.7109375" style="968" customWidth="1"/>
    <col min="15891" max="15891" width="11.7109375" style="968" customWidth="1"/>
    <col min="15892" max="15892" width="13.7109375" style="968" customWidth="1"/>
    <col min="15893" max="15893" width="12.140625" style="968" customWidth="1"/>
    <col min="15894" max="15894" width="12.85546875" style="968" customWidth="1"/>
    <col min="15895" max="15895" width="12.7109375" style="968" customWidth="1"/>
    <col min="15896" max="15896" width="12.5703125" style="968" customWidth="1"/>
    <col min="15897" max="15897" width="13.85546875" style="968" bestFit="1" customWidth="1"/>
    <col min="15898" max="16128" width="9.140625" style="968"/>
    <col min="16129" max="16130" width="5.28515625" style="968" customWidth="1"/>
    <col min="16131" max="16131" width="35.28515625" style="968" customWidth="1"/>
    <col min="16132" max="16132" width="6.42578125" style="968" customWidth="1"/>
    <col min="16133" max="16133" width="6.7109375" style="968" customWidth="1"/>
    <col min="16134" max="16134" width="6.5703125" style="968" customWidth="1"/>
    <col min="16135" max="16135" width="5.28515625" style="968" customWidth="1"/>
    <col min="16136" max="16136" width="14" style="968" customWidth="1"/>
    <col min="16137" max="16137" width="15" style="968" customWidth="1"/>
    <col min="16138" max="16138" width="13.42578125" style="968" customWidth="1"/>
    <col min="16139" max="16139" width="13.28515625" style="968" customWidth="1"/>
    <col min="16140" max="16140" width="12.5703125" style="968" customWidth="1"/>
    <col min="16141" max="16141" width="11.7109375" style="968" customWidth="1"/>
    <col min="16142" max="16142" width="10.42578125" style="968" customWidth="1"/>
    <col min="16143" max="16143" width="11.5703125" style="968" customWidth="1"/>
    <col min="16144" max="16144" width="11.85546875" style="968" customWidth="1"/>
    <col min="16145" max="16146" width="13.7109375" style="968" customWidth="1"/>
    <col min="16147" max="16147" width="11.7109375" style="968" customWidth="1"/>
    <col min="16148" max="16148" width="13.7109375" style="968" customWidth="1"/>
    <col min="16149" max="16149" width="12.140625" style="968" customWidth="1"/>
    <col min="16150" max="16150" width="12.85546875" style="968" customWidth="1"/>
    <col min="16151" max="16151" width="12.7109375" style="968" customWidth="1"/>
    <col min="16152" max="16152" width="12.5703125" style="968" customWidth="1"/>
    <col min="16153" max="16153" width="13.85546875" style="968" bestFit="1" customWidth="1"/>
    <col min="16154" max="16384" width="9.140625" style="968"/>
  </cols>
  <sheetData>
    <row r="1" spans="1:37" ht="26.2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37" ht="15" customHeight="1" x14ac:dyDescent="0.25">
      <c r="A2" s="1007"/>
      <c r="B2" s="1007"/>
      <c r="C2" s="970"/>
      <c r="D2" s="970"/>
      <c r="E2" s="970"/>
      <c r="F2" s="970"/>
      <c r="G2" s="970"/>
      <c r="H2" s="970"/>
      <c r="I2" s="970"/>
      <c r="J2" s="970"/>
      <c r="K2" s="970"/>
      <c r="L2" s="970"/>
      <c r="M2" s="970"/>
      <c r="N2" s="970"/>
      <c r="O2" s="970"/>
      <c r="P2" s="970"/>
      <c r="Q2" s="970"/>
      <c r="R2" s="970"/>
      <c r="S2" s="970"/>
      <c r="T2" s="970"/>
      <c r="U2" s="970"/>
      <c r="V2" s="970"/>
      <c r="W2" s="970"/>
      <c r="X2" s="970"/>
    </row>
    <row r="3" spans="1:37" ht="26.25" customHeight="1" x14ac:dyDescent="0.25">
      <c r="A3" s="2055" t="s">
        <v>1689</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37" x14ac:dyDescent="0.25">
      <c r="Q4" s="972"/>
    </row>
    <row r="5" spans="1:37" ht="15" customHeight="1" x14ac:dyDescent="0.25">
      <c r="A5" s="2056" t="s">
        <v>37</v>
      </c>
      <c r="B5" s="1773" t="s">
        <v>1640</v>
      </c>
      <c r="C5" s="2058" t="s">
        <v>2</v>
      </c>
      <c r="D5" s="2037" t="s">
        <v>1641</v>
      </c>
      <c r="E5" s="2037" t="s">
        <v>116</v>
      </c>
      <c r="F5" s="2037" t="s">
        <v>1690</v>
      </c>
      <c r="G5" s="2037" t="s">
        <v>1643</v>
      </c>
      <c r="H5" s="2039" t="s">
        <v>1644</v>
      </c>
      <c r="I5" s="2039"/>
      <c r="J5" s="2039"/>
      <c r="K5" s="2039"/>
      <c r="L5" s="2039"/>
      <c r="M5" s="2039"/>
      <c r="N5" s="2039"/>
      <c r="O5" s="2066"/>
      <c r="P5" s="1433"/>
      <c r="Q5" s="2071" t="s">
        <v>1645</v>
      </c>
      <c r="R5" s="2039"/>
      <c r="S5" s="2039"/>
      <c r="T5" s="2039"/>
      <c r="U5" s="2039"/>
      <c r="V5" s="2039"/>
      <c r="W5" s="2039"/>
      <c r="X5" s="2041"/>
    </row>
    <row r="6" spans="1:37" ht="85.9" customHeight="1" x14ac:dyDescent="0.25">
      <c r="A6" s="2057"/>
      <c r="B6" s="1774"/>
      <c r="C6" s="2059"/>
      <c r="D6" s="2038"/>
      <c r="E6" s="2038"/>
      <c r="F6" s="2038"/>
      <c r="G6" s="2038"/>
      <c r="H6" s="941" t="s">
        <v>1691</v>
      </c>
      <c r="I6" s="941" t="s">
        <v>1692</v>
      </c>
      <c r="J6" s="941" t="s">
        <v>1693</v>
      </c>
      <c r="K6" s="941" t="s">
        <v>1694</v>
      </c>
      <c r="L6" s="941" t="s">
        <v>1671</v>
      </c>
      <c r="M6" s="941" t="s">
        <v>1672</v>
      </c>
      <c r="N6" s="941" t="s">
        <v>1673</v>
      </c>
      <c r="O6" s="941" t="s">
        <v>1653</v>
      </c>
      <c r="P6" s="944" t="s">
        <v>1654</v>
      </c>
      <c r="Q6" s="943" t="s">
        <v>1655</v>
      </c>
      <c r="R6" s="941" t="s">
        <v>1656</v>
      </c>
      <c r="S6" s="941" t="s">
        <v>1695</v>
      </c>
      <c r="T6" s="941" t="s">
        <v>1696</v>
      </c>
      <c r="U6" s="941" t="s">
        <v>1659</v>
      </c>
      <c r="V6" s="941" t="s">
        <v>1660</v>
      </c>
      <c r="W6" s="941" t="s">
        <v>1661</v>
      </c>
      <c r="X6" s="944" t="s">
        <v>1697</v>
      </c>
    </row>
    <row r="7" spans="1:37" ht="26.25" customHeight="1" x14ac:dyDescent="0.25">
      <c r="A7" s="2056" t="s">
        <v>194</v>
      </c>
      <c r="B7" s="2058" t="s">
        <v>197</v>
      </c>
      <c r="C7" s="2060" t="s">
        <v>1854</v>
      </c>
      <c r="D7" s="974" t="s">
        <v>1855</v>
      </c>
      <c r="E7" s="1011" t="s">
        <v>1297</v>
      </c>
      <c r="F7" s="1011" t="s">
        <v>127</v>
      </c>
      <c r="G7" s="975" t="s">
        <v>1754</v>
      </c>
      <c r="H7" s="949"/>
      <c r="I7" s="949"/>
      <c r="J7" s="949"/>
      <c r="K7" s="949"/>
      <c r="L7" s="949"/>
      <c r="M7" s="949"/>
      <c r="N7" s="949"/>
      <c r="O7" s="949"/>
      <c r="P7" s="976"/>
      <c r="Q7" s="1317"/>
      <c r="R7" s="949"/>
      <c r="S7" s="949"/>
      <c r="T7" s="949"/>
      <c r="U7" s="949"/>
      <c r="V7" s="949"/>
      <c r="W7" s="949"/>
      <c r="X7" s="976">
        <v>7723234</v>
      </c>
    </row>
    <row r="8" spans="1:37" ht="26.25" customHeight="1" x14ac:dyDescent="0.25">
      <c r="A8" s="2062"/>
      <c r="B8" s="2061"/>
      <c r="C8" s="2028"/>
      <c r="D8" s="978" t="s">
        <v>1855</v>
      </c>
      <c r="E8" s="1000" t="s">
        <v>175</v>
      </c>
      <c r="F8" s="1000" t="s">
        <v>150</v>
      </c>
      <c r="G8" s="979" t="s">
        <v>1754</v>
      </c>
      <c r="H8" s="1001">
        <v>6834720</v>
      </c>
      <c r="I8" s="1001">
        <v>888514</v>
      </c>
      <c r="J8" s="1001"/>
      <c r="K8" s="1001"/>
      <c r="L8" s="1001"/>
      <c r="M8" s="1001"/>
      <c r="N8" s="1001"/>
      <c r="O8" s="1001"/>
      <c r="P8" s="1002"/>
      <c r="Q8" s="1321"/>
      <c r="R8" s="1001"/>
      <c r="S8" s="1001"/>
      <c r="T8" s="1001"/>
      <c r="U8" s="1001"/>
      <c r="V8" s="1001"/>
      <c r="W8" s="1001"/>
      <c r="X8" s="1002"/>
      <c r="Y8" s="995"/>
      <c r="Z8" s="995"/>
      <c r="AA8" s="995"/>
      <c r="AB8" s="995"/>
      <c r="AC8" s="995"/>
      <c r="AD8" s="995"/>
      <c r="AE8" s="995"/>
      <c r="AF8" s="995"/>
      <c r="AG8" s="995"/>
      <c r="AH8" s="995"/>
      <c r="AI8" s="995"/>
      <c r="AJ8" s="995"/>
      <c r="AK8" s="995"/>
    </row>
    <row r="9" spans="1:37" ht="39" customHeight="1" x14ac:dyDescent="0.25">
      <c r="A9" s="1432" t="s">
        <v>195</v>
      </c>
      <c r="B9" s="1431" t="s">
        <v>198</v>
      </c>
      <c r="C9" s="977" t="s">
        <v>1861</v>
      </c>
      <c r="D9" s="978" t="s">
        <v>1855</v>
      </c>
      <c r="E9" s="1000" t="s">
        <v>175</v>
      </c>
      <c r="F9" s="1000" t="s">
        <v>150</v>
      </c>
      <c r="G9" s="979" t="s">
        <v>1754</v>
      </c>
      <c r="H9" s="1001"/>
      <c r="I9" s="1001"/>
      <c r="J9" s="1001">
        <v>5000</v>
      </c>
      <c r="K9" s="1001"/>
      <c r="L9" s="1001"/>
      <c r="M9" s="1001"/>
      <c r="N9" s="1001"/>
      <c r="O9" s="1001"/>
      <c r="P9" s="1002"/>
      <c r="Q9" s="1321"/>
      <c r="R9" s="1001"/>
      <c r="S9" s="1001"/>
      <c r="T9" s="1001"/>
      <c r="U9" s="1001">
        <v>5000</v>
      </c>
      <c r="V9" s="1001"/>
      <c r="W9" s="1001"/>
      <c r="X9" s="1002"/>
      <c r="Y9" s="995"/>
      <c r="Z9" s="995"/>
      <c r="AA9" s="995"/>
      <c r="AB9" s="995"/>
      <c r="AC9" s="995"/>
      <c r="AD9" s="995"/>
      <c r="AE9" s="995"/>
      <c r="AF9" s="995"/>
      <c r="AG9" s="995"/>
      <c r="AH9" s="995"/>
      <c r="AI9" s="995"/>
      <c r="AJ9" s="995"/>
      <c r="AK9" s="995"/>
    </row>
    <row r="10" spans="1:37" ht="27" customHeight="1" x14ac:dyDescent="0.25">
      <c r="A10" s="1432" t="s">
        <v>196</v>
      </c>
      <c r="B10" s="1431" t="s">
        <v>199</v>
      </c>
      <c r="C10" s="977" t="s">
        <v>2087</v>
      </c>
      <c r="D10" s="978" t="s">
        <v>1855</v>
      </c>
      <c r="E10" s="1000" t="s">
        <v>2088</v>
      </c>
      <c r="F10" s="1000" t="s">
        <v>90</v>
      </c>
      <c r="G10" s="979" t="s">
        <v>1754</v>
      </c>
      <c r="H10" s="1001"/>
      <c r="I10" s="1001"/>
      <c r="J10" s="1001">
        <v>11415</v>
      </c>
      <c r="K10" s="1001"/>
      <c r="L10" s="1001"/>
      <c r="M10" s="1001"/>
      <c r="N10" s="1001"/>
      <c r="O10" s="1001"/>
      <c r="P10" s="1002"/>
      <c r="Q10" s="1321"/>
      <c r="R10" s="1001"/>
      <c r="S10" s="1001"/>
      <c r="T10" s="1001">
        <v>11415</v>
      </c>
      <c r="U10" s="1001"/>
      <c r="V10" s="1001"/>
      <c r="W10" s="1001"/>
      <c r="X10" s="1002"/>
      <c r="Y10" s="995"/>
      <c r="Z10" s="995"/>
      <c r="AA10" s="995"/>
      <c r="AB10" s="995"/>
      <c r="AC10" s="995"/>
      <c r="AD10" s="995"/>
      <c r="AE10" s="995"/>
      <c r="AF10" s="995"/>
      <c r="AG10" s="995"/>
      <c r="AH10" s="995"/>
      <c r="AI10" s="995"/>
      <c r="AJ10" s="995"/>
      <c r="AK10" s="995"/>
    </row>
    <row r="11" spans="1:37" x14ac:dyDescent="0.25">
      <c r="A11" s="1429"/>
      <c r="B11" s="1430"/>
      <c r="C11" s="1012"/>
      <c r="D11" s="1013"/>
      <c r="E11" s="1083"/>
      <c r="F11" s="1083"/>
      <c r="G11" s="984"/>
      <c r="H11" s="1004"/>
      <c r="I11" s="1004"/>
      <c r="J11" s="1004"/>
      <c r="K11" s="1004"/>
      <c r="L11" s="1004"/>
      <c r="M11" s="1004"/>
      <c r="N11" s="1004"/>
      <c r="O11" s="1004"/>
      <c r="P11" s="1005"/>
      <c r="Q11" s="1322"/>
      <c r="R11" s="1004"/>
      <c r="S11" s="1004"/>
      <c r="T11" s="1004"/>
      <c r="U11" s="1004"/>
      <c r="V11" s="1004"/>
      <c r="W11" s="1004"/>
      <c r="X11" s="1005"/>
    </row>
    <row r="12" spans="1:37" ht="18.75" x14ac:dyDescent="0.3">
      <c r="A12" s="2021" t="s">
        <v>1663</v>
      </c>
      <c r="B12" s="2022"/>
      <c r="C12" s="2022"/>
      <c r="D12" s="956"/>
      <c r="E12" s="956"/>
      <c r="F12" s="956"/>
      <c r="G12" s="956"/>
      <c r="H12" s="1595">
        <f t="shared" ref="H12:X12" si="0">SUM(H7:H11)</f>
        <v>6834720</v>
      </c>
      <c r="I12" s="1595">
        <f t="shared" si="0"/>
        <v>888514</v>
      </c>
      <c r="J12" s="1595">
        <f t="shared" si="0"/>
        <v>16415</v>
      </c>
      <c r="K12" s="1595">
        <f t="shared" si="0"/>
        <v>0</v>
      </c>
      <c r="L12" s="1595">
        <f t="shared" si="0"/>
        <v>0</v>
      </c>
      <c r="M12" s="1595">
        <f t="shared" si="0"/>
        <v>0</v>
      </c>
      <c r="N12" s="1595">
        <f t="shared" si="0"/>
        <v>0</v>
      </c>
      <c r="O12" s="1595">
        <f t="shared" si="0"/>
        <v>0</v>
      </c>
      <c r="P12" s="1596">
        <f t="shared" si="0"/>
        <v>0</v>
      </c>
      <c r="Q12" s="1599">
        <f t="shared" si="0"/>
        <v>0</v>
      </c>
      <c r="R12" s="1600">
        <f t="shared" si="0"/>
        <v>0</v>
      </c>
      <c r="S12" s="1600">
        <f t="shared" si="0"/>
        <v>0</v>
      </c>
      <c r="T12" s="1600">
        <f t="shared" si="0"/>
        <v>11415</v>
      </c>
      <c r="U12" s="1600">
        <f t="shared" si="0"/>
        <v>5000</v>
      </c>
      <c r="V12" s="1600">
        <f t="shared" si="0"/>
        <v>0</v>
      </c>
      <c r="W12" s="1600">
        <f t="shared" si="0"/>
        <v>0</v>
      </c>
      <c r="X12" s="1601">
        <f t="shared" si="0"/>
        <v>7723234</v>
      </c>
    </row>
    <row r="13" spans="1:37" x14ac:dyDescent="0.25">
      <c r="A13" s="991"/>
      <c r="B13" s="991"/>
      <c r="C13" s="1014"/>
      <c r="D13" s="970"/>
      <c r="E13" s="1015"/>
      <c r="F13" s="1015"/>
      <c r="G13" s="1009"/>
      <c r="H13" s="1016"/>
      <c r="I13" s="1016"/>
      <c r="J13" s="1016"/>
      <c r="K13" s="1016"/>
      <c r="L13" s="1016"/>
      <c r="M13" s="1016"/>
      <c r="N13" s="1016"/>
      <c r="O13" s="1016"/>
      <c r="P13" s="1016"/>
      <c r="Q13" s="1016"/>
      <c r="R13" s="1016"/>
      <c r="S13" s="1016"/>
      <c r="T13" s="1016"/>
      <c r="U13" s="1016"/>
      <c r="V13" s="1016"/>
      <c r="W13" s="1016"/>
      <c r="X13" s="1016"/>
    </row>
    <row r="14" spans="1:37" x14ac:dyDescent="0.25">
      <c r="A14" s="991"/>
      <c r="B14" s="991"/>
      <c r="C14" s="1014"/>
      <c r="D14" s="970"/>
      <c r="E14" s="1015"/>
      <c r="F14" s="1015"/>
      <c r="G14" s="1009"/>
      <c r="H14" s="1016"/>
      <c r="I14" s="1016"/>
      <c r="J14" s="1016"/>
      <c r="K14" s="1016"/>
      <c r="L14" s="1016"/>
      <c r="M14" s="1016"/>
      <c r="N14" s="1016"/>
      <c r="O14" s="1016"/>
      <c r="P14" s="1016"/>
      <c r="Q14" s="1016"/>
      <c r="R14" s="1016"/>
      <c r="S14" s="1016"/>
      <c r="T14" s="1016"/>
      <c r="U14" s="1016"/>
      <c r="V14" s="1016"/>
      <c r="W14" s="1016"/>
      <c r="X14" s="1016"/>
    </row>
    <row r="15" spans="1:37" x14ac:dyDescent="0.25">
      <c r="H15" s="995"/>
      <c r="I15" s="995"/>
      <c r="J15" s="995"/>
      <c r="K15" s="995"/>
      <c r="L15" s="995"/>
      <c r="M15" s="995"/>
      <c r="N15" s="995"/>
      <c r="O15" s="995"/>
      <c r="P15" s="995"/>
      <c r="Q15" s="995"/>
      <c r="R15" s="995"/>
      <c r="S15" s="995"/>
      <c r="T15" s="995"/>
      <c r="U15" s="995"/>
      <c r="V15" s="995"/>
      <c r="W15" s="995"/>
      <c r="X15" s="995"/>
    </row>
    <row r="16" spans="1:37" ht="18.75" customHeight="1" x14ac:dyDescent="0.25">
      <c r="H16" s="995"/>
      <c r="I16" s="2042" t="s">
        <v>1664</v>
      </c>
      <c r="J16" s="2042"/>
      <c r="K16" s="2042"/>
      <c r="L16" s="2042">
        <v>82087264</v>
      </c>
      <c r="M16" s="2042"/>
      <c r="N16" s="996"/>
      <c r="O16" s="996"/>
      <c r="P16" s="996"/>
      <c r="Q16" s="996"/>
      <c r="R16" s="2042" t="s">
        <v>1665</v>
      </c>
      <c r="S16" s="2042"/>
      <c r="T16" s="2042"/>
      <c r="U16" s="2042">
        <v>82087264</v>
      </c>
      <c r="V16" s="2042"/>
      <c r="W16" s="995"/>
      <c r="X16" s="995"/>
    </row>
    <row r="17" spans="1:24" ht="18.75" customHeight="1" x14ac:dyDescent="0.25">
      <c r="H17" s="995"/>
      <c r="I17" s="2042" t="s">
        <v>1666</v>
      </c>
      <c r="J17" s="2042"/>
      <c r="K17" s="2042"/>
      <c r="L17" s="2042">
        <f>SUM(H12:P12)</f>
        <v>7739649</v>
      </c>
      <c r="M17" s="2042"/>
      <c r="N17" s="996"/>
      <c r="O17" s="996"/>
      <c r="P17" s="996"/>
      <c r="Q17" s="996"/>
      <c r="R17" s="2042" t="s">
        <v>1666</v>
      </c>
      <c r="S17" s="2042"/>
      <c r="T17" s="2042"/>
      <c r="U17" s="2042">
        <f>SUM(Q12:X12)</f>
        <v>7739649</v>
      </c>
      <c r="V17" s="2042"/>
      <c r="W17" s="995"/>
      <c r="X17" s="995"/>
    </row>
    <row r="18" spans="1:24" ht="18.75" customHeight="1" x14ac:dyDescent="0.25">
      <c r="H18" s="995"/>
      <c r="I18" s="2042" t="s">
        <v>1512</v>
      </c>
      <c r="J18" s="2042"/>
      <c r="K18" s="2042"/>
      <c r="L18" s="2042">
        <f>+L16+L17</f>
        <v>89826913</v>
      </c>
      <c r="M18" s="2042"/>
      <c r="N18" s="996"/>
      <c r="O18" s="996"/>
      <c r="P18" s="996"/>
      <c r="Q18" s="996"/>
      <c r="R18" s="2042" t="s">
        <v>1512</v>
      </c>
      <c r="S18" s="2042"/>
      <c r="T18" s="2042"/>
      <c r="U18" s="2042">
        <f>+U16+U17</f>
        <v>89826913</v>
      </c>
      <c r="V18" s="2042"/>
      <c r="W18" s="995"/>
      <c r="X18" s="995"/>
    </row>
    <row r="19" spans="1:24" x14ac:dyDescent="0.25">
      <c r="H19" s="995"/>
      <c r="I19" s="995"/>
      <c r="J19" s="995"/>
      <c r="K19" s="995"/>
      <c r="L19" s="995"/>
      <c r="M19" s="995"/>
      <c r="N19" s="995"/>
      <c r="O19" s="995"/>
      <c r="P19" s="995"/>
      <c r="Q19" s="995"/>
      <c r="R19" s="995"/>
      <c r="S19" s="995"/>
      <c r="T19" s="995"/>
      <c r="U19" s="995"/>
      <c r="V19" s="995"/>
      <c r="W19" s="995"/>
      <c r="X19" s="995"/>
    </row>
    <row r="20" spans="1:24" x14ac:dyDescent="0.25">
      <c r="Q20" s="968"/>
    </row>
    <row r="21" spans="1:24" x14ac:dyDescent="0.25">
      <c r="Q21" s="968"/>
    </row>
    <row r="22" spans="1:24" x14ac:dyDescent="0.25">
      <c r="Q22" s="968"/>
    </row>
    <row r="23" spans="1:24" ht="18.75" customHeight="1" x14ac:dyDescent="0.25">
      <c r="A23" s="2010" t="s">
        <v>2555</v>
      </c>
      <c r="B23" s="2010"/>
      <c r="C23" s="2010"/>
      <c r="D23" s="2010"/>
      <c r="E23" s="2010"/>
      <c r="F23" s="2010"/>
      <c r="G23" s="2010"/>
      <c r="H23" s="2010"/>
      <c r="I23" s="2010"/>
      <c r="J23" s="2010"/>
      <c r="K23" s="2010"/>
      <c r="L23" s="2010"/>
      <c r="M23" s="2010"/>
      <c r="N23" s="2010"/>
      <c r="O23" s="2010"/>
      <c r="P23" s="2010"/>
      <c r="Q23" s="2010"/>
      <c r="R23" s="2010"/>
      <c r="S23" s="2010"/>
      <c r="T23" s="2010"/>
      <c r="U23" s="2010"/>
      <c r="V23" s="2010"/>
      <c r="W23" s="2010"/>
      <c r="X23" s="2010"/>
    </row>
    <row r="24" spans="1:24" ht="18.75" customHeight="1" x14ac:dyDescent="0.25">
      <c r="A24" s="1246"/>
      <c r="B24" s="1246"/>
      <c r="C24" s="1246"/>
      <c r="D24" s="1246"/>
      <c r="E24" s="1246"/>
      <c r="F24" s="1246"/>
      <c r="G24" s="1246"/>
      <c r="H24" s="1246"/>
      <c r="I24" s="1246"/>
      <c r="J24" s="1246"/>
      <c r="K24" s="1246"/>
      <c r="L24" s="1246"/>
      <c r="M24" s="1246"/>
      <c r="N24" s="1246"/>
      <c r="O24" s="1246"/>
      <c r="P24" s="1246"/>
      <c r="Q24" s="1246"/>
      <c r="R24" s="1246"/>
      <c r="S24" s="1246"/>
      <c r="T24" s="1246"/>
      <c r="U24" s="1246"/>
      <c r="V24" s="1246"/>
      <c r="W24" s="1246"/>
      <c r="X24" s="1246"/>
    </row>
    <row r="25" spans="1:24" x14ac:dyDescent="0.25">
      <c r="A25" s="1007"/>
      <c r="B25" s="1007"/>
      <c r="C25" s="970"/>
      <c r="D25" s="970"/>
      <c r="E25" s="970"/>
      <c r="F25" s="970"/>
      <c r="G25" s="970"/>
      <c r="H25" s="970"/>
      <c r="I25" s="970"/>
      <c r="J25" s="970"/>
      <c r="K25" s="970"/>
      <c r="L25" s="970"/>
      <c r="M25" s="970"/>
      <c r="N25" s="970"/>
      <c r="O25" s="970"/>
      <c r="P25" s="970"/>
      <c r="Q25" s="970"/>
      <c r="R25" s="970"/>
      <c r="S25" s="970"/>
      <c r="T25" s="970"/>
      <c r="U25" s="970"/>
      <c r="V25" s="970"/>
      <c r="W25" s="970"/>
      <c r="X25" s="970"/>
    </row>
    <row r="26" spans="1:24" ht="17.25" customHeight="1" x14ac:dyDescent="0.25">
      <c r="A26" s="2055" t="s">
        <v>1689</v>
      </c>
      <c r="B26" s="2055"/>
      <c r="C26" s="2055"/>
      <c r="D26" s="2055"/>
      <c r="E26" s="2055"/>
      <c r="F26" s="2055"/>
      <c r="G26" s="2055"/>
      <c r="H26" s="2055"/>
      <c r="I26" s="2055"/>
      <c r="J26" s="2055"/>
      <c r="K26" s="2055"/>
      <c r="L26" s="2055"/>
      <c r="M26" s="2055"/>
      <c r="N26" s="2055"/>
      <c r="O26" s="2055"/>
      <c r="P26" s="2055"/>
      <c r="Q26" s="2055"/>
      <c r="R26" s="2055"/>
      <c r="S26" s="2055"/>
      <c r="T26" s="2055"/>
      <c r="U26" s="2055"/>
      <c r="V26" s="2055"/>
      <c r="W26" s="2055"/>
      <c r="X26" s="2055"/>
    </row>
    <row r="27" spans="1:24" x14ac:dyDescent="0.25">
      <c r="Q27" s="968"/>
    </row>
    <row r="28" spans="1:24" ht="18" customHeight="1" x14ac:dyDescent="0.25">
      <c r="A28" s="2056" t="s">
        <v>37</v>
      </c>
      <c r="B28" s="1773" t="s">
        <v>1640</v>
      </c>
      <c r="C28" s="2058" t="s">
        <v>2</v>
      </c>
      <c r="D28" s="2037" t="s">
        <v>1641</v>
      </c>
      <c r="E28" s="2037" t="s">
        <v>116</v>
      </c>
      <c r="F28" s="2037" t="s">
        <v>1690</v>
      </c>
      <c r="G28" s="2037" t="s">
        <v>1643</v>
      </c>
      <c r="H28" s="2039" t="s">
        <v>1644</v>
      </c>
      <c r="I28" s="2039"/>
      <c r="J28" s="2039"/>
      <c r="K28" s="2039"/>
      <c r="L28" s="2039"/>
      <c r="M28" s="2039"/>
      <c r="N28" s="2039"/>
      <c r="O28" s="2066"/>
      <c r="P28" s="1434"/>
      <c r="Q28" s="2040" t="s">
        <v>1645</v>
      </c>
      <c r="R28" s="2039"/>
      <c r="S28" s="2039"/>
      <c r="T28" s="2039"/>
      <c r="U28" s="2039"/>
      <c r="V28" s="2039"/>
      <c r="W28" s="2039"/>
      <c r="X28" s="2041"/>
    </row>
    <row r="29" spans="1:24" ht="81" customHeight="1" x14ac:dyDescent="0.25">
      <c r="A29" s="2057"/>
      <c r="B29" s="1774"/>
      <c r="C29" s="2059"/>
      <c r="D29" s="2038"/>
      <c r="E29" s="2038"/>
      <c r="F29" s="2038"/>
      <c r="G29" s="2038"/>
      <c r="H29" s="941" t="s">
        <v>1691</v>
      </c>
      <c r="I29" s="941" t="s">
        <v>1692</v>
      </c>
      <c r="J29" s="941" t="s">
        <v>1693</v>
      </c>
      <c r="K29" s="941" t="s">
        <v>1694</v>
      </c>
      <c r="L29" s="941" t="s">
        <v>1671</v>
      </c>
      <c r="M29" s="941" t="s">
        <v>1672</v>
      </c>
      <c r="N29" s="941" t="s">
        <v>1673</v>
      </c>
      <c r="O29" s="941" t="s">
        <v>1653</v>
      </c>
      <c r="P29" s="944" t="s">
        <v>1654</v>
      </c>
      <c r="Q29" s="999" t="s">
        <v>1655</v>
      </c>
      <c r="R29" s="941" t="s">
        <v>1656</v>
      </c>
      <c r="S29" s="941" t="s">
        <v>1695</v>
      </c>
      <c r="T29" s="941" t="s">
        <v>1696</v>
      </c>
      <c r="U29" s="941" t="s">
        <v>1659</v>
      </c>
      <c r="V29" s="941" t="s">
        <v>1660</v>
      </c>
      <c r="W29" s="941" t="s">
        <v>1661</v>
      </c>
      <c r="X29" s="944" t="s">
        <v>1697</v>
      </c>
    </row>
    <row r="30" spans="1:24" ht="18.75" customHeight="1" x14ac:dyDescent="0.25">
      <c r="A30" s="2056" t="s">
        <v>197</v>
      </c>
      <c r="B30" s="2058" t="s">
        <v>200</v>
      </c>
      <c r="C30" s="2060" t="s">
        <v>2149</v>
      </c>
      <c r="D30" s="974" t="s">
        <v>1855</v>
      </c>
      <c r="E30" s="1011" t="s">
        <v>1297</v>
      </c>
      <c r="F30" s="1011" t="s">
        <v>127</v>
      </c>
      <c r="G30" s="975" t="s">
        <v>1754</v>
      </c>
      <c r="H30" s="1019"/>
      <c r="I30" s="1019"/>
      <c r="J30" s="1019"/>
      <c r="K30" s="1019"/>
      <c r="L30" s="1019"/>
      <c r="M30" s="1019"/>
      <c r="N30" s="1019"/>
      <c r="O30" s="1019"/>
      <c r="P30" s="1020"/>
      <c r="Q30" s="1320"/>
      <c r="R30" s="1019"/>
      <c r="S30" s="1019"/>
      <c r="T30" s="1019"/>
      <c r="U30" s="1019"/>
      <c r="V30" s="1019"/>
      <c r="W30" s="1019"/>
      <c r="X30" s="1020">
        <v>423750</v>
      </c>
    </row>
    <row r="31" spans="1:24" ht="18.75" customHeight="1" x14ac:dyDescent="0.25">
      <c r="A31" s="2062"/>
      <c r="B31" s="2061"/>
      <c r="C31" s="2028"/>
      <c r="D31" s="978" t="s">
        <v>1855</v>
      </c>
      <c r="E31" s="1000" t="s">
        <v>175</v>
      </c>
      <c r="F31" s="1000" t="s">
        <v>150</v>
      </c>
      <c r="G31" s="979" t="s">
        <v>1754</v>
      </c>
      <c r="H31" s="1001">
        <v>375000</v>
      </c>
      <c r="I31" s="1001">
        <v>48750</v>
      </c>
      <c r="J31" s="1001"/>
      <c r="K31" s="1001"/>
      <c r="L31" s="1001"/>
      <c r="M31" s="1001"/>
      <c r="N31" s="1001"/>
      <c r="O31" s="1001"/>
      <c r="P31" s="1002"/>
      <c r="Q31" s="1321"/>
      <c r="R31" s="1001"/>
      <c r="S31" s="1001"/>
      <c r="T31" s="1001"/>
      <c r="U31" s="1001"/>
      <c r="V31" s="1001"/>
      <c r="W31" s="1001"/>
      <c r="X31" s="1002"/>
    </row>
    <row r="32" spans="1:24" ht="17.25" customHeight="1" x14ac:dyDescent="0.25">
      <c r="A32" s="2062" t="s">
        <v>198</v>
      </c>
      <c r="B32" s="2061" t="s">
        <v>201</v>
      </c>
      <c r="C32" s="2028" t="s">
        <v>2149</v>
      </c>
      <c r="D32" s="978" t="s">
        <v>1855</v>
      </c>
      <c r="E32" s="1000" t="s">
        <v>1297</v>
      </c>
      <c r="F32" s="1000" t="s">
        <v>127</v>
      </c>
      <c r="G32" s="979" t="s">
        <v>1754</v>
      </c>
      <c r="H32" s="1001"/>
      <c r="I32" s="1001"/>
      <c r="J32" s="1001"/>
      <c r="K32" s="1001"/>
      <c r="L32" s="1001"/>
      <c r="M32" s="1001"/>
      <c r="N32" s="1001"/>
      <c r="O32" s="1001"/>
      <c r="P32" s="1002"/>
      <c r="Q32" s="1321"/>
      <c r="R32" s="1001"/>
      <c r="S32" s="1001"/>
      <c r="T32" s="1001"/>
      <c r="U32" s="1001"/>
      <c r="V32" s="1001"/>
      <c r="W32" s="1001"/>
      <c r="X32" s="1002">
        <v>960500</v>
      </c>
    </row>
    <row r="33" spans="1:24" ht="17.25" customHeight="1" x14ac:dyDescent="0.25">
      <c r="A33" s="2062"/>
      <c r="B33" s="2061"/>
      <c r="C33" s="2028"/>
      <c r="D33" s="978" t="s">
        <v>1855</v>
      </c>
      <c r="E33" s="1000" t="s">
        <v>175</v>
      </c>
      <c r="F33" s="1000" t="s">
        <v>150</v>
      </c>
      <c r="G33" s="979" t="s">
        <v>1754</v>
      </c>
      <c r="H33" s="1001">
        <v>850000</v>
      </c>
      <c r="I33" s="1001">
        <v>110500</v>
      </c>
      <c r="J33" s="1001"/>
      <c r="K33" s="1001"/>
      <c r="L33" s="1001"/>
      <c r="M33" s="1001"/>
      <c r="N33" s="1001"/>
      <c r="O33" s="1001"/>
      <c r="P33" s="1002"/>
      <c r="Q33" s="1321"/>
      <c r="R33" s="1001"/>
      <c r="S33" s="1001"/>
      <c r="T33" s="1001"/>
      <c r="U33" s="1001"/>
      <c r="V33" s="1001"/>
      <c r="W33" s="1001"/>
      <c r="X33" s="1002"/>
    </row>
    <row r="34" spans="1:24" ht="29.25" customHeight="1" x14ac:dyDescent="0.25">
      <c r="A34" s="1432" t="s">
        <v>199</v>
      </c>
      <c r="B34" s="1431" t="s">
        <v>202</v>
      </c>
      <c r="C34" s="1425" t="s">
        <v>2290</v>
      </c>
      <c r="D34" s="978" t="s">
        <v>1855</v>
      </c>
      <c r="E34" s="1000" t="s">
        <v>175</v>
      </c>
      <c r="F34" s="1000" t="s">
        <v>150</v>
      </c>
      <c r="G34" s="979" t="s">
        <v>1754</v>
      </c>
      <c r="H34" s="1001"/>
      <c r="I34" s="1001"/>
      <c r="J34" s="1001">
        <v>300000</v>
      </c>
      <c r="K34" s="1001"/>
      <c r="L34" s="1001"/>
      <c r="M34" s="1001"/>
      <c r="N34" s="1001"/>
      <c r="O34" s="1001"/>
      <c r="P34" s="1002"/>
      <c r="Q34" s="1321"/>
      <c r="R34" s="1001"/>
      <c r="S34" s="1001"/>
      <c r="T34" s="1001">
        <v>300000</v>
      </c>
      <c r="U34" s="1001"/>
      <c r="V34" s="1001"/>
      <c r="W34" s="1001"/>
      <c r="X34" s="1002"/>
    </row>
    <row r="35" spans="1:24" ht="17.25" customHeight="1" x14ac:dyDescent="0.25">
      <c r="A35" s="2062" t="s">
        <v>200</v>
      </c>
      <c r="B35" s="2070" t="s">
        <v>1849</v>
      </c>
      <c r="C35" s="2028" t="s">
        <v>2330</v>
      </c>
      <c r="D35" s="978" t="s">
        <v>1855</v>
      </c>
      <c r="E35" s="1000" t="s">
        <v>1297</v>
      </c>
      <c r="F35" s="1000" t="s">
        <v>127</v>
      </c>
      <c r="G35" s="979" t="s">
        <v>1754</v>
      </c>
      <c r="H35" s="1001"/>
      <c r="I35" s="1001"/>
      <c r="J35" s="1001"/>
      <c r="K35" s="1001"/>
      <c r="L35" s="1001">
        <v>6237769</v>
      </c>
      <c r="M35" s="1001"/>
      <c r="N35" s="1001"/>
      <c r="O35" s="1001"/>
      <c r="P35" s="1002"/>
      <c r="Q35" s="1321"/>
      <c r="R35" s="1001"/>
      <c r="S35" s="1001"/>
      <c r="T35" s="1001"/>
      <c r="U35" s="1001"/>
      <c r="V35" s="1001"/>
      <c r="W35" s="1001"/>
      <c r="X35" s="1002">
        <v>5897241</v>
      </c>
    </row>
    <row r="36" spans="1:24" ht="15" customHeight="1" x14ac:dyDescent="0.25">
      <c r="A36" s="2062"/>
      <c r="B36" s="2070"/>
      <c r="C36" s="2028"/>
      <c r="D36" s="978" t="s">
        <v>1855</v>
      </c>
      <c r="E36" s="1000" t="s">
        <v>175</v>
      </c>
      <c r="F36" s="1000" t="s">
        <v>133</v>
      </c>
      <c r="G36" s="979" t="s">
        <v>1754</v>
      </c>
      <c r="H36" s="1001"/>
      <c r="I36" s="1001"/>
      <c r="J36" s="1001"/>
      <c r="K36" s="1001"/>
      <c r="L36" s="1001"/>
      <c r="M36" s="1001"/>
      <c r="N36" s="1001"/>
      <c r="O36" s="1001"/>
      <c r="P36" s="1002"/>
      <c r="Q36" s="1321"/>
      <c r="R36" s="1001"/>
      <c r="S36" s="1001"/>
      <c r="T36" s="1001"/>
      <c r="U36" s="1001"/>
      <c r="V36" s="1001"/>
      <c r="W36" s="1001"/>
      <c r="X36" s="1002">
        <v>340528</v>
      </c>
    </row>
    <row r="37" spans="1:24" ht="21" customHeight="1" x14ac:dyDescent="0.25">
      <c r="A37" s="2047" t="s">
        <v>201</v>
      </c>
      <c r="B37" s="2063" t="s">
        <v>231</v>
      </c>
      <c r="C37" s="2043" t="s">
        <v>2420</v>
      </c>
      <c r="D37" s="1368" t="s">
        <v>1855</v>
      </c>
      <c r="E37" s="1369" t="s">
        <v>175</v>
      </c>
      <c r="F37" s="1369" t="s">
        <v>133</v>
      </c>
      <c r="G37" s="1373" t="s">
        <v>1752</v>
      </c>
      <c r="H37" s="1370"/>
      <c r="I37" s="1370"/>
      <c r="J37" s="1370"/>
      <c r="K37" s="1370"/>
      <c r="L37" s="1370"/>
      <c r="M37" s="1370">
        <f>-255827-69074</f>
        <v>-324901</v>
      </c>
      <c r="N37" s="1370"/>
      <c r="O37" s="1370"/>
      <c r="P37" s="1371"/>
      <c r="Q37" s="1372"/>
      <c r="R37" s="1370"/>
      <c r="S37" s="1370"/>
      <c r="T37" s="1370"/>
      <c r="U37" s="1370"/>
      <c r="V37" s="1370"/>
      <c r="W37" s="1370"/>
      <c r="X37" s="1371"/>
    </row>
    <row r="38" spans="1:24" ht="21" customHeight="1" x14ac:dyDescent="0.25">
      <c r="A38" s="2048"/>
      <c r="B38" s="2065"/>
      <c r="C38" s="2044"/>
      <c r="D38" s="1368" t="s">
        <v>1855</v>
      </c>
      <c r="E38" s="1369" t="s">
        <v>175</v>
      </c>
      <c r="F38" s="1369" t="s">
        <v>150</v>
      </c>
      <c r="G38" s="1373" t="s">
        <v>1754</v>
      </c>
      <c r="H38" s="1370"/>
      <c r="I38" s="1370"/>
      <c r="J38" s="1370"/>
      <c r="K38" s="1370"/>
      <c r="L38" s="1370"/>
      <c r="M38" s="1370">
        <f>149528+106299+69074</f>
        <v>324901</v>
      </c>
      <c r="N38" s="1370"/>
      <c r="O38" s="1370"/>
      <c r="P38" s="1371"/>
      <c r="Q38" s="1372"/>
      <c r="R38" s="1370"/>
      <c r="S38" s="1370"/>
      <c r="T38" s="1370"/>
      <c r="U38" s="1370"/>
      <c r="V38" s="1370"/>
      <c r="W38" s="1370"/>
      <c r="X38" s="1371"/>
    </row>
    <row r="39" spans="1:24" ht="19.5" customHeight="1" x14ac:dyDescent="0.25">
      <c r="A39" s="2047" t="s">
        <v>202</v>
      </c>
      <c r="B39" s="2063" t="s">
        <v>232</v>
      </c>
      <c r="C39" s="2043" t="s">
        <v>2505</v>
      </c>
      <c r="D39" s="1368" t="s">
        <v>1855</v>
      </c>
      <c r="E39" s="1369" t="s">
        <v>175</v>
      </c>
      <c r="F39" s="1369" t="s">
        <v>133</v>
      </c>
      <c r="G39" s="1373" t="s">
        <v>1754</v>
      </c>
      <c r="H39" s="1370"/>
      <c r="I39" s="1370"/>
      <c r="J39" s="1370"/>
      <c r="K39" s="1370"/>
      <c r="L39" s="1370"/>
      <c r="M39" s="1370"/>
      <c r="N39" s="1370"/>
      <c r="O39" s="1370"/>
      <c r="P39" s="1371"/>
      <c r="Q39" s="1372"/>
      <c r="R39" s="1370"/>
      <c r="S39" s="1370"/>
      <c r="T39" s="1370">
        <v>1</v>
      </c>
      <c r="U39" s="1370"/>
      <c r="V39" s="1370"/>
      <c r="W39" s="1370"/>
      <c r="X39" s="1371"/>
    </row>
    <row r="40" spans="1:24" ht="19.5" customHeight="1" x14ac:dyDescent="0.25">
      <c r="A40" s="2048"/>
      <c r="B40" s="2065"/>
      <c r="C40" s="2044"/>
      <c r="D40" s="1368" t="s">
        <v>1855</v>
      </c>
      <c r="E40" s="1369" t="s">
        <v>175</v>
      </c>
      <c r="F40" s="1369" t="s">
        <v>150</v>
      </c>
      <c r="G40" s="1373" t="s">
        <v>1754</v>
      </c>
      <c r="H40" s="1370"/>
      <c r="I40" s="1370"/>
      <c r="J40" s="1370">
        <v>1</v>
      </c>
      <c r="K40" s="1370"/>
      <c r="L40" s="1370"/>
      <c r="M40" s="1370"/>
      <c r="N40" s="1370"/>
      <c r="O40" s="1370"/>
      <c r="P40" s="1371"/>
      <c r="Q40" s="1372"/>
      <c r="R40" s="1370"/>
      <c r="S40" s="1370"/>
      <c r="T40" s="1370"/>
      <c r="U40" s="1370"/>
      <c r="V40" s="1370"/>
      <c r="W40" s="1370"/>
      <c r="X40" s="1371"/>
    </row>
    <row r="41" spans="1:24" ht="34.5" customHeight="1" x14ac:dyDescent="0.25">
      <c r="A41" s="2062" t="s">
        <v>203</v>
      </c>
      <c r="B41" s="2070" t="s">
        <v>233</v>
      </c>
      <c r="C41" s="2028" t="s">
        <v>2707</v>
      </c>
      <c r="D41" s="1368" t="s">
        <v>1855</v>
      </c>
      <c r="E41" s="1369" t="s">
        <v>175</v>
      </c>
      <c r="F41" s="1369" t="s">
        <v>150</v>
      </c>
      <c r="G41" s="1373" t="s">
        <v>1752</v>
      </c>
      <c r="H41" s="1370"/>
      <c r="I41" s="1370"/>
      <c r="J41" s="1370"/>
      <c r="K41" s="1370"/>
      <c r="L41" s="1370"/>
      <c r="M41" s="1370">
        <f>-149528-106299-69074</f>
        <v>-324901</v>
      </c>
      <c r="N41" s="1370"/>
      <c r="O41" s="1370"/>
      <c r="P41" s="1371"/>
      <c r="Q41" s="1372"/>
      <c r="R41" s="1370"/>
      <c r="S41" s="1370"/>
      <c r="T41" s="1370"/>
      <c r="U41" s="1370"/>
      <c r="V41" s="1370"/>
      <c r="W41" s="1370"/>
      <c r="X41" s="1371"/>
    </row>
    <row r="42" spans="1:24" ht="34.5" customHeight="1" x14ac:dyDescent="0.25">
      <c r="A42" s="2062"/>
      <c r="B42" s="2070"/>
      <c r="C42" s="2028"/>
      <c r="D42" s="1368" t="s">
        <v>1855</v>
      </c>
      <c r="E42" s="1369" t="s">
        <v>175</v>
      </c>
      <c r="F42" s="1369" t="s">
        <v>133</v>
      </c>
      <c r="G42" s="1373" t="s">
        <v>1754</v>
      </c>
      <c r="H42" s="1370"/>
      <c r="I42" s="1370"/>
      <c r="J42" s="1370"/>
      <c r="K42" s="1370"/>
      <c r="L42" s="1370"/>
      <c r="M42" s="1370">
        <f>149528+106299+69074</f>
        <v>324901</v>
      </c>
      <c r="N42" s="1370"/>
      <c r="O42" s="1370"/>
      <c r="P42" s="1371"/>
      <c r="Q42" s="1372"/>
      <c r="R42" s="1370"/>
      <c r="S42" s="1370"/>
      <c r="T42" s="1370"/>
      <c r="U42" s="1370"/>
      <c r="V42" s="1370"/>
      <c r="W42" s="1370"/>
      <c r="X42" s="1371"/>
    </row>
    <row r="43" spans="1:24" ht="26.25" customHeight="1" x14ac:dyDescent="0.25">
      <c r="A43" s="2047" t="s">
        <v>204</v>
      </c>
      <c r="B43" s="2063" t="s">
        <v>234</v>
      </c>
      <c r="C43" s="2043" t="s">
        <v>2708</v>
      </c>
      <c r="D43" s="1368" t="s">
        <v>1855</v>
      </c>
      <c r="E43" s="1369" t="s">
        <v>175</v>
      </c>
      <c r="F43" s="1369" t="s">
        <v>150</v>
      </c>
      <c r="G43" s="1373" t="s">
        <v>1752</v>
      </c>
      <c r="H43" s="1370"/>
      <c r="I43" s="1370"/>
      <c r="J43" s="1370">
        <v>-1</v>
      </c>
      <c r="K43" s="1370"/>
      <c r="L43" s="1370"/>
      <c r="M43" s="1370"/>
      <c r="N43" s="1370"/>
      <c r="O43" s="1370"/>
      <c r="P43" s="1371"/>
      <c r="Q43" s="1372"/>
      <c r="R43" s="1370"/>
      <c r="S43" s="1370"/>
      <c r="T43" s="1370"/>
      <c r="U43" s="1370"/>
      <c r="V43" s="1370"/>
      <c r="W43" s="1370"/>
      <c r="X43" s="1371"/>
    </row>
    <row r="44" spans="1:24" ht="26.25" customHeight="1" x14ac:dyDescent="0.25">
      <c r="A44" s="2048"/>
      <c r="B44" s="2065"/>
      <c r="C44" s="2044"/>
      <c r="D44" s="1368" t="s">
        <v>1855</v>
      </c>
      <c r="E44" s="1369" t="s">
        <v>175</v>
      </c>
      <c r="F44" s="1369" t="s">
        <v>133</v>
      </c>
      <c r="G44" s="1373" t="s">
        <v>1754</v>
      </c>
      <c r="H44" s="1370"/>
      <c r="I44" s="1370"/>
      <c r="J44" s="1370">
        <v>1</v>
      </c>
      <c r="K44" s="1370"/>
      <c r="L44" s="1370"/>
      <c r="M44" s="1370"/>
      <c r="N44" s="1370"/>
      <c r="O44" s="1370"/>
      <c r="P44" s="1371"/>
      <c r="Q44" s="1372"/>
      <c r="R44" s="1370"/>
      <c r="S44" s="1370"/>
      <c r="T44" s="1370"/>
      <c r="U44" s="1370"/>
      <c r="V44" s="1370"/>
      <c r="W44" s="1370"/>
      <c r="X44" s="1371"/>
    </row>
    <row r="45" spans="1:24" ht="28.5" customHeight="1" x14ac:dyDescent="0.25">
      <c r="A45" s="1493" t="s">
        <v>231</v>
      </c>
      <c r="B45" s="1497" t="s">
        <v>235</v>
      </c>
      <c r="C45" s="1491" t="s">
        <v>2723</v>
      </c>
      <c r="D45" s="1368" t="s">
        <v>1855</v>
      </c>
      <c r="E45" s="1369" t="s">
        <v>175</v>
      </c>
      <c r="F45" s="1369" t="s">
        <v>133</v>
      </c>
      <c r="G45" s="1373" t="s">
        <v>1766</v>
      </c>
      <c r="H45" s="1370"/>
      <c r="I45" s="1370"/>
      <c r="J45" s="1370">
        <v>1365</v>
      </c>
      <c r="K45" s="1370"/>
      <c r="L45" s="1370"/>
      <c r="M45" s="1370">
        <f>-1075-290</f>
        <v>-1365</v>
      </c>
      <c r="N45" s="1370"/>
      <c r="O45" s="1370"/>
      <c r="P45" s="1371"/>
      <c r="Q45" s="1372"/>
      <c r="R45" s="1370"/>
      <c r="S45" s="1370"/>
      <c r="T45" s="1370"/>
      <c r="U45" s="1370"/>
      <c r="V45" s="1370"/>
      <c r="W45" s="1370"/>
      <c r="X45" s="1371"/>
    </row>
    <row r="46" spans="1:24" ht="28.5" customHeight="1" x14ac:dyDescent="0.25">
      <c r="A46" s="1493" t="s">
        <v>232</v>
      </c>
      <c r="B46" s="1497" t="s">
        <v>236</v>
      </c>
      <c r="C46" s="1491" t="s">
        <v>2724</v>
      </c>
      <c r="D46" s="1368" t="s">
        <v>1855</v>
      </c>
      <c r="E46" s="1369" t="s">
        <v>175</v>
      </c>
      <c r="F46" s="1369" t="s">
        <v>150</v>
      </c>
      <c r="G46" s="1373" t="s">
        <v>1766</v>
      </c>
      <c r="H46" s="1370"/>
      <c r="I46" s="1370"/>
      <c r="J46" s="1370">
        <f>-60000+60000</f>
        <v>0</v>
      </c>
      <c r="K46" s="1370"/>
      <c r="L46" s="1370"/>
      <c r="M46" s="1370"/>
      <c r="N46" s="1370"/>
      <c r="O46" s="1370"/>
      <c r="P46" s="1371"/>
      <c r="Q46" s="1372"/>
      <c r="R46" s="1370"/>
      <c r="S46" s="1370"/>
      <c r="T46" s="1370"/>
      <c r="U46" s="1370"/>
      <c r="V46" s="1370"/>
      <c r="W46" s="1370"/>
      <c r="X46" s="1371"/>
    </row>
    <row r="47" spans="1:24" ht="29.25" customHeight="1" x14ac:dyDescent="0.25">
      <c r="A47" s="1493" t="s">
        <v>233</v>
      </c>
      <c r="B47" s="1497" t="s">
        <v>237</v>
      </c>
      <c r="C47" s="1491" t="s">
        <v>2290</v>
      </c>
      <c r="D47" s="1368" t="s">
        <v>1855</v>
      </c>
      <c r="E47" s="1369" t="s">
        <v>175</v>
      </c>
      <c r="F47" s="1369" t="s">
        <v>150</v>
      </c>
      <c r="G47" s="1373" t="s">
        <v>1754</v>
      </c>
      <c r="H47" s="1370"/>
      <c r="I47" s="1370"/>
      <c r="J47" s="1370">
        <v>200000</v>
      </c>
      <c r="K47" s="1370"/>
      <c r="L47" s="1370"/>
      <c r="M47" s="1370"/>
      <c r="N47" s="1370"/>
      <c r="O47" s="1370"/>
      <c r="P47" s="1371"/>
      <c r="Q47" s="1372"/>
      <c r="R47" s="1370"/>
      <c r="S47" s="1370"/>
      <c r="T47" s="1370">
        <v>200000</v>
      </c>
      <c r="U47" s="1370"/>
      <c r="V47" s="1370"/>
      <c r="W47" s="1370"/>
      <c r="X47" s="1371"/>
    </row>
    <row r="48" spans="1:24" x14ac:dyDescent="0.25">
      <c r="A48" s="1429"/>
      <c r="B48" s="1430"/>
      <c r="C48" s="982"/>
      <c r="D48" s="983"/>
      <c r="E48" s="1083"/>
      <c r="F48" s="1083"/>
      <c r="G48" s="984"/>
      <c r="H48" s="1004"/>
      <c r="I48" s="1004"/>
      <c r="J48" s="1004"/>
      <c r="K48" s="1004"/>
      <c r="L48" s="1004"/>
      <c r="M48" s="1004"/>
      <c r="N48" s="1004"/>
      <c r="O48" s="1004"/>
      <c r="P48" s="1005"/>
      <c r="Q48" s="1322"/>
      <c r="R48" s="1004"/>
      <c r="S48" s="1004"/>
      <c r="T48" s="1004"/>
      <c r="U48" s="1004"/>
      <c r="V48" s="1004"/>
      <c r="W48" s="1004"/>
      <c r="X48" s="1005"/>
    </row>
    <row r="49" spans="1:24" ht="18.75" x14ac:dyDescent="0.3">
      <c r="A49" s="2021" t="s">
        <v>1663</v>
      </c>
      <c r="B49" s="2022"/>
      <c r="C49" s="2022"/>
      <c r="D49" s="956"/>
      <c r="E49" s="956"/>
      <c r="F49" s="956"/>
      <c r="G49" s="956"/>
      <c r="H49" s="1595">
        <f t="shared" ref="H49:X49" si="1">SUM(H30:H48)+H12</f>
        <v>8059720</v>
      </c>
      <c r="I49" s="1595">
        <f t="shared" si="1"/>
        <v>1047764</v>
      </c>
      <c r="J49" s="1595">
        <f t="shared" si="1"/>
        <v>517781</v>
      </c>
      <c r="K49" s="1595">
        <f t="shared" si="1"/>
        <v>0</v>
      </c>
      <c r="L49" s="1595">
        <f t="shared" si="1"/>
        <v>6237769</v>
      </c>
      <c r="M49" s="1595">
        <f t="shared" si="1"/>
        <v>-1365</v>
      </c>
      <c r="N49" s="1595">
        <f t="shared" si="1"/>
        <v>0</v>
      </c>
      <c r="O49" s="1595">
        <f t="shared" si="1"/>
        <v>0</v>
      </c>
      <c r="P49" s="1596">
        <f t="shared" si="1"/>
        <v>0</v>
      </c>
      <c r="Q49" s="1598">
        <f t="shared" si="1"/>
        <v>0</v>
      </c>
      <c r="R49" s="1595">
        <f t="shared" si="1"/>
        <v>0</v>
      </c>
      <c r="S49" s="1595">
        <f t="shared" si="1"/>
        <v>0</v>
      </c>
      <c r="T49" s="1595">
        <f t="shared" si="1"/>
        <v>511416</v>
      </c>
      <c r="U49" s="1595">
        <f t="shared" si="1"/>
        <v>5000</v>
      </c>
      <c r="V49" s="1595">
        <f t="shared" si="1"/>
        <v>0</v>
      </c>
      <c r="W49" s="1595">
        <f t="shared" si="1"/>
        <v>0</v>
      </c>
      <c r="X49" s="1596">
        <f t="shared" si="1"/>
        <v>15345253</v>
      </c>
    </row>
    <row r="50" spans="1:24" ht="18" customHeight="1" x14ac:dyDescent="0.25">
      <c r="H50" s="1016"/>
      <c r="I50" s="1016"/>
      <c r="J50" s="1016"/>
      <c r="K50" s="1016"/>
      <c r="L50" s="1016"/>
      <c r="M50" s="1016"/>
      <c r="N50" s="1016"/>
      <c r="O50" s="1016"/>
      <c r="P50" s="1016"/>
      <c r="Q50" s="1016"/>
      <c r="R50" s="1016"/>
      <c r="S50" s="1016"/>
      <c r="T50" s="1016"/>
      <c r="U50" s="1016"/>
      <c r="V50" s="1016"/>
      <c r="W50" s="1016"/>
      <c r="X50" s="1016"/>
    </row>
    <row r="51" spans="1:24" ht="17.25" customHeight="1" x14ac:dyDescent="0.25">
      <c r="H51" s="1016"/>
      <c r="I51" s="1016"/>
      <c r="J51" s="1016"/>
      <c r="K51" s="1016"/>
      <c r="L51" s="1016"/>
      <c r="M51" s="1016"/>
      <c r="N51" s="1016"/>
      <c r="O51" s="1016"/>
      <c r="P51" s="1016"/>
      <c r="Q51" s="1016"/>
      <c r="R51" s="1016"/>
      <c r="S51" s="1016"/>
      <c r="T51" s="1016"/>
      <c r="U51" s="1016"/>
      <c r="V51" s="1016"/>
      <c r="W51" s="1016"/>
      <c r="X51" s="1016"/>
    </row>
    <row r="52" spans="1:24" x14ac:dyDescent="0.25">
      <c r="Q52" s="968"/>
    </row>
    <row r="53" spans="1:24" x14ac:dyDescent="0.25">
      <c r="Q53" s="968"/>
    </row>
    <row r="54" spans="1:24" ht="20.25" customHeight="1" x14ac:dyDescent="0.25">
      <c r="I54" s="2042" t="s">
        <v>1664</v>
      </c>
      <c r="J54" s="2042"/>
      <c r="K54" s="2042"/>
      <c r="L54" s="2042">
        <v>82087264</v>
      </c>
      <c r="M54" s="2042"/>
      <c r="N54" s="996"/>
      <c r="O54" s="996"/>
      <c r="P54" s="996"/>
      <c r="Q54" s="996"/>
      <c r="R54" s="2042" t="s">
        <v>1665</v>
      </c>
      <c r="S54" s="2042"/>
      <c r="T54" s="2042"/>
      <c r="U54" s="2042">
        <v>82087264</v>
      </c>
      <c r="V54" s="2042"/>
    </row>
    <row r="55" spans="1:24" ht="20.25" customHeight="1" x14ac:dyDescent="0.25">
      <c r="I55" s="2042" t="s">
        <v>1666</v>
      </c>
      <c r="J55" s="2042"/>
      <c r="K55" s="2042"/>
      <c r="L55" s="2042">
        <f>SUM(H49:P49)</f>
        <v>15861669</v>
      </c>
      <c r="M55" s="2042"/>
      <c r="N55" s="996"/>
      <c r="O55" s="996"/>
      <c r="P55" s="996"/>
      <c r="Q55" s="996"/>
      <c r="R55" s="2042" t="s">
        <v>1666</v>
      </c>
      <c r="S55" s="2042"/>
      <c r="T55" s="2042"/>
      <c r="U55" s="2042">
        <f>SUM(Q49:X49)</f>
        <v>15861669</v>
      </c>
      <c r="V55" s="2042"/>
    </row>
    <row r="56" spans="1:24" ht="20.25" customHeight="1" x14ac:dyDescent="0.25">
      <c r="I56" s="2042" t="s">
        <v>1512</v>
      </c>
      <c r="J56" s="2042"/>
      <c r="K56" s="2042"/>
      <c r="L56" s="2042">
        <f>+L54+L55</f>
        <v>97948933</v>
      </c>
      <c r="M56" s="2042"/>
      <c r="N56" s="996"/>
      <c r="O56" s="996"/>
      <c r="P56" s="996"/>
      <c r="Q56" s="996"/>
      <c r="R56" s="2042" t="s">
        <v>1512</v>
      </c>
      <c r="S56" s="2042"/>
      <c r="T56" s="2042"/>
      <c r="U56" s="2042">
        <f>+U54+U55</f>
        <v>97948933</v>
      </c>
      <c r="V56" s="2042"/>
    </row>
    <row r="57" spans="1:24" x14ac:dyDescent="0.25">
      <c r="Q57" s="968"/>
    </row>
    <row r="58" spans="1:24" x14ac:dyDescent="0.25">
      <c r="Q58" s="968"/>
    </row>
    <row r="59" spans="1:24" x14ac:dyDescent="0.25">
      <c r="Q59" s="968"/>
    </row>
    <row r="60" spans="1:24" x14ac:dyDescent="0.25">
      <c r="Q60" s="968"/>
    </row>
    <row r="61" spans="1:24" ht="15.75" x14ac:dyDescent="0.25">
      <c r="A61" s="2010" t="s">
        <v>2861</v>
      </c>
      <c r="B61" s="2010"/>
      <c r="C61" s="2010"/>
      <c r="D61" s="2010"/>
      <c r="E61" s="2010"/>
      <c r="F61" s="2010"/>
      <c r="G61" s="2010"/>
      <c r="H61" s="2010"/>
      <c r="I61" s="2010"/>
      <c r="J61" s="2010"/>
      <c r="K61" s="2010"/>
      <c r="L61" s="2010"/>
      <c r="M61" s="2010"/>
      <c r="N61" s="2010"/>
      <c r="O61" s="2010"/>
      <c r="P61" s="2010"/>
      <c r="Q61" s="2010"/>
      <c r="R61" s="2010"/>
      <c r="S61" s="2010"/>
      <c r="T61" s="2010"/>
      <c r="U61" s="2010"/>
      <c r="V61" s="2010"/>
      <c r="W61" s="2010"/>
      <c r="X61" s="2010"/>
    </row>
    <row r="62" spans="1:24" ht="15.75" x14ac:dyDescent="0.25">
      <c r="A62" s="1246"/>
      <c r="B62" s="1246"/>
      <c r="C62" s="1246"/>
      <c r="D62" s="1246"/>
      <c r="E62" s="1246"/>
      <c r="F62" s="1246"/>
      <c r="G62" s="1246"/>
      <c r="H62" s="1246"/>
      <c r="I62" s="1246"/>
      <c r="J62" s="1246"/>
      <c r="K62" s="1246"/>
      <c r="L62" s="1246"/>
      <c r="M62" s="1246"/>
      <c r="N62" s="1246"/>
      <c r="O62" s="1246"/>
      <c r="P62" s="1246"/>
      <c r="Q62" s="1246"/>
      <c r="R62" s="1246"/>
      <c r="S62" s="1246"/>
      <c r="T62" s="1246"/>
      <c r="U62" s="1246"/>
      <c r="V62" s="1246"/>
      <c r="W62" s="1246"/>
      <c r="X62" s="1246"/>
    </row>
    <row r="63" spans="1:24" x14ac:dyDescent="0.25">
      <c r="A63" s="1007"/>
      <c r="B63" s="1007"/>
      <c r="C63" s="970"/>
      <c r="D63" s="970"/>
      <c r="E63" s="970"/>
      <c r="F63" s="970"/>
      <c r="G63" s="970"/>
      <c r="H63" s="970"/>
      <c r="I63" s="970"/>
      <c r="J63" s="970"/>
      <c r="K63" s="970"/>
      <c r="L63" s="970"/>
      <c r="M63" s="970"/>
      <c r="N63" s="970"/>
      <c r="O63" s="970"/>
      <c r="P63" s="970"/>
      <c r="Q63" s="970"/>
      <c r="R63" s="970"/>
      <c r="S63" s="970"/>
      <c r="T63" s="970"/>
      <c r="U63" s="970"/>
      <c r="V63" s="970"/>
      <c r="W63" s="970"/>
      <c r="X63" s="970"/>
    </row>
    <row r="64" spans="1:24" x14ac:dyDescent="0.25">
      <c r="A64" s="2055" t="s">
        <v>1689</v>
      </c>
      <c r="B64" s="2055"/>
      <c r="C64" s="2055"/>
      <c r="D64" s="2055"/>
      <c r="E64" s="2055"/>
      <c r="F64" s="2055"/>
      <c r="G64" s="2055"/>
      <c r="H64" s="2055"/>
      <c r="I64" s="2055"/>
      <c r="J64" s="2055"/>
      <c r="K64" s="2055"/>
      <c r="L64" s="2055"/>
      <c r="M64" s="2055"/>
      <c r="N64" s="2055"/>
      <c r="O64" s="2055"/>
      <c r="P64" s="2055"/>
      <c r="Q64" s="2055"/>
      <c r="R64" s="2055"/>
      <c r="S64" s="2055"/>
      <c r="T64" s="2055"/>
      <c r="U64" s="2055"/>
      <c r="V64" s="2055"/>
      <c r="W64" s="2055"/>
      <c r="X64" s="2055"/>
    </row>
    <row r="65" spans="1:24" x14ac:dyDescent="0.25">
      <c r="Q65" s="968"/>
    </row>
    <row r="66" spans="1:24" ht="15.75" customHeight="1" x14ac:dyDescent="0.25">
      <c r="A66" s="2056" t="s">
        <v>37</v>
      </c>
      <c r="B66" s="1773" t="s">
        <v>1640</v>
      </c>
      <c r="C66" s="2058" t="s">
        <v>2</v>
      </c>
      <c r="D66" s="2037" t="s">
        <v>1641</v>
      </c>
      <c r="E66" s="2037" t="s">
        <v>116</v>
      </c>
      <c r="F66" s="2037" t="s">
        <v>1690</v>
      </c>
      <c r="G66" s="2037" t="s">
        <v>1643</v>
      </c>
      <c r="H66" s="2039" t="s">
        <v>1644</v>
      </c>
      <c r="I66" s="2039"/>
      <c r="J66" s="2039"/>
      <c r="K66" s="2039"/>
      <c r="L66" s="2039"/>
      <c r="M66" s="2039"/>
      <c r="N66" s="2039"/>
      <c r="O66" s="2066"/>
      <c r="P66" s="1434"/>
      <c r="Q66" s="2040" t="s">
        <v>1645</v>
      </c>
      <c r="R66" s="2039"/>
      <c r="S66" s="2039"/>
      <c r="T66" s="2039"/>
      <c r="U66" s="2039"/>
      <c r="V66" s="2039"/>
      <c r="W66" s="2039"/>
      <c r="X66" s="2041"/>
    </row>
    <row r="67" spans="1:24" ht="83.25" customHeight="1" x14ac:dyDescent="0.25">
      <c r="A67" s="2057"/>
      <c r="B67" s="1774"/>
      <c r="C67" s="2059"/>
      <c r="D67" s="2038"/>
      <c r="E67" s="2038"/>
      <c r="F67" s="2038"/>
      <c r="G67" s="2038"/>
      <c r="H67" s="941" t="s">
        <v>1691</v>
      </c>
      <c r="I67" s="941" t="s">
        <v>1692</v>
      </c>
      <c r="J67" s="941" t="s">
        <v>1693</v>
      </c>
      <c r="K67" s="941" t="s">
        <v>1694</v>
      </c>
      <c r="L67" s="941" t="s">
        <v>1671</v>
      </c>
      <c r="M67" s="941" t="s">
        <v>1672</v>
      </c>
      <c r="N67" s="941" t="s">
        <v>1673</v>
      </c>
      <c r="O67" s="941" t="s">
        <v>1653</v>
      </c>
      <c r="P67" s="944" t="s">
        <v>1654</v>
      </c>
      <c r="Q67" s="999" t="s">
        <v>1655</v>
      </c>
      <c r="R67" s="941" t="s">
        <v>1656</v>
      </c>
      <c r="S67" s="941" t="s">
        <v>1695</v>
      </c>
      <c r="T67" s="941" t="s">
        <v>1696</v>
      </c>
      <c r="U67" s="941" t="s">
        <v>1659</v>
      </c>
      <c r="V67" s="941" t="s">
        <v>1660</v>
      </c>
      <c r="W67" s="941" t="s">
        <v>1661</v>
      </c>
      <c r="X67" s="944" t="s">
        <v>1697</v>
      </c>
    </row>
    <row r="68" spans="1:24" ht="30" customHeight="1" x14ac:dyDescent="0.25">
      <c r="A68" s="1495" t="s">
        <v>234</v>
      </c>
      <c r="B68" s="1494" t="s">
        <v>238</v>
      </c>
      <c r="C68" s="973" t="s">
        <v>2290</v>
      </c>
      <c r="D68" s="974" t="s">
        <v>1855</v>
      </c>
      <c r="E68" s="1011" t="s">
        <v>175</v>
      </c>
      <c r="F68" s="1011" t="s">
        <v>150</v>
      </c>
      <c r="G68" s="975" t="s">
        <v>1754</v>
      </c>
      <c r="H68" s="1019"/>
      <c r="I68" s="1019"/>
      <c r="J68" s="1019">
        <f>200000+200000</f>
        <v>400000</v>
      </c>
      <c r="K68" s="1019"/>
      <c r="L68" s="1019"/>
      <c r="M68" s="1019"/>
      <c r="N68" s="1019"/>
      <c r="O68" s="1019"/>
      <c r="P68" s="1020"/>
      <c r="Q68" s="1021"/>
      <c r="R68" s="1019"/>
      <c r="S68" s="1019"/>
      <c r="T68" s="1019">
        <f>200000+200000</f>
        <v>400000</v>
      </c>
      <c r="U68" s="1019"/>
      <c r="V68" s="1019"/>
      <c r="W68" s="1019"/>
      <c r="X68" s="1020"/>
    </row>
    <row r="69" spans="1:24" ht="19.5" customHeight="1" x14ac:dyDescent="0.25">
      <c r="A69" s="2047" t="s">
        <v>235</v>
      </c>
      <c r="B69" s="2045" t="s">
        <v>239</v>
      </c>
      <c r="C69" s="2043" t="s">
        <v>2953</v>
      </c>
      <c r="D69" s="1470" t="s">
        <v>1855</v>
      </c>
      <c r="E69" s="1471" t="s">
        <v>1297</v>
      </c>
      <c r="F69" s="1471" t="s">
        <v>127</v>
      </c>
      <c r="G69" s="1472" t="s">
        <v>1754</v>
      </c>
      <c r="H69" s="1473" t="s">
        <v>2093</v>
      </c>
      <c r="I69" s="1473"/>
      <c r="J69" s="1473"/>
      <c r="K69" s="1473"/>
      <c r="L69" s="1473"/>
      <c r="M69" s="1473"/>
      <c r="N69" s="1473"/>
      <c r="O69" s="1473"/>
      <c r="P69" s="1474"/>
      <c r="Q69" s="1475"/>
      <c r="R69" s="1473"/>
      <c r="S69" s="1473"/>
      <c r="T69" s="1473"/>
      <c r="U69" s="1473"/>
      <c r="V69" s="1473"/>
      <c r="W69" s="1473"/>
      <c r="X69" s="1474">
        <v>1408500</v>
      </c>
    </row>
    <row r="70" spans="1:24" ht="19.5" customHeight="1" x14ac:dyDescent="0.25">
      <c r="A70" s="2048"/>
      <c r="B70" s="2046"/>
      <c r="C70" s="2044"/>
      <c r="D70" s="1470" t="s">
        <v>1855</v>
      </c>
      <c r="E70" s="1471" t="s">
        <v>175</v>
      </c>
      <c r="F70" s="1471" t="s">
        <v>150</v>
      </c>
      <c r="G70" s="1472" t="s">
        <v>1754</v>
      </c>
      <c r="H70" s="1473"/>
      <c r="I70" s="1473"/>
      <c r="J70" s="1473">
        <f>1109055+299445</f>
        <v>1408500</v>
      </c>
      <c r="K70" s="1473"/>
      <c r="L70" s="1473"/>
      <c r="M70" s="1473"/>
      <c r="N70" s="1473"/>
      <c r="O70" s="1473"/>
      <c r="P70" s="1474"/>
      <c r="Q70" s="1475"/>
      <c r="R70" s="1473"/>
      <c r="S70" s="1473"/>
      <c r="T70" s="1473"/>
      <c r="U70" s="1473"/>
      <c r="V70" s="1473"/>
      <c r="W70" s="1473"/>
      <c r="X70" s="1474"/>
    </row>
    <row r="71" spans="1:24" ht="27.75" customHeight="1" x14ac:dyDescent="0.25">
      <c r="A71" s="1493" t="s">
        <v>236</v>
      </c>
      <c r="B71" s="1492" t="s">
        <v>266</v>
      </c>
      <c r="C71" s="1491" t="s">
        <v>2978</v>
      </c>
      <c r="D71" s="1470" t="s">
        <v>1855</v>
      </c>
      <c r="E71" s="1471" t="s">
        <v>175</v>
      </c>
      <c r="F71" s="1471" t="s">
        <v>133</v>
      </c>
      <c r="G71" s="1472" t="s">
        <v>1766</v>
      </c>
      <c r="H71" s="1473"/>
      <c r="I71" s="1473"/>
      <c r="J71" s="1473">
        <v>4</v>
      </c>
      <c r="K71" s="1473"/>
      <c r="L71" s="1473"/>
      <c r="M71" s="1473">
        <v>-4</v>
      </c>
      <c r="N71" s="1473"/>
      <c r="O71" s="1473"/>
      <c r="P71" s="1474"/>
      <c r="Q71" s="1475"/>
      <c r="R71" s="1473"/>
      <c r="S71" s="1473"/>
      <c r="T71" s="1473"/>
      <c r="U71" s="1473"/>
      <c r="V71" s="1473"/>
      <c r="W71" s="1473"/>
      <c r="X71" s="1474"/>
    </row>
    <row r="72" spans="1:24" ht="27" customHeight="1" x14ac:dyDescent="0.25">
      <c r="A72" s="1493" t="s">
        <v>237</v>
      </c>
      <c r="B72" s="1492" t="s">
        <v>267</v>
      </c>
      <c r="C72" s="1491" t="s">
        <v>2986</v>
      </c>
      <c r="D72" s="1470" t="s">
        <v>1855</v>
      </c>
      <c r="E72" s="1471" t="s">
        <v>175</v>
      </c>
      <c r="F72" s="1471" t="s">
        <v>133</v>
      </c>
      <c r="G72" s="1472" t="s">
        <v>1754</v>
      </c>
      <c r="H72" s="1473"/>
      <c r="I72" s="1473"/>
      <c r="J72" s="1473">
        <v>295000</v>
      </c>
      <c r="K72" s="1473"/>
      <c r="L72" s="1473"/>
      <c r="M72" s="1473"/>
      <c r="N72" s="1473"/>
      <c r="O72" s="1473"/>
      <c r="P72" s="1474"/>
      <c r="Q72" s="1475"/>
      <c r="R72" s="1473"/>
      <c r="S72" s="1473"/>
      <c r="T72" s="1473"/>
      <c r="U72" s="1473"/>
      <c r="V72" s="1473">
        <v>295000</v>
      </c>
      <c r="W72" s="1473"/>
      <c r="X72" s="1474"/>
    </row>
    <row r="73" spans="1:24" ht="18.75" x14ac:dyDescent="0.3">
      <c r="A73" s="2021" t="s">
        <v>1663</v>
      </c>
      <c r="B73" s="2022"/>
      <c r="C73" s="2022"/>
      <c r="D73" s="956"/>
      <c r="E73" s="956"/>
      <c r="F73" s="956"/>
      <c r="G73" s="956"/>
      <c r="H73" s="1595">
        <f t="shared" ref="H73:X73" si="2">SUM(H68:H72)+H49</f>
        <v>8059720</v>
      </c>
      <c r="I73" s="1595">
        <f t="shared" si="2"/>
        <v>1047764</v>
      </c>
      <c r="J73" s="1595">
        <f t="shared" si="2"/>
        <v>2621285</v>
      </c>
      <c r="K73" s="1595">
        <f t="shared" si="2"/>
        <v>0</v>
      </c>
      <c r="L73" s="1595">
        <f t="shared" si="2"/>
        <v>6237769</v>
      </c>
      <c r="M73" s="1595">
        <f t="shared" si="2"/>
        <v>-1369</v>
      </c>
      <c r="N73" s="1595">
        <f t="shared" si="2"/>
        <v>0</v>
      </c>
      <c r="O73" s="1595">
        <f t="shared" si="2"/>
        <v>0</v>
      </c>
      <c r="P73" s="1596">
        <f t="shared" si="2"/>
        <v>0</v>
      </c>
      <c r="Q73" s="1597">
        <f t="shared" si="2"/>
        <v>0</v>
      </c>
      <c r="R73" s="1595">
        <f t="shared" si="2"/>
        <v>0</v>
      </c>
      <c r="S73" s="1595">
        <f t="shared" si="2"/>
        <v>0</v>
      </c>
      <c r="T73" s="1595">
        <f t="shared" si="2"/>
        <v>911416</v>
      </c>
      <c r="U73" s="1595">
        <f t="shared" si="2"/>
        <v>5000</v>
      </c>
      <c r="V73" s="1595">
        <f t="shared" si="2"/>
        <v>295000</v>
      </c>
      <c r="W73" s="1595">
        <f t="shared" si="2"/>
        <v>0</v>
      </c>
      <c r="X73" s="1596">
        <f t="shared" si="2"/>
        <v>16753753</v>
      </c>
    </row>
    <row r="74" spans="1:24" ht="18" customHeight="1" x14ac:dyDescent="0.25">
      <c r="H74" s="1016"/>
      <c r="I74" s="1016"/>
      <c r="J74" s="1016"/>
      <c r="K74" s="1016"/>
      <c r="L74" s="1016"/>
      <c r="M74" s="1016"/>
      <c r="N74" s="1016"/>
      <c r="O74" s="1016"/>
      <c r="P74" s="1016"/>
      <c r="Q74" s="1016"/>
      <c r="R74" s="1016"/>
      <c r="S74" s="1016"/>
      <c r="T74" s="1016"/>
      <c r="U74" s="1016"/>
      <c r="V74" s="1016"/>
      <c r="W74" s="1016"/>
      <c r="X74" s="1016"/>
    </row>
    <row r="75" spans="1:24" ht="18" customHeight="1" x14ac:dyDescent="0.25">
      <c r="H75" s="1016"/>
      <c r="I75" s="1016"/>
      <c r="J75" s="1016"/>
      <c r="K75" s="1016"/>
      <c r="L75" s="1016"/>
      <c r="M75" s="1016"/>
      <c r="N75" s="1016"/>
      <c r="O75" s="1016"/>
      <c r="P75" s="1016"/>
      <c r="Q75" s="1016"/>
      <c r="R75" s="1016"/>
      <c r="S75" s="1016"/>
      <c r="T75" s="1016"/>
      <c r="U75" s="1016"/>
      <c r="V75" s="1016"/>
      <c r="W75" s="1016"/>
      <c r="X75" s="1016"/>
    </row>
    <row r="76" spans="1:24" ht="15" customHeight="1" x14ac:dyDescent="0.25">
      <c r="Q76" s="968"/>
    </row>
    <row r="77" spans="1:24" x14ac:dyDescent="0.25">
      <c r="Q77" s="968"/>
    </row>
    <row r="78" spans="1:24" ht="22.5" customHeight="1" x14ac:dyDescent="0.25">
      <c r="I78" s="2042" t="s">
        <v>1664</v>
      </c>
      <c r="J78" s="2042"/>
      <c r="K78" s="2042"/>
      <c r="L78" s="2042">
        <v>82087264</v>
      </c>
      <c r="M78" s="2042"/>
      <c r="N78" s="996"/>
      <c r="O78" s="996"/>
      <c r="P78" s="996"/>
      <c r="Q78" s="996"/>
      <c r="R78" s="2042" t="s">
        <v>1665</v>
      </c>
      <c r="S78" s="2042"/>
      <c r="T78" s="2042"/>
      <c r="U78" s="2042">
        <v>82087264</v>
      </c>
      <c r="V78" s="2042"/>
    </row>
    <row r="79" spans="1:24" ht="21" customHeight="1" x14ac:dyDescent="0.25">
      <c r="I79" s="2042" t="s">
        <v>1666</v>
      </c>
      <c r="J79" s="2042"/>
      <c r="K79" s="2042"/>
      <c r="L79" s="2042">
        <f>SUM(H73:P73)</f>
        <v>17965169</v>
      </c>
      <c r="M79" s="2042"/>
      <c r="N79" s="996"/>
      <c r="O79" s="996"/>
      <c r="P79" s="996"/>
      <c r="Q79" s="996"/>
      <c r="R79" s="2042" t="s">
        <v>1666</v>
      </c>
      <c r="S79" s="2042"/>
      <c r="T79" s="2042"/>
      <c r="U79" s="2042">
        <f>SUM(Q73:X73)</f>
        <v>17965169</v>
      </c>
      <c r="V79" s="2042"/>
    </row>
    <row r="80" spans="1:24" ht="21.75" customHeight="1" x14ac:dyDescent="0.25">
      <c r="I80" s="2042" t="s">
        <v>1512</v>
      </c>
      <c r="J80" s="2042"/>
      <c r="K80" s="2042"/>
      <c r="L80" s="2042">
        <f>+L78+L79</f>
        <v>100052433</v>
      </c>
      <c r="M80" s="2042"/>
      <c r="N80" s="996"/>
      <c r="O80" s="996"/>
      <c r="P80" s="996"/>
      <c r="Q80" s="996"/>
      <c r="R80" s="2042" t="s">
        <v>1512</v>
      </c>
      <c r="S80" s="2042"/>
      <c r="T80" s="2042"/>
      <c r="U80" s="2042">
        <f>+U78+U79</f>
        <v>100052433</v>
      </c>
      <c r="V80" s="2042"/>
    </row>
    <row r="81" spans="1:24" x14ac:dyDescent="0.25">
      <c r="Q81" s="968"/>
    </row>
    <row r="82" spans="1:24" x14ac:dyDescent="0.25">
      <c r="Q82" s="968"/>
    </row>
    <row r="83" spans="1:24" x14ac:dyDescent="0.25">
      <c r="Q83" s="968"/>
    </row>
    <row r="84" spans="1:24" x14ac:dyDescent="0.25">
      <c r="Q84" s="968"/>
    </row>
    <row r="85" spans="1:24" x14ac:dyDescent="0.25">
      <c r="Q85" s="968"/>
    </row>
    <row r="86" spans="1:24" ht="15.75" x14ac:dyDescent="0.25">
      <c r="A86" s="2010" t="s">
        <v>3372</v>
      </c>
      <c r="B86" s="2010"/>
      <c r="C86" s="2010"/>
      <c r="D86" s="2010"/>
      <c r="E86" s="2010"/>
      <c r="F86" s="2010"/>
      <c r="G86" s="2010"/>
      <c r="H86" s="2010"/>
      <c r="I86" s="2010"/>
      <c r="J86" s="2010"/>
      <c r="K86" s="2010"/>
      <c r="L86" s="2010"/>
      <c r="M86" s="2010"/>
      <c r="N86" s="2010"/>
      <c r="O86" s="2010"/>
      <c r="P86" s="2010"/>
      <c r="Q86" s="2010"/>
      <c r="R86" s="2010"/>
      <c r="S86" s="2010"/>
      <c r="T86" s="2010"/>
      <c r="U86" s="2010"/>
      <c r="V86" s="2010"/>
      <c r="W86" s="2010"/>
      <c r="X86" s="2010"/>
    </row>
    <row r="87" spans="1:24" ht="15.75" x14ac:dyDescent="0.25">
      <c r="A87" s="1246"/>
      <c r="B87" s="1246"/>
      <c r="C87" s="1246"/>
      <c r="D87" s="1246"/>
      <c r="E87" s="1246"/>
      <c r="F87" s="1246"/>
      <c r="G87" s="1246"/>
      <c r="H87" s="1246"/>
      <c r="I87" s="1246"/>
      <c r="J87" s="1246"/>
      <c r="K87" s="1246"/>
      <c r="L87" s="1246"/>
      <c r="M87" s="1246"/>
      <c r="N87" s="1246"/>
      <c r="O87" s="1246"/>
      <c r="P87" s="1246"/>
      <c r="Q87" s="1246"/>
      <c r="R87" s="1246"/>
      <c r="S87" s="1246"/>
      <c r="T87" s="1246"/>
      <c r="U87" s="1246"/>
      <c r="V87" s="1246"/>
      <c r="W87" s="1246"/>
      <c r="X87" s="1246"/>
    </row>
    <row r="88" spans="1:24" x14ac:dyDescent="0.25">
      <c r="A88" s="1007"/>
      <c r="B88" s="1007"/>
      <c r="C88" s="970"/>
      <c r="D88" s="970"/>
      <c r="E88" s="970"/>
      <c r="F88" s="970"/>
      <c r="G88" s="970"/>
      <c r="H88" s="970"/>
      <c r="I88" s="970"/>
      <c r="J88" s="970"/>
      <c r="K88" s="970"/>
      <c r="L88" s="970"/>
      <c r="M88" s="970"/>
      <c r="N88" s="970"/>
      <c r="O88" s="970"/>
      <c r="P88" s="970"/>
      <c r="Q88" s="970"/>
      <c r="R88" s="970"/>
      <c r="S88" s="970"/>
      <c r="T88" s="970"/>
      <c r="U88" s="970"/>
      <c r="V88" s="970"/>
      <c r="W88" s="970"/>
      <c r="X88" s="970"/>
    </row>
    <row r="89" spans="1:24" x14ac:dyDescent="0.25">
      <c r="A89" s="2055" t="s">
        <v>1689</v>
      </c>
      <c r="B89" s="2055"/>
      <c r="C89" s="2055"/>
      <c r="D89" s="2055"/>
      <c r="E89" s="2055"/>
      <c r="F89" s="2055"/>
      <c r="G89" s="2055"/>
      <c r="H89" s="2055"/>
      <c r="I89" s="2055"/>
      <c r="J89" s="2055"/>
      <c r="K89" s="2055"/>
      <c r="L89" s="2055"/>
      <c r="M89" s="2055"/>
      <c r="N89" s="2055"/>
      <c r="O89" s="2055"/>
      <c r="P89" s="2055"/>
      <c r="Q89" s="2055"/>
      <c r="R89" s="2055"/>
      <c r="S89" s="2055"/>
      <c r="T89" s="2055"/>
      <c r="U89" s="2055"/>
      <c r="V89" s="2055"/>
      <c r="W89" s="2055"/>
      <c r="X89" s="2055"/>
    </row>
    <row r="90" spans="1:24" ht="21" customHeight="1" x14ac:dyDescent="0.25">
      <c r="Q90" s="968"/>
    </row>
    <row r="91" spans="1:24" ht="15" customHeight="1" x14ac:dyDescent="0.25">
      <c r="A91" s="2056" t="s">
        <v>37</v>
      </c>
      <c r="B91" s="1773" t="s">
        <v>1640</v>
      </c>
      <c r="C91" s="2058" t="s">
        <v>2</v>
      </c>
      <c r="D91" s="2037" t="s">
        <v>1641</v>
      </c>
      <c r="E91" s="2037" t="s">
        <v>116</v>
      </c>
      <c r="F91" s="2037" t="s">
        <v>1690</v>
      </c>
      <c r="G91" s="2037" t="s">
        <v>1643</v>
      </c>
      <c r="H91" s="2039" t="s">
        <v>1644</v>
      </c>
      <c r="I91" s="2039"/>
      <c r="J91" s="2039"/>
      <c r="K91" s="2039"/>
      <c r="L91" s="2039"/>
      <c r="M91" s="2039"/>
      <c r="N91" s="2039"/>
      <c r="O91" s="2066"/>
      <c r="P91" s="1434"/>
      <c r="Q91" s="2040" t="s">
        <v>1645</v>
      </c>
      <c r="R91" s="2039"/>
      <c r="S91" s="2039"/>
      <c r="T91" s="2039"/>
      <c r="U91" s="2039"/>
      <c r="V91" s="2039"/>
      <c r="W91" s="2039"/>
      <c r="X91" s="2041"/>
    </row>
    <row r="92" spans="1:24" ht="82.5" customHeight="1" x14ac:dyDescent="0.25">
      <c r="A92" s="2057"/>
      <c r="B92" s="1774"/>
      <c r="C92" s="2059"/>
      <c r="D92" s="2038"/>
      <c r="E92" s="2038"/>
      <c r="F92" s="2038"/>
      <c r="G92" s="2038"/>
      <c r="H92" s="941" t="s">
        <v>1691</v>
      </c>
      <c r="I92" s="941" t="s">
        <v>1692</v>
      </c>
      <c r="J92" s="941" t="s">
        <v>1693</v>
      </c>
      <c r="K92" s="941" t="s">
        <v>1694</v>
      </c>
      <c r="L92" s="941" t="s">
        <v>1671</v>
      </c>
      <c r="M92" s="941" t="s">
        <v>1672</v>
      </c>
      <c r="N92" s="941" t="s">
        <v>1673</v>
      </c>
      <c r="O92" s="941" t="s">
        <v>1653</v>
      </c>
      <c r="P92" s="944" t="s">
        <v>1654</v>
      </c>
      <c r="Q92" s="999" t="s">
        <v>1655</v>
      </c>
      <c r="R92" s="941" t="s">
        <v>1656</v>
      </c>
      <c r="S92" s="941" t="s">
        <v>1695</v>
      </c>
      <c r="T92" s="941" t="s">
        <v>1696</v>
      </c>
      <c r="U92" s="941" t="s">
        <v>1659</v>
      </c>
      <c r="V92" s="941" t="s">
        <v>1660</v>
      </c>
      <c r="W92" s="941" t="s">
        <v>1661</v>
      </c>
      <c r="X92" s="944" t="s">
        <v>1697</v>
      </c>
    </row>
    <row r="93" spans="1:24" ht="17.25" customHeight="1" x14ac:dyDescent="0.25">
      <c r="A93" s="2052" t="s">
        <v>238</v>
      </c>
      <c r="B93" s="2051" t="s">
        <v>269</v>
      </c>
      <c r="C93" s="2050" t="s">
        <v>3068</v>
      </c>
      <c r="D93" s="974" t="s">
        <v>1855</v>
      </c>
      <c r="E93" s="1011" t="s">
        <v>1297</v>
      </c>
      <c r="F93" s="1011" t="s">
        <v>127</v>
      </c>
      <c r="G93" s="975" t="s">
        <v>1754</v>
      </c>
      <c r="H93" s="1019"/>
      <c r="I93" s="1019"/>
      <c r="J93" s="1019"/>
      <c r="K93" s="1019"/>
      <c r="L93" s="1019"/>
      <c r="M93" s="1019"/>
      <c r="N93" s="1019"/>
      <c r="O93" s="1019"/>
      <c r="P93" s="1020"/>
      <c r="Q93" s="1021"/>
      <c r="R93" s="1019"/>
      <c r="S93" s="1019"/>
      <c r="T93" s="1019"/>
      <c r="U93" s="1019"/>
      <c r="V93" s="1019"/>
      <c r="W93" s="1019"/>
      <c r="X93" s="1020">
        <v>1002500</v>
      </c>
    </row>
    <row r="94" spans="1:24" ht="17.25" customHeight="1" x14ac:dyDescent="0.25">
      <c r="A94" s="2048"/>
      <c r="B94" s="2046"/>
      <c r="C94" s="2044"/>
      <c r="D94" s="1470" t="s">
        <v>1855</v>
      </c>
      <c r="E94" s="1471" t="s">
        <v>175</v>
      </c>
      <c r="F94" s="1471" t="s">
        <v>150</v>
      </c>
      <c r="G94" s="1472" t="s">
        <v>2032</v>
      </c>
      <c r="H94" s="1473"/>
      <c r="I94" s="1473"/>
      <c r="J94" s="1473">
        <f>789370+213130</f>
        <v>1002500</v>
      </c>
      <c r="K94" s="1473"/>
      <c r="L94" s="1473"/>
      <c r="M94" s="1473"/>
      <c r="N94" s="1473"/>
      <c r="O94" s="1473"/>
      <c r="P94" s="1474"/>
      <c r="Q94" s="1475"/>
      <c r="R94" s="1473"/>
      <c r="S94" s="1473"/>
      <c r="T94" s="1473"/>
      <c r="U94" s="1473"/>
      <c r="V94" s="1473"/>
      <c r="W94" s="1473"/>
      <c r="X94" s="1474"/>
    </row>
    <row r="95" spans="1:24" ht="32.25" customHeight="1" x14ac:dyDescent="0.25">
      <c r="A95" s="1493" t="s">
        <v>239</v>
      </c>
      <c r="B95" s="1492" t="s">
        <v>270</v>
      </c>
      <c r="C95" s="1491" t="s">
        <v>3086</v>
      </c>
      <c r="D95" s="1470" t="s">
        <v>1855</v>
      </c>
      <c r="E95" s="1471" t="s">
        <v>175</v>
      </c>
      <c r="F95" s="1471" t="s">
        <v>150</v>
      </c>
      <c r="G95" s="1472" t="s">
        <v>1766</v>
      </c>
      <c r="H95" s="1473">
        <f>-2357748+2325000+32748</f>
        <v>0</v>
      </c>
      <c r="I95" s="1473"/>
      <c r="J95" s="1473"/>
      <c r="K95" s="1473"/>
      <c r="L95" s="1473"/>
      <c r="M95" s="1473"/>
      <c r="N95" s="1473"/>
      <c r="O95" s="1473"/>
      <c r="P95" s="1474"/>
      <c r="Q95" s="1475"/>
      <c r="R95" s="1473"/>
      <c r="S95" s="1473"/>
      <c r="T95" s="1473"/>
      <c r="U95" s="1473"/>
      <c r="V95" s="1473"/>
      <c r="W95" s="1473"/>
      <c r="X95" s="1474"/>
    </row>
    <row r="96" spans="1:24" ht="30" customHeight="1" x14ac:dyDescent="0.25">
      <c r="A96" s="1493" t="s">
        <v>266</v>
      </c>
      <c r="B96" s="1492" t="s">
        <v>271</v>
      </c>
      <c r="C96" s="1491" t="s">
        <v>3159</v>
      </c>
      <c r="D96" s="1470" t="s">
        <v>1855</v>
      </c>
      <c r="E96" s="1471" t="s">
        <v>175</v>
      </c>
      <c r="F96" s="1471" t="s">
        <v>150</v>
      </c>
      <c r="G96" s="1472" t="s">
        <v>1766</v>
      </c>
      <c r="H96" s="1473"/>
      <c r="I96" s="1473"/>
      <c r="J96" s="1473">
        <f>-600000+600000</f>
        <v>0</v>
      </c>
      <c r="K96" s="1473"/>
      <c r="L96" s="1473"/>
      <c r="M96" s="1473"/>
      <c r="N96" s="1473"/>
      <c r="O96" s="1473"/>
      <c r="P96" s="1474"/>
      <c r="Q96" s="1475"/>
      <c r="R96" s="1473"/>
      <c r="S96" s="1473"/>
      <c r="T96" s="1473"/>
      <c r="U96" s="1473"/>
      <c r="V96" s="1473"/>
      <c r="W96" s="1473"/>
      <c r="X96" s="1474"/>
    </row>
    <row r="97" spans="1:24" ht="30" customHeight="1" x14ac:dyDescent="0.25">
      <c r="A97" s="1493" t="s">
        <v>267</v>
      </c>
      <c r="B97" s="1492" t="s">
        <v>272</v>
      </c>
      <c r="C97" s="1491" t="s">
        <v>3286</v>
      </c>
      <c r="D97" s="1470" t="s">
        <v>1855</v>
      </c>
      <c r="E97" s="1471" t="s">
        <v>175</v>
      </c>
      <c r="F97" s="1471" t="s">
        <v>150</v>
      </c>
      <c r="G97" s="1472" t="s">
        <v>1766</v>
      </c>
      <c r="H97" s="1473"/>
      <c r="I97" s="1473"/>
      <c r="J97" s="1473">
        <f>-268337-72451</f>
        <v>-340788</v>
      </c>
      <c r="K97" s="1473"/>
      <c r="L97" s="1473"/>
      <c r="M97" s="1473">
        <f>268337+72451</f>
        <v>340788</v>
      </c>
      <c r="N97" s="1473"/>
      <c r="O97" s="1473"/>
      <c r="P97" s="1002"/>
      <c r="Q97" s="1475"/>
      <c r="R97" s="1473"/>
      <c r="S97" s="1473"/>
      <c r="T97" s="1473"/>
      <c r="U97" s="1473"/>
      <c r="V97" s="1473"/>
      <c r="W97" s="1473"/>
      <c r="X97" s="1474"/>
    </row>
    <row r="98" spans="1:24" ht="31.5" customHeight="1" x14ac:dyDescent="0.25">
      <c r="A98" s="1493" t="s">
        <v>268</v>
      </c>
      <c r="B98" s="1492" t="s">
        <v>273</v>
      </c>
      <c r="C98" s="1491" t="s">
        <v>3289</v>
      </c>
      <c r="D98" s="1470" t="s">
        <v>1855</v>
      </c>
      <c r="E98" s="1471" t="s">
        <v>175</v>
      </c>
      <c r="F98" s="1471" t="s">
        <v>150</v>
      </c>
      <c r="G98" s="1472" t="s">
        <v>1766</v>
      </c>
      <c r="H98" s="1473"/>
      <c r="I98" s="1473"/>
      <c r="J98" s="1473">
        <f>-500000+500000</f>
        <v>0</v>
      </c>
      <c r="K98" s="1473"/>
      <c r="L98" s="1473"/>
      <c r="M98" s="1473"/>
      <c r="N98" s="1473"/>
      <c r="O98" s="1473"/>
      <c r="P98" s="1474"/>
      <c r="Q98" s="1475"/>
      <c r="R98" s="1473"/>
      <c r="S98" s="1473"/>
      <c r="T98" s="1473"/>
      <c r="U98" s="1473"/>
      <c r="V98" s="1473"/>
      <c r="W98" s="1473"/>
      <c r="X98" s="1474"/>
    </row>
    <row r="99" spans="1:24" ht="22.5" customHeight="1" x14ac:dyDescent="0.25">
      <c r="A99" s="2047" t="s">
        <v>269</v>
      </c>
      <c r="B99" s="2045" t="s">
        <v>274</v>
      </c>
      <c r="C99" s="2043" t="s">
        <v>3346</v>
      </c>
      <c r="D99" s="1470" t="s">
        <v>1855</v>
      </c>
      <c r="E99" s="1471" t="s">
        <v>1297</v>
      </c>
      <c r="F99" s="1471" t="s">
        <v>127</v>
      </c>
      <c r="G99" s="1472" t="s">
        <v>1754</v>
      </c>
      <c r="H99" s="1473"/>
      <c r="I99" s="1473"/>
      <c r="J99" s="1473"/>
      <c r="K99" s="1473"/>
      <c r="L99" s="1473"/>
      <c r="M99" s="1473"/>
      <c r="N99" s="1473"/>
      <c r="O99" s="1473"/>
      <c r="P99" s="1474"/>
      <c r="Q99" s="1475"/>
      <c r="R99" s="1473"/>
      <c r="S99" s="1473"/>
      <c r="T99" s="1473"/>
      <c r="U99" s="1473"/>
      <c r="V99" s="1473"/>
      <c r="W99" s="1473"/>
      <c r="X99" s="1474">
        <v>348099</v>
      </c>
    </row>
    <row r="100" spans="1:24" ht="22.5" customHeight="1" x14ac:dyDescent="0.25">
      <c r="A100" s="2048"/>
      <c r="B100" s="2046"/>
      <c r="C100" s="2044"/>
      <c r="D100" s="1470" t="s">
        <v>1855</v>
      </c>
      <c r="E100" s="1471" t="s">
        <v>175</v>
      </c>
      <c r="F100" s="1471" t="s">
        <v>150</v>
      </c>
      <c r="G100" s="1472" t="s">
        <v>2032</v>
      </c>
      <c r="H100" s="1473"/>
      <c r="I100" s="1473"/>
      <c r="J100" s="1473">
        <f>274094+74005</f>
        <v>348099</v>
      </c>
      <c r="K100" s="1473"/>
      <c r="L100" s="1473"/>
      <c r="M100" s="1473"/>
      <c r="N100" s="1473"/>
      <c r="O100" s="1473"/>
      <c r="P100" s="1474"/>
      <c r="Q100" s="1475"/>
      <c r="R100" s="1473"/>
      <c r="S100" s="1473"/>
      <c r="T100" s="1473"/>
      <c r="U100" s="1473"/>
      <c r="V100" s="1473"/>
      <c r="W100" s="1473"/>
      <c r="X100" s="1474"/>
    </row>
    <row r="101" spans="1:24" ht="30" customHeight="1" x14ac:dyDescent="0.25">
      <c r="A101" s="1432" t="s">
        <v>270</v>
      </c>
      <c r="B101" s="1431" t="s">
        <v>275</v>
      </c>
      <c r="C101" s="1425" t="s">
        <v>3374</v>
      </c>
      <c r="D101" s="978" t="s">
        <v>1855</v>
      </c>
      <c r="E101" s="1000" t="s">
        <v>175</v>
      </c>
      <c r="F101" s="1000" t="s">
        <v>150</v>
      </c>
      <c r="G101" s="979" t="s">
        <v>1766</v>
      </c>
      <c r="H101" s="1001">
        <f>-152000+152000</f>
        <v>0</v>
      </c>
      <c r="I101" s="1001"/>
      <c r="J101" s="1001"/>
      <c r="K101" s="1001"/>
      <c r="L101" s="1001"/>
      <c r="M101" s="1001"/>
      <c r="N101" s="1001"/>
      <c r="O101" s="1001"/>
      <c r="P101" s="1002"/>
      <c r="Q101" s="1003"/>
      <c r="R101" s="1001"/>
      <c r="S101" s="1001"/>
      <c r="T101" s="1001"/>
      <c r="U101" s="1001"/>
      <c r="V101" s="1001"/>
      <c r="W101" s="1001"/>
      <c r="X101" s="1002"/>
    </row>
    <row r="102" spans="1:24" ht="39.75" customHeight="1" x14ac:dyDescent="0.25">
      <c r="A102" s="1432" t="s">
        <v>271</v>
      </c>
      <c r="B102" s="1431" t="s">
        <v>194</v>
      </c>
      <c r="C102" s="1425" t="s">
        <v>3452</v>
      </c>
      <c r="D102" s="978" t="s">
        <v>1855</v>
      </c>
      <c r="E102" s="1000" t="s">
        <v>175</v>
      </c>
      <c r="F102" s="1000" t="s">
        <v>133</v>
      </c>
      <c r="G102" s="979" t="s">
        <v>1766</v>
      </c>
      <c r="H102" s="1001"/>
      <c r="I102" s="1001"/>
      <c r="J102" s="1001">
        <v>-97088</v>
      </c>
      <c r="K102" s="1001"/>
      <c r="L102" s="1001"/>
      <c r="M102" s="1001">
        <f>78835+18253</f>
        <v>97088</v>
      </c>
      <c r="N102" s="1001"/>
      <c r="O102" s="1001"/>
      <c r="P102" s="1002"/>
      <c r="Q102" s="1003"/>
      <c r="R102" s="1001"/>
      <c r="S102" s="1001"/>
      <c r="T102" s="1001"/>
      <c r="U102" s="1001"/>
      <c r="V102" s="1001"/>
      <c r="W102" s="1001"/>
      <c r="X102" s="1002"/>
    </row>
    <row r="103" spans="1:24" ht="28.5" customHeight="1" x14ac:dyDescent="0.25">
      <c r="A103" s="1432" t="s">
        <v>272</v>
      </c>
      <c r="B103" s="1431" t="s">
        <v>195</v>
      </c>
      <c r="C103" s="1425" t="s">
        <v>3488</v>
      </c>
      <c r="D103" s="978" t="s">
        <v>1855</v>
      </c>
      <c r="E103" s="1000" t="s">
        <v>175</v>
      </c>
      <c r="F103" s="1000" t="s">
        <v>150</v>
      </c>
      <c r="G103" s="979" t="s">
        <v>1754</v>
      </c>
      <c r="H103" s="1001"/>
      <c r="I103" s="1001"/>
      <c r="J103" s="1001">
        <v>7143</v>
      </c>
      <c r="K103" s="1001"/>
      <c r="L103" s="1001"/>
      <c r="M103" s="1001"/>
      <c r="N103" s="1001"/>
      <c r="O103" s="1001"/>
      <c r="P103" s="1002"/>
      <c r="Q103" s="1003"/>
      <c r="R103" s="1001"/>
      <c r="S103" s="1001"/>
      <c r="T103" s="1001">
        <v>7143</v>
      </c>
      <c r="U103" s="1001"/>
      <c r="V103" s="1001"/>
      <c r="W103" s="1001"/>
      <c r="X103" s="1002"/>
    </row>
    <row r="104" spans="1:24" ht="21.75" customHeight="1" x14ac:dyDescent="0.25">
      <c r="A104" s="2047" t="s">
        <v>273</v>
      </c>
      <c r="B104" s="2045" t="s">
        <v>196</v>
      </c>
      <c r="C104" s="2043" t="s">
        <v>3505</v>
      </c>
      <c r="D104" s="978" t="s">
        <v>1855</v>
      </c>
      <c r="E104" s="1000" t="s">
        <v>175</v>
      </c>
      <c r="F104" s="1000" t="s">
        <v>150</v>
      </c>
      <c r="G104" s="979" t="s">
        <v>1752</v>
      </c>
      <c r="H104" s="1001">
        <v>-6834720</v>
      </c>
      <c r="I104" s="1001">
        <v>-888514</v>
      </c>
      <c r="J104" s="1001"/>
      <c r="K104" s="1001"/>
      <c r="L104" s="1001"/>
      <c r="M104" s="1001"/>
      <c r="N104" s="1001"/>
      <c r="O104" s="1001"/>
      <c r="P104" s="1002"/>
      <c r="Q104" s="1003"/>
      <c r="R104" s="1001"/>
      <c r="S104" s="1001"/>
      <c r="T104" s="1001"/>
      <c r="U104" s="1001"/>
      <c r="V104" s="1001"/>
      <c r="W104" s="1001"/>
      <c r="X104" s="1002"/>
    </row>
    <row r="105" spans="1:24" ht="21.75" customHeight="1" x14ac:dyDescent="0.25">
      <c r="A105" s="2048"/>
      <c r="B105" s="2046"/>
      <c r="C105" s="2044"/>
      <c r="D105" s="978" t="s">
        <v>1855</v>
      </c>
      <c r="E105" s="1000" t="s">
        <v>3174</v>
      </c>
      <c r="F105" s="1000" t="s">
        <v>151</v>
      </c>
      <c r="G105" s="979" t="s">
        <v>1754</v>
      </c>
      <c r="H105" s="1001">
        <v>6834720</v>
      </c>
      <c r="I105" s="1001">
        <v>888514</v>
      </c>
      <c r="J105" s="1001"/>
      <c r="K105" s="1001"/>
      <c r="L105" s="1001"/>
      <c r="M105" s="1001"/>
      <c r="N105" s="1001"/>
      <c r="O105" s="1001"/>
      <c r="P105" s="1002"/>
      <c r="Q105" s="1003"/>
      <c r="R105" s="1001"/>
      <c r="S105" s="1001"/>
      <c r="T105" s="1001"/>
      <c r="U105" s="1001"/>
      <c r="V105" s="1001"/>
      <c r="W105" s="1001"/>
      <c r="X105" s="1002"/>
    </row>
    <row r="106" spans="1:24" ht="29.25" customHeight="1" x14ac:dyDescent="0.25">
      <c r="A106" s="1493" t="s">
        <v>274</v>
      </c>
      <c r="B106" s="1492" t="s">
        <v>197</v>
      </c>
      <c r="C106" s="1491" t="s">
        <v>3528</v>
      </c>
      <c r="D106" s="978" t="s">
        <v>1855</v>
      </c>
      <c r="E106" s="1000" t="s">
        <v>175</v>
      </c>
      <c r="F106" s="1000" t="s">
        <v>150</v>
      </c>
      <c r="G106" s="979" t="s">
        <v>1766</v>
      </c>
      <c r="H106" s="1001">
        <f>-429680+429680</f>
        <v>0</v>
      </c>
      <c r="I106" s="1001"/>
      <c r="J106" s="1001"/>
      <c r="K106" s="1001"/>
      <c r="L106" s="1001"/>
      <c r="M106" s="1001"/>
      <c r="N106" s="1001"/>
      <c r="O106" s="1001"/>
      <c r="P106" s="1002"/>
      <c r="Q106" s="1003"/>
      <c r="R106" s="1001"/>
      <c r="S106" s="1001"/>
      <c r="T106" s="1001"/>
      <c r="U106" s="1001"/>
      <c r="V106" s="1001"/>
      <c r="W106" s="1001"/>
      <c r="X106" s="1002"/>
    </row>
    <row r="107" spans="1:24" ht="20.25" customHeight="1" x14ac:dyDescent="0.25">
      <c r="A107" s="2047" t="s">
        <v>275</v>
      </c>
      <c r="B107" s="2045" t="s">
        <v>198</v>
      </c>
      <c r="C107" s="2043" t="s">
        <v>3537</v>
      </c>
      <c r="D107" s="978" t="s">
        <v>1855</v>
      </c>
      <c r="E107" s="1000" t="s">
        <v>175</v>
      </c>
      <c r="F107" s="1000" t="s">
        <v>150</v>
      </c>
      <c r="G107" s="979" t="s">
        <v>1752</v>
      </c>
      <c r="H107" s="1001"/>
      <c r="I107" s="1001"/>
      <c r="J107" s="1001">
        <f>-222934-165707</f>
        <v>-388641</v>
      </c>
      <c r="K107" s="1001"/>
      <c r="L107" s="1001"/>
      <c r="M107" s="1001"/>
      <c r="N107" s="1001"/>
      <c r="O107" s="1001"/>
      <c r="P107" s="1002"/>
      <c r="Q107" s="1003"/>
      <c r="R107" s="1001"/>
      <c r="S107" s="1001"/>
      <c r="T107" s="1001">
        <f>-97-53540-165707-169297</f>
        <v>-388641</v>
      </c>
      <c r="U107" s="1001"/>
      <c r="V107" s="1001"/>
      <c r="W107" s="1001"/>
      <c r="X107" s="1002"/>
    </row>
    <row r="108" spans="1:24" ht="20.25" customHeight="1" x14ac:dyDescent="0.25">
      <c r="A108" s="2048"/>
      <c r="B108" s="2046"/>
      <c r="C108" s="2044"/>
      <c r="D108" s="978" t="s">
        <v>1855</v>
      </c>
      <c r="E108" s="1000" t="s">
        <v>175</v>
      </c>
      <c r="F108" s="1000" t="s">
        <v>866</v>
      </c>
      <c r="G108" s="979" t="s">
        <v>1752</v>
      </c>
      <c r="H108" s="1001"/>
      <c r="I108" s="1001"/>
      <c r="J108" s="1001">
        <f>-100000-27000</f>
        <v>-127000</v>
      </c>
      <c r="K108" s="1001"/>
      <c r="L108" s="1001"/>
      <c r="M108" s="1001"/>
      <c r="N108" s="1001"/>
      <c r="O108" s="1001"/>
      <c r="P108" s="1002"/>
      <c r="Q108" s="1003"/>
      <c r="R108" s="1001"/>
      <c r="S108" s="1001"/>
      <c r="T108" s="1001">
        <f>-100000-27000</f>
        <v>-127000</v>
      </c>
      <c r="U108" s="1001"/>
      <c r="V108" s="1001"/>
      <c r="W108" s="1001"/>
      <c r="X108" s="1002"/>
    </row>
    <row r="109" spans="1:24" x14ac:dyDescent="0.25">
      <c r="A109" s="1535"/>
      <c r="B109" s="982"/>
      <c r="C109" s="982"/>
      <c r="D109" s="983"/>
      <c r="E109" s="1083"/>
      <c r="F109" s="1083"/>
      <c r="G109" s="984"/>
      <c r="H109" s="1004"/>
      <c r="I109" s="1004"/>
      <c r="J109" s="1004"/>
      <c r="K109" s="1004"/>
      <c r="L109" s="1004"/>
      <c r="M109" s="1004"/>
      <c r="N109" s="1004"/>
      <c r="O109" s="1004"/>
      <c r="P109" s="1005"/>
      <c r="Q109" s="1006"/>
      <c r="R109" s="1004"/>
      <c r="S109" s="1004"/>
      <c r="T109" s="1004"/>
      <c r="U109" s="1004"/>
      <c r="V109" s="1004"/>
      <c r="W109" s="1004"/>
      <c r="X109" s="1005"/>
    </row>
    <row r="110" spans="1:24" ht="18.75" x14ac:dyDescent="0.3">
      <c r="A110" s="2021" t="s">
        <v>1663</v>
      </c>
      <c r="B110" s="2022"/>
      <c r="C110" s="2022"/>
      <c r="D110" s="956"/>
      <c r="E110" s="956"/>
      <c r="F110" s="956"/>
      <c r="G110" s="956"/>
      <c r="H110" s="1595">
        <f t="shared" ref="H110:X110" si="3">SUM(H93:H109)+H73</f>
        <v>8059720</v>
      </c>
      <c r="I110" s="1595">
        <f t="shared" si="3"/>
        <v>1047764</v>
      </c>
      <c r="J110" s="1595">
        <f t="shared" si="3"/>
        <v>3025510</v>
      </c>
      <c r="K110" s="1595">
        <f t="shared" si="3"/>
        <v>0</v>
      </c>
      <c r="L110" s="1595">
        <f t="shared" si="3"/>
        <v>6237769</v>
      </c>
      <c r="M110" s="1595">
        <f t="shared" si="3"/>
        <v>436507</v>
      </c>
      <c r="N110" s="1595">
        <f t="shared" si="3"/>
        <v>0</v>
      </c>
      <c r="O110" s="1595">
        <f t="shared" si="3"/>
        <v>0</v>
      </c>
      <c r="P110" s="1596">
        <f t="shared" si="3"/>
        <v>0</v>
      </c>
      <c r="Q110" s="1597">
        <f t="shared" si="3"/>
        <v>0</v>
      </c>
      <c r="R110" s="1595">
        <f t="shared" si="3"/>
        <v>0</v>
      </c>
      <c r="S110" s="1595">
        <f t="shared" si="3"/>
        <v>0</v>
      </c>
      <c r="T110" s="1595">
        <f t="shared" si="3"/>
        <v>402918</v>
      </c>
      <c r="U110" s="1595">
        <f t="shared" si="3"/>
        <v>5000</v>
      </c>
      <c r="V110" s="1595">
        <f t="shared" si="3"/>
        <v>295000</v>
      </c>
      <c r="W110" s="1595">
        <f t="shared" si="3"/>
        <v>0</v>
      </c>
      <c r="X110" s="1596">
        <f t="shared" si="3"/>
        <v>18104352</v>
      </c>
    </row>
    <row r="111" spans="1:24" ht="18" customHeight="1" x14ac:dyDescent="0.25">
      <c r="H111" s="1016">
        <f>'2.7. sz. Könyvtár'!U9-'2.7. sz. Könyvtár'!T9</f>
        <v>8059720</v>
      </c>
      <c r="I111" s="1016">
        <f>'2.7. sz. Könyvtár'!U10-'2.7. sz. Könyvtár'!T10</f>
        <v>1047764</v>
      </c>
      <c r="J111" s="1016">
        <f>'2.7. sz. Könyvtár'!U11-'2.7. sz. Könyvtár'!T11</f>
        <v>3025510</v>
      </c>
      <c r="K111" s="1016">
        <f>'2.7. sz. Könyvtár'!U12-'2.7. sz. Könyvtár'!T12</f>
        <v>0</v>
      </c>
      <c r="L111" s="1016">
        <f>'2.7. sz. Könyvtár'!U13-'2.7. sz. Könyvtár'!T13</f>
        <v>6237769</v>
      </c>
      <c r="M111" s="1016">
        <f>'2.7. sz. Könyvtár'!U17-'2.7. sz. Könyvtár'!T17</f>
        <v>436507</v>
      </c>
      <c r="N111" s="1016">
        <f>'2.7. sz. Könyvtár'!U18-'2.7. sz. Könyvtár'!T18</f>
        <v>0</v>
      </c>
      <c r="O111" s="1016">
        <f>'2.7. sz. Könyvtár'!U19-'2.7. sz. Könyvtár'!T19</f>
        <v>0</v>
      </c>
      <c r="P111" s="1016">
        <f>'2.7. sz. Könyvtár'!U22-'2.7. sz. Könyvtár'!T22</f>
        <v>0</v>
      </c>
      <c r="Q111" s="1016">
        <f>'2.7. sz. Könyvtár'!U31-'2.7. sz. Könyvtár'!T31</f>
        <v>0</v>
      </c>
      <c r="R111" s="1016">
        <f>'2.7. sz. Könyvtár'!U32-'2.7. sz. Könyvtár'!T32</f>
        <v>0</v>
      </c>
      <c r="S111" s="1016">
        <f>'2.7. sz. Könyvtár'!U33-'2.7. sz. Könyvtár'!T33</f>
        <v>0</v>
      </c>
      <c r="T111" s="1016">
        <f>'2.7. sz. Könyvtár'!U34-'2.7. sz. Könyvtár'!T34</f>
        <v>402918</v>
      </c>
      <c r="U111" s="1016">
        <f>'2.7. sz. Könyvtár'!U35-'2.7. sz. Könyvtár'!T35</f>
        <v>5000</v>
      </c>
      <c r="V111" s="1016">
        <f>'2.7. sz. Könyvtár'!U36-'2.7. sz. Könyvtár'!T36</f>
        <v>295000</v>
      </c>
      <c r="W111" s="1016">
        <f>'2.7. sz. Könyvtár'!U37-'2.7. sz. Könyvtár'!T37</f>
        <v>0</v>
      </c>
      <c r="X111" s="1016">
        <f>'2.7. sz. Könyvtár'!U39-'2.7. sz. Könyvtár'!T39</f>
        <v>18104352</v>
      </c>
    </row>
    <row r="112" spans="1:24" ht="17.25" customHeight="1" x14ac:dyDescent="0.25">
      <c r="H112" s="1016">
        <f>+H111-H110</f>
        <v>0</v>
      </c>
      <c r="I112" s="1016">
        <f t="shared" ref="I112:X112" si="4">+I111-I110</f>
        <v>0</v>
      </c>
      <c r="J112" s="1016">
        <f t="shared" si="4"/>
        <v>0</v>
      </c>
      <c r="K112" s="1016">
        <f t="shared" si="4"/>
        <v>0</v>
      </c>
      <c r="L112" s="1016">
        <f t="shared" si="4"/>
        <v>0</v>
      </c>
      <c r="M112" s="1016">
        <f t="shared" si="4"/>
        <v>0</v>
      </c>
      <c r="N112" s="1016">
        <f t="shared" si="4"/>
        <v>0</v>
      </c>
      <c r="O112" s="1016">
        <f t="shared" si="4"/>
        <v>0</v>
      </c>
      <c r="P112" s="1016">
        <f t="shared" si="4"/>
        <v>0</v>
      </c>
      <c r="Q112" s="1016">
        <f t="shared" si="4"/>
        <v>0</v>
      </c>
      <c r="R112" s="1016">
        <f t="shared" si="4"/>
        <v>0</v>
      </c>
      <c r="S112" s="1016">
        <f t="shared" si="4"/>
        <v>0</v>
      </c>
      <c r="T112" s="1016">
        <f t="shared" si="4"/>
        <v>0</v>
      </c>
      <c r="U112" s="1016">
        <f t="shared" si="4"/>
        <v>0</v>
      </c>
      <c r="V112" s="1016">
        <f t="shared" si="4"/>
        <v>0</v>
      </c>
      <c r="W112" s="1016">
        <f t="shared" si="4"/>
        <v>0</v>
      </c>
      <c r="X112" s="1016">
        <f t="shared" si="4"/>
        <v>0</v>
      </c>
    </row>
    <row r="113" spans="9:22" x14ac:dyDescent="0.25">
      <c r="Q113" s="968"/>
    </row>
    <row r="114" spans="9:22" x14ac:dyDescent="0.25">
      <c r="Q114" s="968"/>
    </row>
    <row r="115" spans="9:22" ht="21.75" customHeight="1" x14ac:dyDescent="0.25">
      <c r="I115" s="2042" t="s">
        <v>1664</v>
      </c>
      <c r="J115" s="2042"/>
      <c r="K115" s="2042"/>
      <c r="L115" s="2042">
        <v>82087264</v>
      </c>
      <c r="M115" s="2042"/>
      <c r="N115" s="996"/>
      <c r="O115" s="996"/>
      <c r="P115" s="996"/>
      <c r="Q115" s="996"/>
      <c r="R115" s="2042" t="s">
        <v>1665</v>
      </c>
      <c r="S115" s="2042"/>
      <c r="T115" s="2042"/>
      <c r="U115" s="2042">
        <v>82087264</v>
      </c>
      <c r="V115" s="2042"/>
    </row>
    <row r="116" spans="9:22" ht="22.5" customHeight="1" x14ac:dyDescent="0.25">
      <c r="I116" s="2042" t="s">
        <v>1666</v>
      </c>
      <c r="J116" s="2042"/>
      <c r="K116" s="2042"/>
      <c r="L116" s="2042">
        <f>SUM(H110:P110)</f>
        <v>18807270</v>
      </c>
      <c r="M116" s="2042"/>
      <c r="N116" s="996"/>
      <c r="O116" s="996"/>
      <c r="P116" s="996"/>
      <c r="Q116" s="996"/>
      <c r="R116" s="2042" t="s">
        <v>1666</v>
      </c>
      <c r="S116" s="2042"/>
      <c r="T116" s="2042"/>
      <c r="U116" s="2042">
        <f>SUM(Q110:X110)</f>
        <v>18807270</v>
      </c>
      <c r="V116" s="2042"/>
    </row>
    <row r="117" spans="9:22" ht="22.5" customHeight="1" x14ac:dyDescent="0.25">
      <c r="I117" s="2042" t="s">
        <v>1512</v>
      </c>
      <c r="J117" s="2042"/>
      <c r="K117" s="2042"/>
      <c r="L117" s="2042">
        <f>+L115+L116</f>
        <v>100894534</v>
      </c>
      <c r="M117" s="2042"/>
      <c r="N117" s="996"/>
      <c r="O117" s="996"/>
      <c r="P117" s="996"/>
      <c r="Q117" s="996"/>
      <c r="R117" s="2042" t="s">
        <v>1512</v>
      </c>
      <c r="S117" s="2042"/>
      <c r="T117" s="2042"/>
      <c r="U117" s="2042">
        <f>+U115+U116</f>
        <v>100894534</v>
      </c>
      <c r="V117" s="2042"/>
    </row>
    <row r="118" spans="9:22" x14ac:dyDescent="0.25">
      <c r="Q118" s="968"/>
    </row>
    <row r="119" spans="9:22" x14ac:dyDescent="0.25">
      <c r="Q119" s="968"/>
    </row>
    <row r="120" spans="9:22" x14ac:dyDescent="0.25">
      <c r="Q120" s="968"/>
    </row>
    <row r="121" spans="9:22" x14ac:dyDescent="0.25">
      <c r="Q121" s="968"/>
    </row>
  </sheetData>
  <mergeCells count="135">
    <mergeCell ref="A107:A108"/>
    <mergeCell ref="I80:K80"/>
    <mergeCell ref="L80:M80"/>
    <mergeCell ref="R80:T80"/>
    <mergeCell ref="U80:V80"/>
    <mergeCell ref="U78:V78"/>
    <mergeCell ref="I79:K79"/>
    <mergeCell ref="L79:M79"/>
    <mergeCell ref="R79:T79"/>
    <mergeCell ref="U79:V79"/>
    <mergeCell ref="A73:C73"/>
    <mergeCell ref="I78:K78"/>
    <mergeCell ref="L78:M78"/>
    <mergeCell ref="R78:T78"/>
    <mergeCell ref="A61:X61"/>
    <mergeCell ref="A64:X64"/>
    <mergeCell ref="A66:A67"/>
    <mergeCell ref="B66:B67"/>
    <mergeCell ref="C66:C67"/>
    <mergeCell ref="D66:D67"/>
    <mergeCell ref="E66:E67"/>
    <mergeCell ref="F66:F67"/>
    <mergeCell ref="G66:G67"/>
    <mergeCell ref="H66:O66"/>
    <mergeCell ref="Q66:X66"/>
    <mergeCell ref="C69:C70"/>
    <mergeCell ref="C35:C36"/>
    <mergeCell ref="B35:B36"/>
    <mergeCell ref="A35:A36"/>
    <mergeCell ref="C37:C38"/>
    <mergeCell ref="C7:C8"/>
    <mergeCell ref="B7:B8"/>
    <mergeCell ref="A7:A8"/>
    <mergeCell ref="A12:C12"/>
    <mergeCell ref="C32:C33"/>
    <mergeCell ref="B32:B33"/>
    <mergeCell ref="A32:A33"/>
    <mergeCell ref="C30:C31"/>
    <mergeCell ref="B30:B31"/>
    <mergeCell ref="A30:A31"/>
    <mergeCell ref="B37:B38"/>
    <mergeCell ref="A37:A38"/>
    <mergeCell ref="I16:K16"/>
    <mergeCell ref="L16:M16"/>
    <mergeCell ref="R16:T16"/>
    <mergeCell ref="U16:V16"/>
    <mergeCell ref="I17:K17"/>
    <mergeCell ref="L17:M17"/>
    <mergeCell ref="R17:T17"/>
    <mergeCell ref="U17:V17"/>
    <mergeCell ref="A1:X1"/>
    <mergeCell ref="A3:X3"/>
    <mergeCell ref="A5:A6"/>
    <mergeCell ref="B5:B6"/>
    <mergeCell ref="C5:C6"/>
    <mergeCell ref="D5:D6"/>
    <mergeCell ref="E5:E6"/>
    <mergeCell ref="F5:F6"/>
    <mergeCell ref="G5:G6"/>
    <mergeCell ref="H5:O5"/>
    <mergeCell ref="Q5:X5"/>
    <mergeCell ref="L18:M18"/>
    <mergeCell ref="A23:X23"/>
    <mergeCell ref="A26:X26"/>
    <mergeCell ref="A28:A29"/>
    <mergeCell ref="B28:B29"/>
    <mergeCell ref="C28:C29"/>
    <mergeCell ref="D28:D29"/>
    <mergeCell ref="E28:E29"/>
    <mergeCell ref="F28:F29"/>
    <mergeCell ref="G28:G29"/>
    <mergeCell ref="H28:O28"/>
    <mergeCell ref="Q28:X28"/>
    <mergeCell ref="R18:T18"/>
    <mergeCell ref="U18:V18"/>
    <mergeCell ref="I18:K18"/>
    <mergeCell ref="I56:K56"/>
    <mergeCell ref="L56:M56"/>
    <mergeCell ref="I55:K55"/>
    <mergeCell ref="I54:K54"/>
    <mergeCell ref="A49:C49"/>
    <mergeCell ref="R56:T56"/>
    <mergeCell ref="U56:V56"/>
    <mergeCell ref="L54:M54"/>
    <mergeCell ref="R54:T54"/>
    <mergeCell ref="U54:V54"/>
    <mergeCell ref="L55:M55"/>
    <mergeCell ref="R55:T55"/>
    <mergeCell ref="U55:V55"/>
    <mergeCell ref="C39:C40"/>
    <mergeCell ref="B39:B40"/>
    <mergeCell ref="A39:A40"/>
    <mergeCell ref="B69:B70"/>
    <mergeCell ref="A69:A70"/>
    <mergeCell ref="C41:C42"/>
    <mergeCell ref="B41:B42"/>
    <mergeCell ref="A41:A42"/>
    <mergeCell ref="C43:C44"/>
    <mergeCell ref="B43:B44"/>
    <mergeCell ref="A43:A44"/>
    <mergeCell ref="A110:C110"/>
    <mergeCell ref="I115:K115"/>
    <mergeCell ref="A86:X86"/>
    <mergeCell ref="A89:X89"/>
    <mergeCell ref="A91:A92"/>
    <mergeCell ref="B91:B92"/>
    <mergeCell ref="C91:C92"/>
    <mergeCell ref="D91:D92"/>
    <mergeCell ref="E91:E92"/>
    <mergeCell ref="F91:F92"/>
    <mergeCell ref="G91:G92"/>
    <mergeCell ref="H91:O91"/>
    <mergeCell ref="Q91:X91"/>
    <mergeCell ref="C93:C94"/>
    <mergeCell ref="B93:B94"/>
    <mergeCell ref="A93:A94"/>
    <mergeCell ref="C99:C100"/>
    <mergeCell ref="B99:B100"/>
    <mergeCell ref="A99:A100"/>
    <mergeCell ref="C104:C105"/>
    <mergeCell ref="B104:B105"/>
    <mergeCell ref="A104:A105"/>
    <mergeCell ref="C107:C108"/>
    <mergeCell ref="B107:B108"/>
    <mergeCell ref="I117:K117"/>
    <mergeCell ref="L117:M117"/>
    <mergeCell ref="R117:T117"/>
    <mergeCell ref="U117:V117"/>
    <mergeCell ref="L115:M115"/>
    <mergeCell ref="R115:T115"/>
    <mergeCell ref="U115:V115"/>
    <mergeCell ref="I116:K116"/>
    <mergeCell ref="L116:M116"/>
    <mergeCell ref="R116:T116"/>
    <mergeCell ref="U116:V116"/>
  </mergeCells>
  <printOptions horizontalCentered="1" verticalCentered="1"/>
  <pageMargins left="0.31496062992125984" right="0.31496062992125984" top="0.74803149606299213" bottom="0.47244094488188981" header="0.31496062992125984" footer="0.31496062992125984"/>
  <pageSetup paperSize="9" scale="49" orientation="landscape" r:id="rId1"/>
  <headerFooter>
    <oddHeader>&amp;R&amp;A</oddHeader>
    <oddFooter>&amp;C&amp;P/&amp;N</oddFooter>
  </headerFooter>
  <rowBreaks count="2" manualBreakCount="2">
    <brk id="42" max="23" man="1"/>
    <brk id="80"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47"/>
  <sheetViews>
    <sheetView view="pageBreakPreview" topLeftCell="A125" zoomScale="89" zoomScaleSheetLayoutView="89" workbookViewId="0">
      <selection activeCell="L142" sqref="L142:N142"/>
    </sheetView>
  </sheetViews>
  <sheetFormatPr defaultRowHeight="15" x14ac:dyDescent="0.25"/>
  <cols>
    <col min="1" max="2" width="5.28515625" style="968" customWidth="1"/>
    <col min="3" max="3" width="35.7109375" style="968" customWidth="1"/>
    <col min="4" max="4" width="7.85546875" style="968" customWidth="1"/>
    <col min="5" max="5" width="7" style="968" bestFit="1" customWidth="1"/>
    <col min="6" max="6" width="4.7109375" style="968" customWidth="1"/>
    <col min="7" max="7" width="5.7109375" style="968" customWidth="1"/>
    <col min="8" max="8" width="14.5703125" style="968" customWidth="1"/>
    <col min="9" max="9" width="13.85546875" style="968" customWidth="1"/>
    <col min="10" max="10" width="15.28515625" style="968" customWidth="1"/>
    <col min="11" max="11" width="13.28515625" style="968" customWidth="1"/>
    <col min="12" max="12" width="15.28515625" style="968" customWidth="1"/>
    <col min="13" max="13" width="13.85546875" style="968" customWidth="1"/>
    <col min="14" max="14" width="11.85546875" style="968" customWidth="1"/>
    <col min="15" max="15" width="13.42578125" style="968" customWidth="1"/>
    <col min="16" max="16" width="12.85546875" style="968" customWidth="1"/>
    <col min="17" max="17" width="14.42578125" style="997" customWidth="1"/>
    <col min="18" max="18" width="13.7109375" style="968" customWidth="1"/>
    <col min="19" max="19" width="10.7109375" style="968" customWidth="1"/>
    <col min="20" max="20" width="12.42578125" style="968" bestFit="1" customWidth="1"/>
    <col min="21" max="21" width="10.7109375" style="968" bestFit="1" customWidth="1"/>
    <col min="22" max="22" width="13.28515625" style="968" customWidth="1"/>
    <col min="23" max="23" width="12.7109375" style="968" customWidth="1"/>
    <col min="24" max="24" width="14.85546875" style="968" customWidth="1"/>
    <col min="25" max="25" width="14.140625" style="968" bestFit="1" customWidth="1"/>
    <col min="26" max="256" width="9.140625" style="968"/>
    <col min="257" max="258" width="5.28515625" style="968" customWidth="1"/>
    <col min="259" max="259" width="35.7109375" style="968" customWidth="1"/>
    <col min="260" max="260" width="7.85546875" style="968" customWidth="1"/>
    <col min="261" max="261" width="7" style="968" bestFit="1" customWidth="1"/>
    <col min="262" max="262" width="4.7109375" style="968" customWidth="1"/>
    <col min="263" max="263" width="5.7109375" style="968" customWidth="1"/>
    <col min="264" max="264" width="14.5703125" style="968" customWidth="1"/>
    <col min="265" max="265" width="13.85546875" style="968" customWidth="1"/>
    <col min="266" max="266" width="15.28515625" style="968" customWidth="1"/>
    <col min="267" max="267" width="13.28515625" style="968" customWidth="1"/>
    <col min="268" max="268" width="15.28515625" style="968" customWidth="1"/>
    <col min="269" max="269" width="13.85546875" style="968" customWidth="1"/>
    <col min="270" max="270" width="11.85546875" style="968" customWidth="1"/>
    <col min="271" max="271" width="13.42578125" style="968" customWidth="1"/>
    <col min="272" max="272" width="11.85546875" style="968" customWidth="1"/>
    <col min="273" max="273" width="14.42578125" style="968" customWidth="1"/>
    <col min="274" max="274" width="13.7109375" style="968" customWidth="1"/>
    <col min="275" max="275" width="10.7109375" style="968" customWidth="1"/>
    <col min="276" max="276" width="12.42578125" style="968" bestFit="1" customWidth="1"/>
    <col min="277" max="277" width="10.7109375" style="968" bestFit="1" customWidth="1"/>
    <col min="278" max="278" width="13.28515625" style="968" customWidth="1"/>
    <col min="279" max="279" width="12.7109375" style="968" customWidth="1"/>
    <col min="280" max="280" width="16.5703125" style="968" customWidth="1"/>
    <col min="281" max="281" width="14.140625" style="968" bestFit="1" customWidth="1"/>
    <col min="282" max="512" width="9.140625" style="968"/>
    <col min="513" max="514" width="5.28515625" style="968" customWidth="1"/>
    <col min="515" max="515" width="35.7109375" style="968" customWidth="1"/>
    <col min="516" max="516" width="7.85546875" style="968" customWidth="1"/>
    <col min="517" max="517" width="7" style="968" bestFit="1" customWidth="1"/>
    <col min="518" max="518" width="4.7109375" style="968" customWidth="1"/>
    <col min="519" max="519" width="5.7109375" style="968" customWidth="1"/>
    <col min="520" max="520" width="14.5703125" style="968" customWidth="1"/>
    <col min="521" max="521" width="13.85546875" style="968" customWidth="1"/>
    <col min="522" max="522" width="15.28515625" style="968" customWidth="1"/>
    <col min="523" max="523" width="13.28515625" style="968" customWidth="1"/>
    <col min="524" max="524" width="15.28515625" style="968" customWidth="1"/>
    <col min="525" max="525" width="13.85546875" style="968" customWidth="1"/>
    <col min="526" max="526" width="11.85546875" style="968" customWidth="1"/>
    <col min="527" max="527" width="13.42578125" style="968" customWidth="1"/>
    <col min="528" max="528" width="11.85546875" style="968" customWidth="1"/>
    <col min="529" max="529" width="14.42578125" style="968" customWidth="1"/>
    <col min="530" max="530" width="13.7109375" style="968" customWidth="1"/>
    <col min="531" max="531" width="10.7109375" style="968" customWidth="1"/>
    <col min="532" max="532" width="12.42578125" style="968" bestFit="1" customWidth="1"/>
    <col min="533" max="533" width="10.7109375" style="968" bestFit="1" customWidth="1"/>
    <col min="534" max="534" width="13.28515625" style="968" customWidth="1"/>
    <col min="535" max="535" width="12.7109375" style="968" customWidth="1"/>
    <col min="536" max="536" width="16.5703125" style="968" customWidth="1"/>
    <col min="537" max="537" width="14.140625" style="968" bestFit="1" customWidth="1"/>
    <col min="538" max="768" width="9.140625" style="968"/>
    <col min="769" max="770" width="5.28515625" style="968" customWidth="1"/>
    <col min="771" max="771" width="35.7109375" style="968" customWidth="1"/>
    <col min="772" max="772" width="7.85546875" style="968" customWidth="1"/>
    <col min="773" max="773" width="7" style="968" bestFit="1" customWidth="1"/>
    <col min="774" max="774" width="4.7109375" style="968" customWidth="1"/>
    <col min="775" max="775" width="5.7109375" style="968" customWidth="1"/>
    <col min="776" max="776" width="14.5703125" style="968" customWidth="1"/>
    <col min="777" max="777" width="13.85546875" style="968" customWidth="1"/>
    <col min="778" max="778" width="15.28515625" style="968" customWidth="1"/>
    <col min="779" max="779" width="13.28515625" style="968" customWidth="1"/>
    <col min="780" max="780" width="15.28515625" style="968" customWidth="1"/>
    <col min="781" max="781" width="13.85546875" style="968" customWidth="1"/>
    <col min="782" max="782" width="11.85546875" style="968" customWidth="1"/>
    <col min="783" max="783" width="13.42578125" style="968" customWidth="1"/>
    <col min="784" max="784" width="11.85546875" style="968" customWidth="1"/>
    <col min="785" max="785" width="14.42578125" style="968" customWidth="1"/>
    <col min="786" max="786" width="13.7109375" style="968" customWidth="1"/>
    <col min="787" max="787" width="10.7109375" style="968" customWidth="1"/>
    <col min="788" max="788" width="12.42578125" style="968" bestFit="1" customWidth="1"/>
    <col min="789" max="789" width="10.7109375" style="968" bestFit="1" customWidth="1"/>
    <col min="790" max="790" width="13.28515625" style="968" customWidth="1"/>
    <col min="791" max="791" width="12.7109375" style="968" customWidth="1"/>
    <col min="792" max="792" width="16.5703125" style="968" customWidth="1"/>
    <col min="793" max="793" width="14.140625" style="968" bestFit="1" customWidth="1"/>
    <col min="794" max="1024" width="9.140625" style="968"/>
    <col min="1025" max="1026" width="5.28515625" style="968" customWidth="1"/>
    <col min="1027" max="1027" width="35.7109375" style="968" customWidth="1"/>
    <col min="1028" max="1028" width="7.85546875" style="968" customWidth="1"/>
    <col min="1029" max="1029" width="7" style="968" bestFit="1" customWidth="1"/>
    <col min="1030" max="1030" width="4.7109375" style="968" customWidth="1"/>
    <col min="1031" max="1031" width="5.7109375" style="968" customWidth="1"/>
    <col min="1032" max="1032" width="14.5703125" style="968" customWidth="1"/>
    <col min="1033" max="1033" width="13.85546875" style="968" customWidth="1"/>
    <col min="1034" max="1034" width="15.28515625" style="968" customWidth="1"/>
    <col min="1035" max="1035" width="13.28515625" style="968" customWidth="1"/>
    <col min="1036" max="1036" width="15.28515625" style="968" customWidth="1"/>
    <col min="1037" max="1037" width="13.85546875" style="968" customWidth="1"/>
    <col min="1038" max="1038" width="11.85546875" style="968" customWidth="1"/>
    <col min="1039" max="1039" width="13.42578125" style="968" customWidth="1"/>
    <col min="1040" max="1040" width="11.85546875" style="968" customWidth="1"/>
    <col min="1041" max="1041" width="14.42578125" style="968" customWidth="1"/>
    <col min="1042" max="1042" width="13.7109375" style="968" customWidth="1"/>
    <col min="1043" max="1043" width="10.7109375" style="968" customWidth="1"/>
    <col min="1044" max="1044" width="12.42578125" style="968" bestFit="1" customWidth="1"/>
    <col min="1045" max="1045" width="10.7109375" style="968" bestFit="1" customWidth="1"/>
    <col min="1046" max="1046" width="13.28515625" style="968" customWidth="1"/>
    <col min="1047" max="1047" width="12.7109375" style="968" customWidth="1"/>
    <col min="1048" max="1048" width="16.5703125" style="968" customWidth="1"/>
    <col min="1049" max="1049" width="14.140625" style="968" bestFit="1" customWidth="1"/>
    <col min="1050" max="1280" width="9.140625" style="968"/>
    <col min="1281" max="1282" width="5.28515625" style="968" customWidth="1"/>
    <col min="1283" max="1283" width="35.7109375" style="968" customWidth="1"/>
    <col min="1284" max="1284" width="7.85546875" style="968" customWidth="1"/>
    <col min="1285" max="1285" width="7" style="968" bestFit="1" customWidth="1"/>
    <col min="1286" max="1286" width="4.7109375" style="968" customWidth="1"/>
    <col min="1287" max="1287" width="5.7109375" style="968" customWidth="1"/>
    <col min="1288" max="1288" width="14.5703125" style="968" customWidth="1"/>
    <col min="1289" max="1289" width="13.85546875" style="968" customWidth="1"/>
    <col min="1290" max="1290" width="15.28515625" style="968" customWidth="1"/>
    <col min="1291" max="1291" width="13.28515625" style="968" customWidth="1"/>
    <col min="1292" max="1292" width="15.28515625" style="968" customWidth="1"/>
    <col min="1293" max="1293" width="13.85546875" style="968" customWidth="1"/>
    <col min="1294" max="1294" width="11.85546875" style="968" customWidth="1"/>
    <col min="1295" max="1295" width="13.42578125" style="968" customWidth="1"/>
    <col min="1296" max="1296" width="11.85546875" style="968" customWidth="1"/>
    <col min="1297" max="1297" width="14.42578125" style="968" customWidth="1"/>
    <col min="1298" max="1298" width="13.7109375" style="968" customWidth="1"/>
    <col min="1299" max="1299" width="10.7109375" style="968" customWidth="1"/>
    <col min="1300" max="1300" width="12.42578125" style="968" bestFit="1" customWidth="1"/>
    <col min="1301" max="1301" width="10.7109375" style="968" bestFit="1" customWidth="1"/>
    <col min="1302" max="1302" width="13.28515625" style="968" customWidth="1"/>
    <col min="1303" max="1303" width="12.7109375" style="968" customWidth="1"/>
    <col min="1304" max="1304" width="16.5703125" style="968" customWidth="1"/>
    <col min="1305" max="1305" width="14.140625" style="968" bestFit="1" customWidth="1"/>
    <col min="1306" max="1536" width="9.140625" style="968"/>
    <col min="1537" max="1538" width="5.28515625" style="968" customWidth="1"/>
    <col min="1539" max="1539" width="35.7109375" style="968" customWidth="1"/>
    <col min="1540" max="1540" width="7.85546875" style="968" customWidth="1"/>
    <col min="1541" max="1541" width="7" style="968" bestFit="1" customWidth="1"/>
    <col min="1542" max="1542" width="4.7109375" style="968" customWidth="1"/>
    <col min="1543" max="1543" width="5.7109375" style="968" customWidth="1"/>
    <col min="1544" max="1544" width="14.5703125" style="968" customWidth="1"/>
    <col min="1545" max="1545" width="13.85546875" style="968" customWidth="1"/>
    <col min="1546" max="1546" width="15.28515625" style="968" customWidth="1"/>
    <col min="1547" max="1547" width="13.28515625" style="968" customWidth="1"/>
    <col min="1548" max="1548" width="15.28515625" style="968" customWidth="1"/>
    <col min="1549" max="1549" width="13.85546875" style="968" customWidth="1"/>
    <col min="1550" max="1550" width="11.85546875" style="968" customWidth="1"/>
    <col min="1551" max="1551" width="13.42578125" style="968" customWidth="1"/>
    <col min="1552" max="1552" width="11.85546875" style="968" customWidth="1"/>
    <col min="1553" max="1553" width="14.42578125" style="968" customWidth="1"/>
    <col min="1554" max="1554" width="13.7109375" style="968" customWidth="1"/>
    <col min="1555" max="1555" width="10.7109375" style="968" customWidth="1"/>
    <col min="1556" max="1556" width="12.42578125" style="968" bestFit="1" customWidth="1"/>
    <col min="1557" max="1557" width="10.7109375" style="968" bestFit="1" customWidth="1"/>
    <col min="1558" max="1558" width="13.28515625" style="968" customWidth="1"/>
    <col min="1559" max="1559" width="12.7109375" style="968" customWidth="1"/>
    <col min="1560" max="1560" width="16.5703125" style="968" customWidth="1"/>
    <col min="1561" max="1561" width="14.140625" style="968" bestFit="1" customWidth="1"/>
    <col min="1562" max="1792" width="9.140625" style="968"/>
    <col min="1793" max="1794" width="5.28515625" style="968" customWidth="1"/>
    <col min="1795" max="1795" width="35.7109375" style="968" customWidth="1"/>
    <col min="1796" max="1796" width="7.85546875" style="968" customWidth="1"/>
    <col min="1797" max="1797" width="7" style="968" bestFit="1" customWidth="1"/>
    <col min="1798" max="1798" width="4.7109375" style="968" customWidth="1"/>
    <col min="1799" max="1799" width="5.7109375" style="968" customWidth="1"/>
    <col min="1800" max="1800" width="14.5703125" style="968" customWidth="1"/>
    <col min="1801" max="1801" width="13.85546875" style="968" customWidth="1"/>
    <col min="1802" max="1802" width="15.28515625" style="968" customWidth="1"/>
    <col min="1803" max="1803" width="13.28515625" style="968" customWidth="1"/>
    <col min="1804" max="1804" width="15.28515625" style="968" customWidth="1"/>
    <col min="1805" max="1805" width="13.85546875" style="968" customWidth="1"/>
    <col min="1806" max="1806" width="11.85546875" style="968" customWidth="1"/>
    <col min="1807" max="1807" width="13.42578125" style="968" customWidth="1"/>
    <col min="1808" max="1808" width="11.85546875" style="968" customWidth="1"/>
    <col min="1809" max="1809" width="14.42578125" style="968" customWidth="1"/>
    <col min="1810" max="1810" width="13.7109375" style="968" customWidth="1"/>
    <col min="1811" max="1811" width="10.7109375" style="968" customWidth="1"/>
    <col min="1812" max="1812" width="12.42578125" style="968" bestFit="1" customWidth="1"/>
    <col min="1813" max="1813" width="10.7109375" style="968" bestFit="1" customWidth="1"/>
    <col min="1814" max="1814" width="13.28515625" style="968" customWidth="1"/>
    <col min="1815" max="1815" width="12.7109375" style="968" customWidth="1"/>
    <col min="1816" max="1816" width="16.5703125" style="968" customWidth="1"/>
    <col min="1817" max="1817" width="14.140625" style="968" bestFit="1" customWidth="1"/>
    <col min="1818" max="2048" width="9.140625" style="968"/>
    <col min="2049" max="2050" width="5.28515625" style="968" customWidth="1"/>
    <col min="2051" max="2051" width="35.7109375" style="968" customWidth="1"/>
    <col min="2052" max="2052" width="7.85546875" style="968" customWidth="1"/>
    <col min="2053" max="2053" width="7" style="968" bestFit="1" customWidth="1"/>
    <col min="2054" max="2054" width="4.7109375" style="968" customWidth="1"/>
    <col min="2055" max="2055" width="5.7109375" style="968" customWidth="1"/>
    <col min="2056" max="2056" width="14.5703125" style="968" customWidth="1"/>
    <col min="2057" max="2057" width="13.85546875" style="968" customWidth="1"/>
    <col min="2058" max="2058" width="15.28515625" style="968" customWidth="1"/>
    <col min="2059" max="2059" width="13.28515625" style="968" customWidth="1"/>
    <col min="2060" max="2060" width="15.28515625" style="968" customWidth="1"/>
    <col min="2061" max="2061" width="13.85546875" style="968" customWidth="1"/>
    <col min="2062" max="2062" width="11.85546875" style="968" customWidth="1"/>
    <col min="2063" max="2063" width="13.42578125" style="968" customWidth="1"/>
    <col min="2064" max="2064" width="11.85546875" style="968" customWidth="1"/>
    <col min="2065" max="2065" width="14.42578125" style="968" customWidth="1"/>
    <col min="2066" max="2066" width="13.7109375" style="968" customWidth="1"/>
    <col min="2067" max="2067" width="10.7109375" style="968" customWidth="1"/>
    <col min="2068" max="2068" width="12.42578125" style="968" bestFit="1" customWidth="1"/>
    <col min="2069" max="2069" width="10.7109375" style="968" bestFit="1" customWidth="1"/>
    <col min="2070" max="2070" width="13.28515625" style="968" customWidth="1"/>
    <col min="2071" max="2071" width="12.7109375" style="968" customWidth="1"/>
    <col min="2072" max="2072" width="16.5703125" style="968" customWidth="1"/>
    <col min="2073" max="2073" width="14.140625" style="968" bestFit="1" customWidth="1"/>
    <col min="2074" max="2304" width="9.140625" style="968"/>
    <col min="2305" max="2306" width="5.28515625" style="968" customWidth="1"/>
    <col min="2307" max="2307" width="35.7109375" style="968" customWidth="1"/>
    <col min="2308" max="2308" width="7.85546875" style="968" customWidth="1"/>
    <col min="2309" max="2309" width="7" style="968" bestFit="1" customWidth="1"/>
    <col min="2310" max="2310" width="4.7109375" style="968" customWidth="1"/>
    <col min="2311" max="2311" width="5.7109375" style="968" customWidth="1"/>
    <col min="2312" max="2312" width="14.5703125" style="968" customWidth="1"/>
    <col min="2313" max="2313" width="13.85546875" style="968" customWidth="1"/>
    <col min="2314" max="2314" width="15.28515625" style="968" customWidth="1"/>
    <col min="2315" max="2315" width="13.28515625" style="968" customWidth="1"/>
    <col min="2316" max="2316" width="15.28515625" style="968" customWidth="1"/>
    <col min="2317" max="2317" width="13.85546875" style="968" customWidth="1"/>
    <col min="2318" max="2318" width="11.85546875" style="968" customWidth="1"/>
    <col min="2319" max="2319" width="13.42578125" style="968" customWidth="1"/>
    <col min="2320" max="2320" width="11.85546875" style="968" customWidth="1"/>
    <col min="2321" max="2321" width="14.42578125" style="968" customWidth="1"/>
    <col min="2322" max="2322" width="13.7109375" style="968" customWidth="1"/>
    <col min="2323" max="2323" width="10.7109375" style="968" customWidth="1"/>
    <col min="2324" max="2324" width="12.42578125" style="968" bestFit="1" customWidth="1"/>
    <col min="2325" max="2325" width="10.7109375" style="968" bestFit="1" customWidth="1"/>
    <col min="2326" max="2326" width="13.28515625" style="968" customWidth="1"/>
    <col min="2327" max="2327" width="12.7109375" style="968" customWidth="1"/>
    <col min="2328" max="2328" width="16.5703125" style="968" customWidth="1"/>
    <col min="2329" max="2329" width="14.140625" style="968" bestFit="1" customWidth="1"/>
    <col min="2330" max="2560" width="9.140625" style="968"/>
    <col min="2561" max="2562" width="5.28515625" style="968" customWidth="1"/>
    <col min="2563" max="2563" width="35.7109375" style="968" customWidth="1"/>
    <col min="2564" max="2564" width="7.85546875" style="968" customWidth="1"/>
    <col min="2565" max="2565" width="7" style="968" bestFit="1" customWidth="1"/>
    <col min="2566" max="2566" width="4.7109375" style="968" customWidth="1"/>
    <col min="2567" max="2567" width="5.7109375" style="968" customWidth="1"/>
    <col min="2568" max="2568" width="14.5703125" style="968" customWidth="1"/>
    <col min="2569" max="2569" width="13.85546875" style="968" customWidth="1"/>
    <col min="2570" max="2570" width="15.28515625" style="968" customWidth="1"/>
    <col min="2571" max="2571" width="13.28515625" style="968" customWidth="1"/>
    <col min="2572" max="2572" width="15.28515625" style="968" customWidth="1"/>
    <col min="2573" max="2573" width="13.85546875" style="968" customWidth="1"/>
    <col min="2574" max="2574" width="11.85546875" style="968" customWidth="1"/>
    <col min="2575" max="2575" width="13.42578125" style="968" customWidth="1"/>
    <col min="2576" max="2576" width="11.85546875" style="968" customWidth="1"/>
    <col min="2577" max="2577" width="14.42578125" style="968" customWidth="1"/>
    <col min="2578" max="2578" width="13.7109375" style="968" customWidth="1"/>
    <col min="2579" max="2579" width="10.7109375" style="968" customWidth="1"/>
    <col min="2580" max="2580" width="12.42578125" style="968" bestFit="1" customWidth="1"/>
    <col min="2581" max="2581" width="10.7109375" style="968" bestFit="1" customWidth="1"/>
    <col min="2582" max="2582" width="13.28515625" style="968" customWidth="1"/>
    <col min="2583" max="2583" width="12.7109375" style="968" customWidth="1"/>
    <col min="2584" max="2584" width="16.5703125" style="968" customWidth="1"/>
    <col min="2585" max="2585" width="14.140625" style="968" bestFit="1" customWidth="1"/>
    <col min="2586" max="2816" width="9.140625" style="968"/>
    <col min="2817" max="2818" width="5.28515625" style="968" customWidth="1"/>
    <col min="2819" max="2819" width="35.7109375" style="968" customWidth="1"/>
    <col min="2820" max="2820" width="7.85546875" style="968" customWidth="1"/>
    <col min="2821" max="2821" width="7" style="968" bestFit="1" customWidth="1"/>
    <col min="2822" max="2822" width="4.7109375" style="968" customWidth="1"/>
    <col min="2823" max="2823" width="5.7109375" style="968" customWidth="1"/>
    <col min="2824" max="2824" width="14.5703125" style="968" customWidth="1"/>
    <col min="2825" max="2825" width="13.85546875" style="968" customWidth="1"/>
    <col min="2826" max="2826" width="15.28515625" style="968" customWidth="1"/>
    <col min="2827" max="2827" width="13.28515625" style="968" customWidth="1"/>
    <col min="2828" max="2828" width="15.28515625" style="968" customWidth="1"/>
    <col min="2829" max="2829" width="13.85546875" style="968" customWidth="1"/>
    <col min="2830" max="2830" width="11.85546875" style="968" customWidth="1"/>
    <col min="2831" max="2831" width="13.42578125" style="968" customWidth="1"/>
    <col min="2832" max="2832" width="11.85546875" style="968" customWidth="1"/>
    <col min="2833" max="2833" width="14.42578125" style="968" customWidth="1"/>
    <col min="2834" max="2834" width="13.7109375" style="968" customWidth="1"/>
    <col min="2835" max="2835" width="10.7109375" style="968" customWidth="1"/>
    <col min="2836" max="2836" width="12.42578125" style="968" bestFit="1" customWidth="1"/>
    <col min="2837" max="2837" width="10.7109375" style="968" bestFit="1" customWidth="1"/>
    <col min="2838" max="2838" width="13.28515625" style="968" customWidth="1"/>
    <col min="2839" max="2839" width="12.7109375" style="968" customWidth="1"/>
    <col min="2840" max="2840" width="16.5703125" style="968" customWidth="1"/>
    <col min="2841" max="2841" width="14.140625" style="968" bestFit="1" customWidth="1"/>
    <col min="2842" max="3072" width="9.140625" style="968"/>
    <col min="3073" max="3074" width="5.28515625" style="968" customWidth="1"/>
    <col min="3075" max="3075" width="35.7109375" style="968" customWidth="1"/>
    <col min="3076" max="3076" width="7.85546875" style="968" customWidth="1"/>
    <col min="3077" max="3077" width="7" style="968" bestFit="1" customWidth="1"/>
    <col min="3078" max="3078" width="4.7109375" style="968" customWidth="1"/>
    <col min="3079" max="3079" width="5.7109375" style="968" customWidth="1"/>
    <col min="3080" max="3080" width="14.5703125" style="968" customWidth="1"/>
    <col min="3081" max="3081" width="13.85546875" style="968" customWidth="1"/>
    <col min="3082" max="3082" width="15.28515625" style="968" customWidth="1"/>
    <col min="3083" max="3083" width="13.28515625" style="968" customWidth="1"/>
    <col min="3084" max="3084" width="15.28515625" style="968" customWidth="1"/>
    <col min="3085" max="3085" width="13.85546875" style="968" customWidth="1"/>
    <col min="3086" max="3086" width="11.85546875" style="968" customWidth="1"/>
    <col min="3087" max="3087" width="13.42578125" style="968" customWidth="1"/>
    <col min="3088" max="3088" width="11.85546875" style="968" customWidth="1"/>
    <col min="3089" max="3089" width="14.42578125" style="968" customWidth="1"/>
    <col min="3090" max="3090" width="13.7109375" style="968" customWidth="1"/>
    <col min="3091" max="3091" width="10.7109375" style="968" customWidth="1"/>
    <col min="3092" max="3092" width="12.42578125" style="968" bestFit="1" customWidth="1"/>
    <col min="3093" max="3093" width="10.7109375" style="968" bestFit="1" customWidth="1"/>
    <col min="3094" max="3094" width="13.28515625" style="968" customWidth="1"/>
    <col min="3095" max="3095" width="12.7109375" style="968" customWidth="1"/>
    <col min="3096" max="3096" width="16.5703125" style="968" customWidth="1"/>
    <col min="3097" max="3097" width="14.140625" style="968" bestFit="1" customWidth="1"/>
    <col min="3098" max="3328" width="9.140625" style="968"/>
    <col min="3329" max="3330" width="5.28515625" style="968" customWidth="1"/>
    <col min="3331" max="3331" width="35.7109375" style="968" customWidth="1"/>
    <col min="3332" max="3332" width="7.85546875" style="968" customWidth="1"/>
    <col min="3333" max="3333" width="7" style="968" bestFit="1" customWidth="1"/>
    <col min="3334" max="3334" width="4.7109375" style="968" customWidth="1"/>
    <col min="3335" max="3335" width="5.7109375" style="968" customWidth="1"/>
    <col min="3336" max="3336" width="14.5703125" style="968" customWidth="1"/>
    <col min="3337" max="3337" width="13.85546875" style="968" customWidth="1"/>
    <col min="3338" max="3338" width="15.28515625" style="968" customWidth="1"/>
    <col min="3339" max="3339" width="13.28515625" style="968" customWidth="1"/>
    <col min="3340" max="3340" width="15.28515625" style="968" customWidth="1"/>
    <col min="3341" max="3341" width="13.85546875" style="968" customWidth="1"/>
    <col min="3342" max="3342" width="11.85546875" style="968" customWidth="1"/>
    <col min="3343" max="3343" width="13.42578125" style="968" customWidth="1"/>
    <col min="3344" max="3344" width="11.85546875" style="968" customWidth="1"/>
    <col min="3345" max="3345" width="14.42578125" style="968" customWidth="1"/>
    <col min="3346" max="3346" width="13.7109375" style="968" customWidth="1"/>
    <col min="3347" max="3347" width="10.7109375" style="968" customWidth="1"/>
    <col min="3348" max="3348" width="12.42578125" style="968" bestFit="1" customWidth="1"/>
    <col min="3349" max="3349" width="10.7109375" style="968" bestFit="1" customWidth="1"/>
    <col min="3350" max="3350" width="13.28515625" style="968" customWidth="1"/>
    <col min="3351" max="3351" width="12.7109375" style="968" customWidth="1"/>
    <col min="3352" max="3352" width="16.5703125" style="968" customWidth="1"/>
    <col min="3353" max="3353" width="14.140625" style="968" bestFit="1" customWidth="1"/>
    <col min="3354" max="3584" width="9.140625" style="968"/>
    <col min="3585" max="3586" width="5.28515625" style="968" customWidth="1"/>
    <col min="3587" max="3587" width="35.7109375" style="968" customWidth="1"/>
    <col min="3588" max="3588" width="7.85546875" style="968" customWidth="1"/>
    <col min="3589" max="3589" width="7" style="968" bestFit="1" customWidth="1"/>
    <col min="3590" max="3590" width="4.7109375" style="968" customWidth="1"/>
    <col min="3591" max="3591" width="5.7109375" style="968" customWidth="1"/>
    <col min="3592" max="3592" width="14.5703125" style="968" customWidth="1"/>
    <col min="3593" max="3593" width="13.85546875" style="968" customWidth="1"/>
    <col min="3594" max="3594" width="15.28515625" style="968" customWidth="1"/>
    <col min="3595" max="3595" width="13.28515625" style="968" customWidth="1"/>
    <col min="3596" max="3596" width="15.28515625" style="968" customWidth="1"/>
    <col min="3597" max="3597" width="13.85546875" style="968" customWidth="1"/>
    <col min="3598" max="3598" width="11.85546875" style="968" customWidth="1"/>
    <col min="3599" max="3599" width="13.42578125" style="968" customWidth="1"/>
    <col min="3600" max="3600" width="11.85546875" style="968" customWidth="1"/>
    <col min="3601" max="3601" width="14.42578125" style="968" customWidth="1"/>
    <col min="3602" max="3602" width="13.7109375" style="968" customWidth="1"/>
    <col min="3603" max="3603" width="10.7109375" style="968" customWidth="1"/>
    <col min="3604" max="3604" width="12.42578125" style="968" bestFit="1" customWidth="1"/>
    <col min="3605" max="3605" width="10.7109375" style="968" bestFit="1" customWidth="1"/>
    <col min="3606" max="3606" width="13.28515625" style="968" customWidth="1"/>
    <col min="3607" max="3607" width="12.7109375" style="968" customWidth="1"/>
    <col min="3608" max="3608" width="16.5703125" style="968" customWidth="1"/>
    <col min="3609" max="3609" width="14.140625" style="968" bestFit="1" customWidth="1"/>
    <col min="3610" max="3840" width="9.140625" style="968"/>
    <col min="3841" max="3842" width="5.28515625" style="968" customWidth="1"/>
    <col min="3843" max="3843" width="35.7109375" style="968" customWidth="1"/>
    <col min="3844" max="3844" width="7.85546875" style="968" customWidth="1"/>
    <col min="3845" max="3845" width="7" style="968" bestFit="1" customWidth="1"/>
    <col min="3846" max="3846" width="4.7109375" style="968" customWidth="1"/>
    <col min="3847" max="3847" width="5.7109375" style="968" customWidth="1"/>
    <col min="3848" max="3848" width="14.5703125" style="968" customWidth="1"/>
    <col min="3849" max="3849" width="13.85546875" style="968" customWidth="1"/>
    <col min="3850" max="3850" width="15.28515625" style="968" customWidth="1"/>
    <col min="3851" max="3851" width="13.28515625" style="968" customWidth="1"/>
    <col min="3852" max="3852" width="15.28515625" style="968" customWidth="1"/>
    <col min="3853" max="3853" width="13.85546875" style="968" customWidth="1"/>
    <col min="3854" max="3854" width="11.85546875" style="968" customWidth="1"/>
    <col min="3855" max="3855" width="13.42578125" style="968" customWidth="1"/>
    <col min="3856" max="3856" width="11.85546875" style="968" customWidth="1"/>
    <col min="3857" max="3857" width="14.42578125" style="968" customWidth="1"/>
    <col min="3858" max="3858" width="13.7109375" style="968" customWidth="1"/>
    <col min="3859" max="3859" width="10.7109375" style="968" customWidth="1"/>
    <col min="3860" max="3860" width="12.42578125" style="968" bestFit="1" customWidth="1"/>
    <col min="3861" max="3861" width="10.7109375" style="968" bestFit="1" customWidth="1"/>
    <col min="3862" max="3862" width="13.28515625" style="968" customWidth="1"/>
    <col min="3863" max="3863" width="12.7109375" style="968" customWidth="1"/>
    <col min="3864" max="3864" width="16.5703125" style="968" customWidth="1"/>
    <col min="3865" max="3865" width="14.140625" style="968" bestFit="1" customWidth="1"/>
    <col min="3866" max="4096" width="9.140625" style="968"/>
    <col min="4097" max="4098" width="5.28515625" style="968" customWidth="1"/>
    <col min="4099" max="4099" width="35.7109375" style="968" customWidth="1"/>
    <col min="4100" max="4100" width="7.85546875" style="968" customWidth="1"/>
    <col min="4101" max="4101" width="7" style="968" bestFit="1" customWidth="1"/>
    <col min="4102" max="4102" width="4.7109375" style="968" customWidth="1"/>
    <col min="4103" max="4103" width="5.7109375" style="968" customWidth="1"/>
    <col min="4104" max="4104" width="14.5703125" style="968" customWidth="1"/>
    <col min="4105" max="4105" width="13.85546875" style="968" customWidth="1"/>
    <col min="4106" max="4106" width="15.28515625" style="968" customWidth="1"/>
    <col min="4107" max="4107" width="13.28515625" style="968" customWidth="1"/>
    <col min="4108" max="4108" width="15.28515625" style="968" customWidth="1"/>
    <col min="4109" max="4109" width="13.85546875" style="968" customWidth="1"/>
    <col min="4110" max="4110" width="11.85546875" style="968" customWidth="1"/>
    <col min="4111" max="4111" width="13.42578125" style="968" customWidth="1"/>
    <col min="4112" max="4112" width="11.85546875" style="968" customWidth="1"/>
    <col min="4113" max="4113" width="14.42578125" style="968" customWidth="1"/>
    <col min="4114" max="4114" width="13.7109375" style="968" customWidth="1"/>
    <col min="4115" max="4115" width="10.7109375" style="968" customWidth="1"/>
    <col min="4116" max="4116" width="12.42578125" style="968" bestFit="1" customWidth="1"/>
    <col min="4117" max="4117" width="10.7109375" style="968" bestFit="1" customWidth="1"/>
    <col min="4118" max="4118" width="13.28515625" style="968" customWidth="1"/>
    <col min="4119" max="4119" width="12.7109375" style="968" customWidth="1"/>
    <col min="4120" max="4120" width="16.5703125" style="968" customWidth="1"/>
    <col min="4121" max="4121" width="14.140625" style="968" bestFit="1" customWidth="1"/>
    <col min="4122" max="4352" width="9.140625" style="968"/>
    <col min="4353" max="4354" width="5.28515625" style="968" customWidth="1"/>
    <col min="4355" max="4355" width="35.7109375" style="968" customWidth="1"/>
    <col min="4356" max="4356" width="7.85546875" style="968" customWidth="1"/>
    <col min="4357" max="4357" width="7" style="968" bestFit="1" customWidth="1"/>
    <col min="4358" max="4358" width="4.7109375" style="968" customWidth="1"/>
    <col min="4359" max="4359" width="5.7109375" style="968" customWidth="1"/>
    <col min="4360" max="4360" width="14.5703125" style="968" customWidth="1"/>
    <col min="4361" max="4361" width="13.85546875" style="968" customWidth="1"/>
    <col min="4362" max="4362" width="15.28515625" style="968" customWidth="1"/>
    <col min="4363" max="4363" width="13.28515625" style="968" customWidth="1"/>
    <col min="4364" max="4364" width="15.28515625" style="968" customWidth="1"/>
    <col min="4365" max="4365" width="13.85546875" style="968" customWidth="1"/>
    <col min="4366" max="4366" width="11.85546875" style="968" customWidth="1"/>
    <col min="4367" max="4367" width="13.42578125" style="968" customWidth="1"/>
    <col min="4368" max="4368" width="11.85546875" style="968" customWidth="1"/>
    <col min="4369" max="4369" width="14.42578125" style="968" customWidth="1"/>
    <col min="4370" max="4370" width="13.7109375" style="968" customWidth="1"/>
    <col min="4371" max="4371" width="10.7109375" style="968" customWidth="1"/>
    <col min="4372" max="4372" width="12.42578125" style="968" bestFit="1" customWidth="1"/>
    <col min="4373" max="4373" width="10.7109375" style="968" bestFit="1" customWidth="1"/>
    <col min="4374" max="4374" width="13.28515625" style="968" customWidth="1"/>
    <col min="4375" max="4375" width="12.7109375" style="968" customWidth="1"/>
    <col min="4376" max="4376" width="16.5703125" style="968" customWidth="1"/>
    <col min="4377" max="4377" width="14.140625" style="968" bestFit="1" customWidth="1"/>
    <col min="4378" max="4608" width="9.140625" style="968"/>
    <col min="4609" max="4610" width="5.28515625" style="968" customWidth="1"/>
    <col min="4611" max="4611" width="35.7109375" style="968" customWidth="1"/>
    <col min="4612" max="4612" width="7.85546875" style="968" customWidth="1"/>
    <col min="4613" max="4613" width="7" style="968" bestFit="1" customWidth="1"/>
    <col min="4614" max="4614" width="4.7109375" style="968" customWidth="1"/>
    <col min="4615" max="4615" width="5.7109375" style="968" customWidth="1"/>
    <col min="4616" max="4616" width="14.5703125" style="968" customWidth="1"/>
    <col min="4617" max="4617" width="13.85546875" style="968" customWidth="1"/>
    <col min="4618" max="4618" width="15.28515625" style="968" customWidth="1"/>
    <col min="4619" max="4619" width="13.28515625" style="968" customWidth="1"/>
    <col min="4620" max="4620" width="15.28515625" style="968" customWidth="1"/>
    <col min="4621" max="4621" width="13.85546875" style="968" customWidth="1"/>
    <col min="4622" max="4622" width="11.85546875" style="968" customWidth="1"/>
    <col min="4623" max="4623" width="13.42578125" style="968" customWidth="1"/>
    <col min="4624" max="4624" width="11.85546875" style="968" customWidth="1"/>
    <col min="4625" max="4625" width="14.42578125" style="968" customWidth="1"/>
    <col min="4626" max="4626" width="13.7109375" style="968" customWidth="1"/>
    <col min="4627" max="4627" width="10.7109375" style="968" customWidth="1"/>
    <col min="4628" max="4628" width="12.42578125" style="968" bestFit="1" customWidth="1"/>
    <col min="4629" max="4629" width="10.7109375" style="968" bestFit="1" customWidth="1"/>
    <col min="4630" max="4630" width="13.28515625" style="968" customWidth="1"/>
    <col min="4631" max="4631" width="12.7109375" style="968" customWidth="1"/>
    <col min="4632" max="4632" width="16.5703125" style="968" customWidth="1"/>
    <col min="4633" max="4633" width="14.140625" style="968" bestFit="1" customWidth="1"/>
    <col min="4634" max="4864" width="9.140625" style="968"/>
    <col min="4865" max="4866" width="5.28515625" style="968" customWidth="1"/>
    <col min="4867" max="4867" width="35.7109375" style="968" customWidth="1"/>
    <col min="4868" max="4868" width="7.85546875" style="968" customWidth="1"/>
    <col min="4869" max="4869" width="7" style="968" bestFit="1" customWidth="1"/>
    <col min="4870" max="4870" width="4.7109375" style="968" customWidth="1"/>
    <col min="4871" max="4871" width="5.7109375" style="968" customWidth="1"/>
    <col min="4872" max="4872" width="14.5703125" style="968" customWidth="1"/>
    <col min="4873" max="4873" width="13.85546875" style="968" customWidth="1"/>
    <col min="4874" max="4874" width="15.28515625" style="968" customWidth="1"/>
    <col min="4875" max="4875" width="13.28515625" style="968" customWidth="1"/>
    <col min="4876" max="4876" width="15.28515625" style="968" customWidth="1"/>
    <col min="4877" max="4877" width="13.85546875" style="968" customWidth="1"/>
    <col min="4878" max="4878" width="11.85546875" style="968" customWidth="1"/>
    <col min="4879" max="4879" width="13.42578125" style="968" customWidth="1"/>
    <col min="4880" max="4880" width="11.85546875" style="968" customWidth="1"/>
    <col min="4881" max="4881" width="14.42578125" style="968" customWidth="1"/>
    <col min="4882" max="4882" width="13.7109375" style="968" customWidth="1"/>
    <col min="4883" max="4883" width="10.7109375" style="968" customWidth="1"/>
    <col min="4884" max="4884" width="12.42578125" style="968" bestFit="1" customWidth="1"/>
    <col min="4885" max="4885" width="10.7109375" style="968" bestFit="1" customWidth="1"/>
    <col min="4886" max="4886" width="13.28515625" style="968" customWidth="1"/>
    <col min="4887" max="4887" width="12.7109375" style="968" customWidth="1"/>
    <col min="4888" max="4888" width="16.5703125" style="968" customWidth="1"/>
    <col min="4889" max="4889" width="14.140625" style="968" bestFit="1" customWidth="1"/>
    <col min="4890" max="5120" width="9.140625" style="968"/>
    <col min="5121" max="5122" width="5.28515625" style="968" customWidth="1"/>
    <col min="5123" max="5123" width="35.7109375" style="968" customWidth="1"/>
    <col min="5124" max="5124" width="7.85546875" style="968" customWidth="1"/>
    <col min="5125" max="5125" width="7" style="968" bestFit="1" customWidth="1"/>
    <col min="5126" max="5126" width="4.7109375" style="968" customWidth="1"/>
    <col min="5127" max="5127" width="5.7109375" style="968" customWidth="1"/>
    <col min="5128" max="5128" width="14.5703125" style="968" customWidth="1"/>
    <col min="5129" max="5129" width="13.85546875" style="968" customWidth="1"/>
    <col min="5130" max="5130" width="15.28515625" style="968" customWidth="1"/>
    <col min="5131" max="5131" width="13.28515625" style="968" customWidth="1"/>
    <col min="5132" max="5132" width="15.28515625" style="968" customWidth="1"/>
    <col min="5133" max="5133" width="13.85546875" style="968" customWidth="1"/>
    <col min="5134" max="5134" width="11.85546875" style="968" customWidth="1"/>
    <col min="5135" max="5135" width="13.42578125" style="968" customWidth="1"/>
    <col min="5136" max="5136" width="11.85546875" style="968" customWidth="1"/>
    <col min="5137" max="5137" width="14.42578125" style="968" customWidth="1"/>
    <col min="5138" max="5138" width="13.7109375" style="968" customWidth="1"/>
    <col min="5139" max="5139" width="10.7109375" style="968" customWidth="1"/>
    <col min="5140" max="5140" width="12.42578125" style="968" bestFit="1" customWidth="1"/>
    <col min="5141" max="5141" width="10.7109375" style="968" bestFit="1" customWidth="1"/>
    <col min="5142" max="5142" width="13.28515625" style="968" customWidth="1"/>
    <col min="5143" max="5143" width="12.7109375" style="968" customWidth="1"/>
    <col min="5144" max="5144" width="16.5703125" style="968" customWidth="1"/>
    <col min="5145" max="5145" width="14.140625" style="968" bestFit="1" customWidth="1"/>
    <col min="5146" max="5376" width="9.140625" style="968"/>
    <col min="5377" max="5378" width="5.28515625" style="968" customWidth="1"/>
    <col min="5379" max="5379" width="35.7109375" style="968" customWidth="1"/>
    <col min="5380" max="5380" width="7.85546875" style="968" customWidth="1"/>
    <col min="5381" max="5381" width="7" style="968" bestFit="1" customWidth="1"/>
    <col min="5382" max="5382" width="4.7109375" style="968" customWidth="1"/>
    <col min="5383" max="5383" width="5.7109375" style="968" customWidth="1"/>
    <col min="5384" max="5384" width="14.5703125" style="968" customWidth="1"/>
    <col min="5385" max="5385" width="13.85546875" style="968" customWidth="1"/>
    <col min="5386" max="5386" width="15.28515625" style="968" customWidth="1"/>
    <col min="5387" max="5387" width="13.28515625" style="968" customWidth="1"/>
    <col min="5388" max="5388" width="15.28515625" style="968" customWidth="1"/>
    <col min="5389" max="5389" width="13.85546875" style="968" customWidth="1"/>
    <col min="5390" max="5390" width="11.85546875" style="968" customWidth="1"/>
    <col min="5391" max="5391" width="13.42578125" style="968" customWidth="1"/>
    <col min="5392" max="5392" width="11.85546875" style="968" customWidth="1"/>
    <col min="5393" max="5393" width="14.42578125" style="968" customWidth="1"/>
    <col min="5394" max="5394" width="13.7109375" style="968" customWidth="1"/>
    <col min="5395" max="5395" width="10.7109375" style="968" customWidth="1"/>
    <col min="5396" max="5396" width="12.42578125" style="968" bestFit="1" customWidth="1"/>
    <col min="5397" max="5397" width="10.7109375" style="968" bestFit="1" customWidth="1"/>
    <col min="5398" max="5398" width="13.28515625" style="968" customWidth="1"/>
    <col min="5399" max="5399" width="12.7109375" style="968" customWidth="1"/>
    <col min="5400" max="5400" width="16.5703125" style="968" customWidth="1"/>
    <col min="5401" max="5401" width="14.140625" style="968" bestFit="1" customWidth="1"/>
    <col min="5402" max="5632" width="9.140625" style="968"/>
    <col min="5633" max="5634" width="5.28515625" style="968" customWidth="1"/>
    <col min="5635" max="5635" width="35.7109375" style="968" customWidth="1"/>
    <col min="5636" max="5636" width="7.85546875" style="968" customWidth="1"/>
    <col min="5637" max="5637" width="7" style="968" bestFit="1" customWidth="1"/>
    <col min="5638" max="5638" width="4.7109375" style="968" customWidth="1"/>
    <col min="5639" max="5639" width="5.7109375" style="968" customWidth="1"/>
    <col min="5640" max="5640" width="14.5703125" style="968" customWidth="1"/>
    <col min="5641" max="5641" width="13.85546875" style="968" customWidth="1"/>
    <col min="5642" max="5642" width="15.28515625" style="968" customWidth="1"/>
    <col min="5643" max="5643" width="13.28515625" style="968" customWidth="1"/>
    <col min="5644" max="5644" width="15.28515625" style="968" customWidth="1"/>
    <col min="5645" max="5645" width="13.85546875" style="968" customWidth="1"/>
    <col min="5646" max="5646" width="11.85546875" style="968" customWidth="1"/>
    <col min="5647" max="5647" width="13.42578125" style="968" customWidth="1"/>
    <col min="5648" max="5648" width="11.85546875" style="968" customWidth="1"/>
    <col min="5649" max="5649" width="14.42578125" style="968" customWidth="1"/>
    <col min="5650" max="5650" width="13.7109375" style="968" customWidth="1"/>
    <col min="5651" max="5651" width="10.7109375" style="968" customWidth="1"/>
    <col min="5652" max="5652" width="12.42578125" style="968" bestFit="1" customWidth="1"/>
    <col min="5653" max="5653" width="10.7109375" style="968" bestFit="1" customWidth="1"/>
    <col min="5654" max="5654" width="13.28515625" style="968" customWidth="1"/>
    <col min="5655" max="5655" width="12.7109375" style="968" customWidth="1"/>
    <col min="5656" max="5656" width="16.5703125" style="968" customWidth="1"/>
    <col min="5657" max="5657" width="14.140625" style="968" bestFit="1" customWidth="1"/>
    <col min="5658" max="5888" width="9.140625" style="968"/>
    <col min="5889" max="5890" width="5.28515625" style="968" customWidth="1"/>
    <col min="5891" max="5891" width="35.7109375" style="968" customWidth="1"/>
    <col min="5892" max="5892" width="7.85546875" style="968" customWidth="1"/>
    <col min="5893" max="5893" width="7" style="968" bestFit="1" customWidth="1"/>
    <col min="5894" max="5894" width="4.7109375" style="968" customWidth="1"/>
    <col min="5895" max="5895" width="5.7109375" style="968" customWidth="1"/>
    <col min="5896" max="5896" width="14.5703125" style="968" customWidth="1"/>
    <col min="5897" max="5897" width="13.85546875" style="968" customWidth="1"/>
    <col min="5898" max="5898" width="15.28515625" style="968" customWidth="1"/>
    <col min="5899" max="5899" width="13.28515625" style="968" customWidth="1"/>
    <col min="5900" max="5900" width="15.28515625" style="968" customWidth="1"/>
    <col min="5901" max="5901" width="13.85546875" style="968" customWidth="1"/>
    <col min="5902" max="5902" width="11.85546875" style="968" customWidth="1"/>
    <col min="5903" max="5903" width="13.42578125" style="968" customWidth="1"/>
    <col min="5904" max="5904" width="11.85546875" style="968" customWidth="1"/>
    <col min="5905" max="5905" width="14.42578125" style="968" customWidth="1"/>
    <col min="5906" max="5906" width="13.7109375" style="968" customWidth="1"/>
    <col min="5907" max="5907" width="10.7109375" style="968" customWidth="1"/>
    <col min="5908" max="5908" width="12.42578125" style="968" bestFit="1" customWidth="1"/>
    <col min="5909" max="5909" width="10.7109375" style="968" bestFit="1" customWidth="1"/>
    <col min="5910" max="5910" width="13.28515625" style="968" customWidth="1"/>
    <col min="5911" max="5911" width="12.7109375" style="968" customWidth="1"/>
    <col min="5912" max="5912" width="16.5703125" style="968" customWidth="1"/>
    <col min="5913" max="5913" width="14.140625" style="968" bestFit="1" customWidth="1"/>
    <col min="5914" max="6144" width="9.140625" style="968"/>
    <col min="6145" max="6146" width="5.28515625" style="968" customWidth="1"/>
    <col min="6147" max="6147" width="35.7109375" style="968" customWidth="1"/>
    <col min="6148" max="6148" width="7.85546875" style="968" customWidth="1"/>
    <col min="6149" max="6149" width="7" style="968" bestFit="1" customWidth="1"/>
    <col min="6150" max="6150" width="4.7109375" style="968" customWidth="1"/>
    <col min="6151" max="6151" width="5.7109375" style="968" customWidth="1"/>
    <col min="6152" max="6152" width="14.5703125" style="968" customWidth="1"/>
    <col min="6153" max="6153" width="13.85546875" style="968" customWidth="1"/>
    <col min="6154" max="6154" width="15.28515625" style="968" customWidth="1"/>
    <col min="6155" max="6155" width="13.28515625" style="968" customWidth="1"/>
    <col min="6156" max="6156" width="15.28515625" style="968" customWidth="1"/>
    <col min="6157" max="6157" width="13.85546875" style="968" customWidth="1"/>
    <col min="6158" max="6158" width="11.85546875" style="968" customWidth="1"/>
    <col min="6159" max="6159" width="13.42578125" style="968" customWidth="1"/>
    <col min="6160" max="6160" width="11.85546875" style="968" customWidth="1"/>
    <col min="6161" max="6161" width="14.42578125" style="968" customWidth="1"/>
    <col min="6162" max="6162" width="13.7109375" style="968" customWidth="1"/>
    <col min="6163" max="6163" width="10.7109375" style="968" customWidth="1"/>
    <col min="6164" max="6164" width="12.42578125" style="968" bestFit="1" customWidth="1"/>
    <col min="6165" max="6165" width="10.7109375" style="968" bestFit="1" customWidth="1"/>
    <col min="6166" max="6166" width="13.28515625" style="968" customWidth="1"/>
    <col min="6167" max="6167" width="12.7109375" style="968" customWidth="1"/>
    <col min="6168" max="6168" width="16.5703125" style="968" customWidth="1"/>
    <col min="6169" max="6169" width="14.140625" style="968" bestFit="1" customWidth="1"/>
    <col min="6170" max="6400" width="9.140625" style="968"/>
    <col min="6401" max="6402" width="5.28515625" style="968" customWidth="1"/>
    <col min="6403" max="6403" width="35.7109375" style="968" customWidth="1"/>
    <col min="6404" max="6404" width="7.85546875" style="968" customWidth="1"/>
    <col min="6405" max="6405" width="7" style="968" bestFit="1" customWidth="1"/>
    <col min="6406" max="6406" width="4.7109375" style="968" customWidth="1"/>
    <col min="6407" max="6407" width="5.7109375" style="968" customWidth="1"/>
    <col min="6408" max="6408" width="14.5703125" style="968" customWidth="1"/>
    <col min="6409" max="6409" width="13.85546875" style="968" customWidth="1"/>
    <col min="6410" max="6410" width="15.28515625" style="968" customWidth="1"/>
    <col min="6411" max="6411" width="13.28515625" style="968" customWidth="1"/>
    <col min="6412" max="6412" width="15.28515625" style="968" customWidth="1"/>
    <col min="6413" max="6413" width="13.85546875" style="968" customWidth="1"/>
    <col min="6414" max="6414" width="11.85546875" style="968" customWidth="1"/>
    <col min="6415" max="6415" width="13.42578125" style="968" customWidth="1"/>
    <col min="6416" max="6416" width="11.85546875" style="968" customWidth="1"/>
    <col min="6417" max="6417" width="14.42578125" style="968" customWidth="1"/>
    <col min="6418" max="6418" width="13.7109375" style="968" customWidth="1"/>
    <col min="6419" max="6419" width="10.7109375" style="968" customWidth="1"/>
    <col min="6420" max="6420" width="12.42578125" style="968" bestFit="1" customWidth="1"/>
    <col min="6421" max="6421" width="10.7109375" style="968" bestFit="1" customWidth="1"/>
    <col min="6422" max="6422" width="13.28515625" style="968" customWidth="1"/>
    <col min="6423" max="6423" width="12.7109375" style="968" customWidth="1"/>
    <col min="6424" max="6424" width="16.5703125" style="968" customWidth="1"/>
    <col min="6425" max="6425" width="14.140625" style="968" bestFit="1" customWidth="1"/>
    <col min="6426" max="6656" width="9.140625" style="968"/>
    <col min="6657" max="6658" width="5.28515625" style="968" customWidth="1"/>
    <col min="6659" max="6659" width="35.7109375" style="968" customWidth="1"/>
    <col min="6660" max="6660" width="7.85546875" style="968" customWidth="1"/>
    <col min="6661" max="6661" width="7" style="968" bestFit="1" customWidth="1"/>
    <col min="6662" max="6662" width="4.7109375" style="968" customWidth="1"/>
    <col min="6663" max="6663" width="5.7109375" style="968" customWidth="1"/>
    <col min="6664" max="6664" width="14.5703125" style="968" customWidth="1"/>
    <col min="6665" max="6665" width="13.85546875" style="968" customWidth="1"/>
    <col min="6666" max="6666" width="15.28515625" style="968" customWidth="1"/>
    <col min="6667" max="6667" width="13.28515625" style="968" customWidth="1"/>
    <col min="6668" max="6668" width="15.28515625" style="968" customWidth="1"/>
    <col min="6669" max="6669" width="13.85546875" style="968" customWidth="1"/>
    <col min="6670" max="6670" width="11.85546875" style="968" customWidth="1"/>
    <col min="6671" max="6671" width="13.42578125" style="968" customWidth="1"/>
    <col min="6672" max="6672" width="11.85546875" style="968" customWidth="1"/>
    <col min="6673" max="6673" width="14.42578125" style="968" customWidth="1"/>
    <col min="6674" max="6674" width="13.7109375" style="968" customWidth="1"/>
    <col min="6675" max="6675" width="10.7109375" style="968" customWidth="1"/>
    <col min="6676" max="6676" width="12.42578125" style="968" bestFit="1" customWidth="1"/>
    <col min="6677" max="6677" width="10.7109375" style="968" bestFit="1" customWidth="1"/>
    <col min="6678" max="6678" width="13.28515625" style="968" customWidth="1"/>
    <col min="6679" max="6679" width="12.7109375" style="968" customWidth="1"/>
    <col min="6680" max="6680" width="16.5703125" style="968" customWidth="1"/>
    <col min="6681" max="6681" width="14.140625" style="968" bestFit="1" customWidth="1"/>
    <col min="6682" max="6912" width="9.140625" style="968"/>
    <col min="6913" max="6914" width="5.28515625" style="968" customWidth="1"/>
    <col min="6915" max="6915" width="35.7109375" style="968" customWidth="1"/>
    <col min="6916" max="6916" width="7.85546875" style="968" customWidth="1"/>
    <col min="6917" max="6917" width="7" style="968" bestFit="1" customWidth="1"/>
    <col min="6918" max="6918" width="4.7109375" style="968" customWidth="1"/>
    <col min="6919" max="6919" width="5.7109375" style="968" customWidth="1"/>
    <col min="6920" max="6920" width="14.5703125" style="968" customWidth="1"/>
    <col min="6921" max="6921" width="13.85546875" style="968" customWidth="1"/>
    <col min="6922" max="6922" width="15.28515625" style="968" customWidth="1"/>
    <col min="6923" max="6923" width="13.28515625" style="968" customWidth="1"/>
    <col min="6924" max="6924" width="15.28515625" style="968" customWidth="1"/>
    <col min="6925" max="6925" width="13.85546875" style="968" customWidth="1"/>
    <col min="6926" max="6926" width="11.85546875" style="968" customWidth="1"/>
    <col min="6927" max="6927" width="13.42578125" style="968" customWidth="1"/>
    <col min="6928" max="6928" width="11.85546875" style="968" customWidth="1"/>
    <col min="6929" max="6929" width="14.42578125" style="968" customWidth="1"/>
    <col min="6930" max="6930" width="13.7109375" style="968" customWidth="1"/>
    <col min="6931" max="6931" width="10.7109375" style="968" customWidth="1"/>
    <col min="6932" max="6932" width="12.42578125" style="968" bestFit="1" customWidth="1"/>
    <col min="6933" max="6933" width="10.7109375" style="968" bestFit="1" customWidth="1"/>
    <col min="6934" max="6934" width="13.28515625" style="968" customWidth="1"/>
    <col min="6935" max="6935" width="12.7109375" style="968" customWidth="1"/>
    <col min="6936" max="6936" width="16.5703125" style="968" customWidth="1"/>
    <col min="6937" max="6937" width="14.140625" style="968" bestFit="1" customWidth="1"/>
    <col min="6938" max="7168" width="9.140625" style="968"/>
    <col min="7169" max="7170" width="5.28515625" style="968" customWidth="1"/>
    <col min="7171" max="7171" width="35.7109375" style="968" customWidth="1"/>
    <col min="7172" max="7172" width="7.85546875" style="968" customWidth="1"/>
    <col min="7173" max="7173" width="7" style="968" bestFit="1" customWidth="1"/>
    <col min="7174" max="7174" width="4.7109375" style="968" customWidth="1"/>
    <col min="7175" max="7175" width="5.7109375" style="968" customWidth="1"/>
    <col min="7176" max="7176" width="14.5703125" style="968" customWidth="1"/>
    <col min="7177" max="7177" width="13.85546875" style="968" customWidth="1"/>
    <col min="7178" max="7178" width="15.28515625" style="968" customWidth="1"/>
    <col min="7179" max="7179" width="13.28515625" style="968" customWidth="1"/>
    <col min="7180" max="7180" width="15.28515625" style="968" customWidth="1"/>
    <col min="7181" max="7181" width="13.85546875" style="968" customWidth="1"/>
    <col min="7182" max="7182" width="11.85546875" style="968" customWidth="1"/>
    <col min="7183" max="7183" width="13.42578125" style="968" customWidth="1"/>
    <col min="7184" max="7184" width="11.85546875" style="968" customWidth="1"/>
    <col min="7185" max="7185" width="14.42578125" style="968" customWidth="1"/>
    <col min="7186" max="7186" width="13.7109375" style="968" customWidth="1"/>
    <col min="7187" max="7187" width="10.7109375" style="968" customWidth="1"/>
    <col min="7188" max="7188" width="12.42578125" style="968" bestFit="1" customWidth="1"/>
    <col min="7189" max="7189" width="10.7109375" style="968" bestFit="1" customWidth="1"/>
    <col min="7190" max="7190" width="13.28515625" style="968" customWidth="1"/>
    <col min="7191" max="7191" width="12.7109375" style="968" customWidth="1"/>
    <col min="7192" max="7192" width="16.5703125" style="968" customWidth="1"/>
    <col min="7193" max="7193" width="14.140625" style="968" bestFit="1" customWidth="1"/>
    <col min="7194" max="7424" width="9.140625" style="968"/>
    <col min="7425" max="7426" width="5.28515625" style="968" customWidth="1"/>
    <col min="7427" max="7427" width="35.7109375" style="968" customWidth="1"/>
    <col min="7428" max="7428" width="7.85546875" style="968" customWidth="1"/>
    <col min="7429" max="7429" width="7" style="968" bestFit="1" customWidth="1"/>
    <col min="7430" max="7430" width="4.7109375" style="968" customWidth="1"/>
    <col min="7431" max="7431" width="5.7109375" style="968" customWidth="1"/>
    <col min="7432" max="7432" width="14.5703125" style="968" customWidth="1"/>
    <col min="7433" max="7433" width="13.85546875" style="968" customWidth="1"/>
    <col min="7434" max="7434" width="15.28515625" style="968" customWidth="1"/>
    <col min="7435" max="7435" width="13.28515625" style="968" customWidth="1"/>
    <col min="7436" max="7436" width="15.28515625" style="968" customWidth="1"/>
    <col min="7437" max="7437" width="13.85546875" style="968" customWidth="1"/>
    <col min="7438" max="7438" width="11.85546875" style="968" customWidth="1"/>
    <col min="7439" max="7439" width="13.42578125" style="968" customWidth="1"/>
    <col min="7440" max="7440" width="11.85546875" style="968" customWidth="1"/>
    <col min="7441" max="7441" width="14.42578125" style="968" customWidth="1"/>
    <col min="7442" max="7442" width="13.7109375" style="968" customWidth="1"/>
    <col min="7443" max="7443" width="10.7109375" style="968" customWidth="1"/>
    <col min="7444" max="7444" width="12.42578125" style="968" bestFit="1" customWidth="1"/>
    <col min="7445" max="7445" width="10.7109375" style="968" bestFit="1" customWidth="1"/>
    <col min="7446" max="7446" width="13.28515625" style="968" customWidth="1"/>
    <col min="7447" max="7447" width="12.7109375" style="968" customWidth="1"/>
    <col min="7448" max="7448" width="16.5703125" style="968" customWidth="1"/>
    <col min="7449" max="7449" width="14.140625" style="968" bestFit="1" customWidth="1"/>
    <col min="7450" max="7680" width="9.140625" style="968"/>
    <col min="7681" max="7682" width="5.28515625" style="968" customWidth="1"/>
    <col min="7683" max="7683" width="35.7109375" style="968" customWidth="1"/>
    <col min="7684" max="7684" width="7.85546875" style="968" customWidth="1"/>
    <col min="7685" max="7685" width="7" style="968" bestFit="1" customWidth="1"/>
    <col min="7686" max="7686" width="4.7109375" style="968" customWidth="1"/>
    <col min="7687" max="7687" width="5.7109375" style="968" customWidth="1"/>
    <col min="7688" max="7688" width="14.5703125" style="968" customWidth="1"/>
    <col min="7689" max="7689" width="13.85546875" style="968" customWidth="1"/>
    <col min="7690" max="7690" width="15.28515625" style="968" customWidth="1"/>
    <col min="7691" max="7691" width="13.28515625" style="968" customWidth="1"/>
    <col min="7692" max="7692" width="15.28515625" style="968" customWidth="1"/>
    <col min="7693" max="7693" width="13.85546875" style="968" customWidth="1"/>
    <col min="7694" max="7694" width="11.85546875" style="968" customWidth="1"/>
    <col min="7695" max="7695" width="13.42578125" style="968" customWidth="1"/>
    <col min="7696" max="7696" width="11.85546875" style="968" customWidth="1"/>
    <col min="7697" max="7697" width="14.42578125" style="968" customWidth="1"/>
    <col min="7698" max="7698" width="13.7109375" style="968" customWidth="1"/>
    <col min="7699" max="7699" width="10.7109375" style="968" customWidth="1"/>
    <col min="7700" max="7700" width="12.42578125" style="968" bestFit="1" customWidth="1"/>
    <col min="7701" max="7701" width="10.7109375" style="968" bestFit="1" customWidth="1"/>
    <col min="7702" max="7702" width="13.28515625" style="968" customWidth="1"/>
    <col min="7703" max="7703" width="12.7109375" style="968" customWidth="1"/>
    <col min="7704" max="7704" width="16.5703125" style="968" customWidth="1"/>
    <col min="7705" max="7705" width="14.140625" style="968" bestFit="1" customWidth="1"/>
    <col min="7706" max="7936" width="9.140625" style="968"/>
    <col min="7937" max="7938" width="5.28515625" style="968" customWidth="1"/>
    <col min="7939" max="7939" width="35.7109375" style="968" customWidth="1"/>
    <col min="7940" max="7940" width="7.85546875" style="968" customWidth="1"/>
    <col min="7941" max="7941" width="7" style="968" bestFit="1" customWidth="1"/>
    <col min="7942" max="7942" width="4.7109375" style="968" customWidth="1"/>
    <col min="7943" max="7943" width="5.7109375" style="968" customWidth="1"/>
    <col min="7944" max="7944" width="14.5703125" style="968" customWidth="1"/>
    <col min="7945" max="7945" width="13.85546875" style="968" customWidth="1"/>
    <col min="7946" max="7946" width="15.28515625" style="968" customWidth="1"/>
    <col min="7947" max="7947" width="13.28515625" style="968" customWidth="1"/>
    <col min="7948" max="7948" width="15.28515625" style="968" customWidth="1"/>
    <col min="7949" max="7949" width="13.85546875" style="968" customWidth="1"/>
    <col min="7950" max="7950" width="11.85546875" style="968" customWidth="1"/>
    <col min="7951" max="7951" width="13.42578125" style="968" customWidth="1"/>
    <col min="7952" max="7952" width="11.85546875" style="968" customWidth="1"/>
    <col min="7953" max="7953" width="14.42578125" style="968" customWidth="1"/>
    <col min="7954" max="7954" width="13.7109375" style="968" customWidth="1"/>
    <col min="7955" max="7955" width="10.7109375" style="968" customWidth="1"/>
    <col min="7956" max="7956" width="12.42578125" style="968" bestFit="1" customWidth="1"/>
    <col min="7957" max="7957" width="10.7109375" style="968" bestFit="1" customWidth="1"/>
    <col min="7958" max="7958" width="13.28515625" style="968" customWidth="1"/>
    <col min="7959" max="7959" width="12.7109375" style="968" customWidth="1"/>
    <col min="7960" max="7960" width="16.5703125" style="968" customWidth="1"/>
    <col min="7961" max="7961" width="14.140625" style="968" bestFit="1" customWidth="1"/>
    <col min="7962" max="8192" width="9.140625" style="968"/>
    <col min="8193" max="8194" width="5.28515625" style="968" customWidth="1"/>
    <col min="8195" max="8195" width="35.7109375" style="968" customWidth="1"/>
    <col min="8196" max="8196" width="7.85546875" style="968" customWidth="1"/>
    <col min="8197" max="8197" width="7" style="968" bestFit="1" customWidth="1"/>
    <col min="8198" max="8198" width="4.7109375" style="968" customWidth="1"/>
    <col min="8199" max="8199" width="5.7109375" style="968" customWidth="1"/>
    <col min="8200" max="8200" width="14.5703125" style="968" customWidth="1"/>
    <col min="8201" max="8201" width="13.85546875" style="968" customWidth="1"/>
    <col min="8202" max="8202" width="15.28515625" style="968" customWidth="1"/>
    <col min="8203" max="8203" width="13.28515625" style="968" customWidth="1"/>
    <col min="8204" max="8204" width="15.28515625" style="968" customWidth="1"/>
    <col min="8205" max="8205" width="13.85546875" style="968" customWidth="1"/>
    <col min="8206" max="8206" width="11.85546875" style="968" customWidth="1"/>
    <col min="8207" max="8207" width="13.42578125" style="968" customWidth="1"/>
    <col min="8208" max="8208" width="11.85546875" style="968" customWidth="1"/>
    <col min="8209" max="8209" width="14.42578125" style="968" customWidth="1"/>
    <col min="8210" max="8210" width="13.7109375" style="968" customWidth="1"/>
    <col min="8211" max="8211" width="10.7109375" style="968" customWidth="1"/>
    <col min="8212" max="8212" width="12.42578125" style="968" bestFit="1" customWidth="1"/>
    <col min="8213" max="8213" width="10.7109375" style="968" bestFit="1" customWidth="1"/>
    <col min="8214" max="8214" width="13.28515625" style="968" customWidth="1"/>
    <col min="8215" max="8215" width="12.7109375" style="968" customWidth="1"/>
    <col min="8216" max="8216" width="16.5703125" style="968" customWidth="1"/>
    <col min="8217" max="8217" width="14.140625" style="968" bestFit="1" customWidth="1"/>
    <col min="8218" max="8448" width="9.140625" style="968"/>
    <col min="8449" max="8450" width="5.28515625" style="968" customWidth="1"/>
    <col min="8451" max="8451" width="35.7109375" style="968" customWidth="1"/>
    <col min="8452" max="8452" width="7.85546875" style="968" customWidth="1"/>
    <col min="8453" max="8453" width="7" style="968" bestFit="1" customWidth="1"/>
    <col min="8454" max="8454" width="4.7109375" style="968" customWidth="1"/>
    <col min="8455" max="8455" width="5.7109375" style="968" customWidth="1"/>
    <col min="8456" max="8456" width="14.5703125" style="968" customWidth="1"/>
    <col min="8457" max="8457" width="13.85546875" style="968" customWidth="1"/>
    <col min="8458" max="8458" width="15.28515625" style="968" customWidth="1"/>
    <col min="8459" max="8459" width="13.28515625" style="968" customWidth="1"/>
    <col min="8460" max="8460" width="15.28515625" style="968" customWidth="1"/>
    <col min="8461" max="8461" width="13.85546875" style="968" customWidth="1"/>
    <col min="8462" max="8462" width="11.85546875" style="968" customWidth="1"/>
    <col min="8463" max="8463" width="13.42578125" style="968" customWidth="1"/>
    <col min="8464" max="8464" width="11.85546875" style="968" customWidth="1"/>
    <col min="8465" max="8465" width="14.42578125" style="968" customWidth="1"/>
    <col min="8466" max="8466" width="13.7109375" style="968" customWidth="1"/>
    <col min="8467" max="8467" width="10.7109375" style="968" customWidth="1"/>
    <col min="8468" max="8468" width="12.42578125" style="968" bestFit="1" customWidth="1"/>
    <col min="8469" max="8469" width="10.7109375" style="968" bestFit="1" customWidth="1"/>
    <col min="8470" max="8470" width="13.28515625" style="968" customWidth="1"/>
    <col min="8471" max="8471" width="12.7109375" style="968" customWidth="1"/>
    <col min="8472" max="8472" width="16.5703125" style="968" customWidth="1"/>
    <col min="8473" max="8473" width="14.140625" style="968" bestFit="1" customWidth="1"/>
    <col min="8474" max="8704" width="9.140625" style="968"/>
    <col min="8705" max="8706" width="5.28515625" style="968" customWidth="1"/>
    <col min="8707" max="8707" width="35.7109375" style="968" customWidth="1"/>
    <col min="8708" max="8708" width="7.85546875" style="968" customWidth="1"/>
    <col min="8709" max="8709" width="7" style="968" bestFit="1" customWidth="1"/>
    <col min="8710" max="8710" width="4.7109375" style="968" customWidth="1"/>
    <col min="8711" max="8711" width="5.7109375" style="968" customWidth="1"/>
    <col min="8712" max="8712" width="14.5703125" style="968" customWidth="1"/>
    <col min="8713" max="8713" width="13.85546875" style="968" customWidth="1"/>
    <col min="8714" max="8714" width="15.28515625" style="968" customWidth="1"/>
    <col min="8715" max="8715" width="13.28515625" style="968" customWidth="1"/>
    <col min="8716" max="8716" width="15.28515625" style="968" customWidth="1"/>
    <col min="8717" max="8717" width="13.85546875" style="968" customWidth="1"/>
    <col min="8718" max="8718" width="11.85546875" style="968" customWidth="1"/>
    <col min="8719" max="8719" width="13.42578125" style="968" customWidth="1"/>
    <col min="8720" max="8720" width="11.85546875" style="968" customWidth="1"/>
    <col min="8721" max="8721" width="14.42578125" style="968" customWidth="1"/>
    <col min="8722" max="8722" width="13.7109375" style="968" customWidth="1"/>
    <col min="8723" max="8723" width="10.7109375" style="968" customWidth="1"/>
    <col min="8724" max="8724" width="12.42578125" style="968" bestFit="1" customWidth="1"/>
    <col min="8725" max="8725" width="10.7109375" style="968" bestFit="1" customWidth="1"/>
    <col min="8726" max="8726" width="13.28515625" style="968" customWidth="1"/>
    <col min="8727" max="8727" width="12.7109375" style="968" customWidth="1"/>
    <col min="8728" max="8728" width="16.5703125" style="968" customWidth="1"/>
    <col min="8729" max="8729" width="14.140625" style="968" bestFit="1" customWidth="1"/>
    <col min="8730" max="8960" width="9.140625" style="968"/>
    <col min="8961" max="8962" width="5.28515625" style="968" customWidth="1"/>
    <col min="8963" max="8963" width="35.7109375" style="968" customWidth="1"/>
    <col min="8964" max="8964" width="7.85546875" style="968" customWidth="1"/>
    <col min="8965" max="8965" width="7" style="968" bestFit="1" customWidth="1"/>
    <col min="8966" max="8966" width="4.7109375" style="968" customWidth="1"/>
    <col min="8967" max="8967" width="5.7109375" style="968" customWidth="1"/>
    <col min="8968" max="8968" width="14.5703125" style="968" customWidth="1"/>
    <col min="8969" max="8969" width="13.85546875" style="968" customWidth="1"/>
    <col min="8970" max="8970" width="15.28515625" style="968" customWidth="1"/>
    <col min="8971" max="8971" width="13.28515625" style="968" customWidth="1"/>
    <col min="8972" max="8972" width="15.28515625" style="968" customWidth="1"/>
    <col min="8973" max="8973" width="13.85546875" style="968" customWidth="1"/>
    <col min="8974" max="8974" width="11.85546875" style="968" customWidth="1"/>
    <col min="8975" max="8975" width="13.42578125" style="968" customWidth="1"/>
    <col min="8976" max="8976" width="11.85546875" style="968" customWidth="1"/>
    <col min="8977" max="8977" width="14.42578125" style="968" customWidth="1"/>
    <col min="8978" max="8978" width="13.7109375" style="968" customWidth="1"/>
    <col min="8979" max="8979" width="10.7109375" style="968" customWidth="1"/>
    <col min="8980" max="8980" width="12.42578125" style="968" bestFit="1" customWidth="1"/>
    <col min="8981" max="8981" width="10.7109375" style="968" bestFit="1" customWidth="1"/>
    <col min="8982" max="8982" width="13.28515625" style="968" customWidth="1"/>
    <col min="8983" max="8983" width="12.7109375" style="968" customWidth="1"/>
    <col min="8984" max="8984" width="16.5703125" style="968" customWidth="1"/>
    <col min="8985" max="8985" width="14.140625" style="968" bestFit="1" customWidth="1"/>
    <col min="8986" max="9216" width="9.140625" style="968"/>
    <col min="9217" max="9218" width="5.28515625" style="968" customWidth="1"/>
    <col min="9219" max="9219" width="35.7109375" style="968" customWidth="1"/>
    <col min="9220" max="9220" width="7.85546875" style="968" customWidth="1"/>
    <col min="9221" max="9221" width="7" style="968" bestFit="1" customWidth="1"/>
    <col min="9222" max="9222" width="4.7109375" style="968" customWidth="1"/>
    <col min="9223" max="9223" width="5.7109375" style="968" customWidth="1"/>
    <col min="9224" max="9224" width="14.5703125" style="968" customWidth="1"/>
    <col min="9225" max="9225" width="13.85546875" style="968" customWidth="1"/>
    <col min="9226" max="9226" width="15.28515625" style="968" customWidth="1"/>
    <col min="9227" max="9227" width="13.28515625" style="968" customWidth="1"/>
    <col min="9228" max="9228" width="15.28515625" style="968" customWidth="1"/>
    <col min="9229" max="9229" width="13.85546875" style="968" customWidth="1"/>
    <col min="9230" max="9230" width="11.85546875" style="968" customWidth="1"/>
    <col min="9231" max="9231" width="13.42578125" style="968" customWidth="1"/>
    <col min="9232" max="9232" width="11.85546875" style="968" customWidth="1"/>
    <col min="9233" max="9233" width="14.42578125" style="968" customWidth="1"/>
    <col min="9234" max="9234" width="13.7109375" style="968" customWidth="1"/>
    <col min="9235" max="9235" width="10.7109375" style="968" customWidth="1"/>
    <col min="9236" max="9236" width="12.42578125" style="968" bestFit="1" customWidth="1"/>
    <col min="9237" max="9237" width="10.7109375" style="968" bestFit="1" customWidth="1"/>
    <col min="9238" max="9238" width="13.28515625" style="968" customWidth="1"/>
    <col min="9239" max="9239" width="12.7109375" style="968" customWidth="1"/>
    <col min="9240" max="9240" width="16.5703125" style="968" customWidth="1"/>
    <col min="9241" max="9241" width="14.140625" style="968" bestFit="1" customWidth="1"/>
    <col min="9242" max="9472" width="9.140625" style="968"/>
    <col min="9473" max="9474" width="5.28515625" style="968" customWidth="1"/>
    <col min="9475" max="9475" width="35.7109375" style="968" customWidth="1"/>
    <col min="9476" max="9476" width="7.85546875" style="968" customWidth="1"/>
    <col min="9477" max="9477" width="7" style="968" bestFit="1" customWidth="1"/>
    <col min="9478" max="9478" width="4.7109375" style="968" customWidth="1"/>
    <col min="9479" max="9479" width="5.7109375" style="968" customWidth="1"/>
    <col min="9480" max="9480" width="14.5703125" style="968" customWidth="1"/>
    <col min="9481" max="9481" width="13.85546875" style="968" customWidth="1"/>
    <col min="9482" max="9482" width="15.28515625" style="968" customWidth="1"/>
    <col min="9483" max="9483" width="13.28515625" style="968" customWidth="1"/>
    <col min="9484" max="9484" width="15.28515625" style="968" customWidth="1"/>
    <col min="9485" max="9485" width="13.85546875" style="968" customWidth="1"/>
    <col min="9486" max="9486" width="11.85546875" style="968" customWidth="1"/>
    <col min="9487" max="9487" width="13.42578125" style="968" customWidth="1"/>
    <col min="9488" max="9488" width="11.85546875" style="968" customWidth="1"/>
    <col min="9489" max="9489" width="14.42578125" style="968" customWidth="1"/>
    <col min="9490" max="9490" width="13.7109375" style="968" customWidth="1"/>
    <col min="9491" max="9491" width="10.7109375" style="968" customWidth="1"/>
    <col min="9492" max="9492" width="12.42578125" style="968" bestFit="1" customWidth="1"/>
    <col min="9493" max="9493" width="10.7109375" style="968" bestFit="1" customWidth="1"/>
    <col min="9494" max="9494" width="13.28515625" style="968" customWidth="1"/>
    <col min="9495" max="9495" width="12.7109375" style="968" customWidth="1"/>
    <col min="9496" max="9496" width="16.5703125" style="968" customWidth="1"/>
    <col min="9497" max="9497" width="14.140625" style="968" bestFit="1" customWidth="1"/>
    <col min="9498" max="9728" width="9.140625" style="968"/>
    <col min="9729" max="9730" width="5.28515625" style="968" customWidth="1"/>
    <col min="9731" max="9731" width="35.7109375" style="968" customWidth="1"/>
    <col min="9732" max="9732" width="7.85546875" style="968" customWidth="1"/>
    <col min="9733" max="9733" width="7" style="968" bestFit="1" customWidth="1"/>
    <col min="9734" max="9734" width="4.7109375" style="968" customWidth="1"/>
    <col min="9735" max="9735" width="5.7109375" style="968" customWidth="1"/>
    <col min="9736" max="9736" width="14.5703125" style="968" customWidth="1"/>
    <col min="9737" max="9737" width="13.85546875" style="968" customWidth="1"/>
    <col min="9738" max="9738" width="15.28515625" style="968" customWidth="1"/>
    <col min="9739" max="9739" width="13.28515625" style="968" customWidth="1"/>
    <col min="9740" max="9740" width="15.28515625" style="968" customWidth="1"/>
    <col min="9741" max="9741" width="13.85546875" style="968" customWidth="1"/>
    <col min="9742" max="9742" width="11.85546875" style="968" customWidth="1"/>
    <col min="9743" max="9743" width="13.42578125" style="968" customWidth="1"/>
    <col min="9744" max="9744" width="11.85546875" style="968" customWidth="1"/>
    <col min="9745" max="9745" width="14.42578125" style="968" customWidth="1"/>
    <col min="9746" max="9746" width="13.7109375" style="968" customWidth="1"/>
    <col min="9747" max="9747" width="10.7109375" style="968" customWidth="1"/>
    <col min="9748" max="9748" width="12.42578125" style="968" bestFit="1" customWidth="1"/>
    <col min="9749" max="9749" width="10.7109375" style="968" bestFit="1" customWidth="1"/>
    <col min="9750" max="9750" width="13.28515625" style="968" customWidth="1"/>
    <col min="9751" max="9751" width="12.7109375" style="968" customWidth="1"/>
    <col min="9752" max="9752" width="16.5703125" style="968" customWidth="1"/>
    <col min="9753" max="9753" width="14.140625" style="968" bestFit="1" customWidth="1"/>
    <col min="9754" max="9984" width="9.140625" style="968"/>
    <col min="9985" max="9986" width="5.28515625" style="968" customWidth="1"/>
    <col min="9987" max="9987" width="35.7109375" style="968" customWidth="1"/>
    <col min="9988" max="9988" width="7.85546875" style="968" customWidth="1"/>
    <col min="9989" max="9989" width="7" style="968" bestFit="1" customWidth="1"/>
    <col min="9990" max="9990" width="4.7109375" style="968" customWidth="1"/>
    <col min="9991" max="9991" width="5.7109375" style="968" customWidth="1"/>
    <col min="9992" max="9992" width="14.5703125" style="968" customWidth="1"/>
    <col min="9993" max="9993" width="13.85546875" style="968" customWidth="1"/>
    <col min="9994" max="9994" width="15.28515625" style="968" customWidth="1"/>
    <col min="9995" max="9995" width="13.28515625" style="968" customWidth="1"/>
    <col min="9996" max="9996" width="15.28515625" style="968" customWidth="1"/>
    <col min="9997" max="9997" width="13.85546875" style="968" customWidth="1"/>
    <col min="9998" max="9998" width="11.85546875" style="968" customWidth="1"/>
    <col min="9999" max="9999" width="13.42578125" style="968" customWidth="1"/>
    <col min="10000" max="10000" width="11.85546875" style="968" customWidth="1"/>
    <col min="10001" max="10001" width="14.42578125" style="968" customWidth="1"/>
    <col min="10002" max="10002" width="13.7109375" style="968" customWidth="1"/>
    <col min="10003" max="10003" width="10.7109375" style="968" customWidth="1"/>
    <col min="10004" max="10004" width="12.42578125" style="968" bestFit="1" customWidth="1"/>
    <col min="10005" max="10005" width="10.7109375" style="968" bestFit="1" customWidth="1"/>
    <col min="10006" max="10006" width="13.28515625" style="968" customWidth="1"/>
    <col min="10007" max="10007" width="12.7109375" style="968" customWidth="1"/>
    <col min="10008" max="10008" width="16.5703125" style="968" customWidth="1"/>
    <col min="10009" max="10009" width="14.140625" style="968" bestFit="1" customWidth="1"/>
    <col min="10010" max="10240" width="9.140625" style="968"/>
    <col min="10241" max="10242" width="5.28515625" style="968" customWidth="1"/>
    <col min="10243" max="10243" width="35.7109375" style="968" customWidth="1"/>
    <col min="10244" max="10244" width="7.85546875" style="968" customWidth="1"/>
    <col min="10245" max="10245" width="7" style="968" bestFit="1" customWidth="1"/>
    <col min="10246" max="10246" width="4.7109375" style="968" customWidth="1"/>
    <col min="10247" max="10247" width="5.7109375" style="968" customWidth="1"/>
    <col min="10248" max="10248" width="14.5703125" style="968" customWidth="1"/>
    <col min="10249" max="10249" width="13.85546875" style="968" customWidth="1"/>
    <col min="10250" max="10250" width="15.28515625" style="968" customWidth="1"/>
    <col min="10251" max="10251" width="13.28515625" style="968" customWidth="1"/>
    <col min="10252" max="10252" width="15.28515625" style="968" customWidth="1"/>
    <col min="10253" max="10253" width="13.85546875" style="968" customWidth="1"/>
    <col min="10254" max="10254" width="11.85546875" style="968" customWidth="1"/>
    <col min="10255" max="10255" width="13.42578125" style="968" customWidth="1"/>
    <col min="10256" max="10256" width="11.85546875" style="968" customWidth="1"/>
    <col min="10257" max="10257" width="14.42578125" style="968" customWidth="1"/>
    <col min="10258" max="10258" width="13.7109375" style="968" customWidth="1"/>
    <col min="10259" max="10259" width="10.7109375" style="968" customWidth="1"/>
    <col min="10260" max="10260" width="12.42578125" style="968" bestFit="1" customWidth="1"/>
    <col min="10261" max="10261" width="10.7109375" style="968" bestFit="1" customWidth="1"/>
    <col min="10262" max="10262" width="13.28515625" style="968" customWidth="1"/>
    <col min="10263" max="10263" width="12.7109375" style="968" customWidth="1"/>
    <col min="10264" max="10264" width="16.5703125" style="968" customWidth="1"/>
    <col min="10265" max="10265" width="14.140625" style="968" bestFit="1" customWidth="1"/>
    <col min="10266" max="10496" width="9.140625" style="968"/>
    <col min="10497" max="10498" width="5.28515625" style="968" customWidth="1"/>
    <col min="10499" max="10499" width="35.7109375" style="968" customWidth="1"/>
    <col min="10500" max="10500" width="7.85546875" style="968" customWidth="1"/>
    <col min="10501" max="10501" width="7" style="968" bestFit="1" customWidth="1"/>
    <col min="10502" max="10502" width="4.7109375" style="968" customWidth="1"/>
    <col min="10503" max="10503" width="5.7109375" style="968" customWidth="1"/>
    <col min="10504" max="10504" width="14.5703125" style="968" customWidth="1"/>
    <col min="10505" max="10505" width="13.85546875" style="968" customWidth="1"/>
    <col min="10506" max="10506" width="15.28515625" style="968" customWidth="1"/>
    <col min="10507" max="10507" width="13.28515625" style="968" customWidth="1"/>
    <col min="10508" max="10508" width="15.28515625" style="968" customWidth="1"/>
    <col min="10509" max="10509" width="13.85546875" style="968" customWidth="1"/>
    <col min="10510" max="10510" width="11.85546875" style="968" customWidth="1"/>
    <col min="10511" max="10511" width="13.42578125" style="968" customWidth="1"/>
    <col min="10512" max="10512" width="11.85546875" style="968" customWidth="1"/>
    <col min="10513" max="10513" width="14.42578125" style="968" customWidth="1"/>
    <col min="10514" max="10514" width="13.7109375" style="968" customWidth="1"/>
    <col min="10515" max="10515" width="10.7109375" style="968" customWidth="1"/>
    <col min="10516" max="10516" width="12.42578125" style="968" bestFit="1" customWidth="1"/>
    <col min="10517" max="10517" width="10.7109375" style="968" bestFit="1" customWidth="1"/>
    <col min="10518" max="10518" width="13.28515625" style="968" customWidth="1"/>
    <col min="10519" max="10519" width="12.7109375" style="968" customWidth="1"/>
    <col min="10520" max="10520" width="16.5703125" style="968" customWidth="1"/>
    <col min="10521" max="10521" width="14.140625" style="968" bestFit="1" customWidth="1"/>
    <col min="10522" max="10752" width="9.140625" style="968"/>
    <col min="10753" max="10754" width="5.28515625" style="968" customWidth="1"/>
    <col min="10755" max="10755" width="35.7109375" style="968" customWidth="1"/>
    <col min="10756" max="10756" width="7.85546875" style="968" customWidth="1"/>
    <col min="10757" max="10757" width="7" style="968" bestFit="1" customWidth="1"/>
    <col min="10758" max="10758" width="4.7109375" style="968" customWidth="1"/>
    <col min="10759" max="10759" width="5.7109375" style="968" customWidth="1"/>
    <col min="10760" max="10760" width="14.5703125" style="968" customWidth="1"/>
    <col min="10761" max="10761" width="13.85546875" style="968" customWidth="1"/>
    <col min="10762" max="10762" width="15.28515625" style="968" customWidth="1"/>
    <col min="10763" max="10763" width="13.28515625" style="968" customWidth="1"/>
    <col min="10764" max="10764" width="15.28515625" style="968" customWidth="1"/>
    <col min="10765" max="10765" width="13.85546875" style="968" customWidth="1"/>
    <col min="10766" max="10766" width="11.85546875" style="968" customWidth="1"/>
    <col min="10767" max="10767" width="13.42578125" style="968" customWidth="1"/>
    <col min="10768" max="10768" width="11.85546875" style="968" customWidth="1"/>
    <col min="10769" max="10769" width="14.42578125" style="968" customWidth="1"/>
    <col min="10770" max="10770" width="13.7109375" style="968" customWidth="1"/>
    <col min="10771" max="10771" width="10.7109375" style="968" customWidth="1"/>
    <col min="10772" max="10772" width="12.42578125" style="968" bestFit="1" customWidth="1"/>
    <col min="10773" max="10773" width="10.7109375" style="968" bestFit="1" customWidth="1"/>
    <col min="10774" max="10774" width="13.28515625" style="968" customWidth="1"/>
    <col min="10775" max="10775" width="12.7109375" style="968" customWidth="1"/>
    <col min="10776" max="10776" width="16.5703125" style="968" customWidth="1"/>
    <col min="10777" max="10777" width="14.140625" style="968" bestFit="1" customWidth="1"/>
    <col min="10778" max="11008" width="9.140625" style="968"/>
    <col min="11009" max="11010" width="5.28515625" style="968" customWidth="1"/>
    <col min="11011" max="11011" width="35.7109375" style="968" customWidth="1"/>
    <col min="11012" max="11012" width="7.85546875" style="968" customWidth="1"/>
    <col min="11013" max="11013" width="7" style="968" bestFit="1" customWidth="1"/>
    <col min="11014" max="11014" width="4.7109375" style="968" customWidth="1"/>
    <col min="11015" max="11015" width="5.7109375" style="968" customWidth="1"/>
    <col min="11016" max="11016" width="14.5703125" style="968" customWidth="1"/>
    <col min="11017" max="11017" width="13.85546875" style="968" customWidth="1"/>
    <col min="11018" max="11018" width="15.28515625" style="968" customWidth="1"/>
    <col min="11019" max="11019" width="13.28515625" style="968" customWidth="1"/>
    <col min="11020" max="11020" width="15.28515625" style="968" customWidth="1"/>
    <col min="11021" max="11021" width="13.85546875" style="968" customWidth="1"/>
    <col min="11022" max="11022" width="11.85546875" style="968" customWidth="1"/>
    <col min="11023" max="11023" width="13.42578125" style="968" customWidth="1"/>
    <col min="11024" max="11024" width="11.85546875" style="968" customWidth="1"/>
    <col min="11025" max="11025" width="14.42578125" style="968" customWidth="1"/>
    <col min="11026" max="11026" width="13.7109375" style="968" customWidth="1"/>
    <col min="11027" max="11027" width="10.7109375" style="968" customWidth="1"/>
    <col min="11028" max="11028" width="12.42578125" style="968" bestFit="1" customWidth="1"/>
    <col min="11029" max="11029" width="10.7109375" style="968" bestFit="1" customWidth="1"/>
    <col min="11030" max="11030" width="13.28515625" style="968" customWidth="1"/>
    <col min="11031" max="11031" width="12.7109375" style="968" customWidth="1"/>
    <col min="11032" max="11032" width="16.5703125" style="968" customWidth="1"/>
    <col min="11033" max="11033" width="14.140625" style="968" bestFit="1" customWidth="1"/>
    <col min="11034" max="11264" width="9.140625" style="968"/>
    <col min="11265" max="11266" width="5.28515625" style="968" customWidth="1"/>
    <col min="11267" max="11267" width="35.7109375" style="968" customWidth="1"/>
    <col min="11268" max="11268" width="7.85546875" style="968" customWidth="1"/>
    <col min="11269" max="11269" width="7" style="968" bestFit="1" customWidth="1"/>
    <col min="11270" max="11270" width="4.7109375" style="968" customWidth="1"/>
    <col min="11271" max="11271" width="5.7109375" style="968" customWidth="1"/>
    <col min="11272" max="11272" width="14.5703125" style="968" customWidth="1"/>
    <col min="11273" max="11273" width="13.85546875" style="968" customWidth="1"/>
    <col min="11274" max="11274" width="15.28515625" style="968" customWidth="1"/>
    <col min="11275" max="11275" width="13.28515625" style="968" customWidth="1"/>
    <col min="11276" max="11276" width="15.28515625" style="968" customWidth="1"/>
    <col min="11277" max="11277" width="13.85546875" style="968" customWidth="1"/>
    <col min="11278" max="11278" width="11.85546875" style="968" customWidth="1"/>
    <col min="11279" max="11279" width="13.42578125" style="968" customWidth="1"/>
    <col min="11280" max="11280" width="11.85546875" style="968" customWidth="1"/>
    <col min="11281" max="11281" width="14.42578125" style="968" customWidth="1"/>
    <col min="11282" max="11282" width="13.7109375" style="968" customWidth="1"/>
    <col min="11283" max="11283" width="10.7109375" style="968" customWidth="1"/>
    <col min="11284" max="11284" width="12.42578125" style="968" bestFit="1" customWidth="1"/>
    <col min="11285" max="11285" width="10.7109375" style="968" bestFit="1" customWidth="1"/>
    <col min="11286" max="11286" width="13.28515625" style="968" customWidth="1"/>
    <col min="11287" max="11287" width="12.7109375" style="968" customWidth="1"/>
    <col min="11288" max="11288" width="16.5703125" style="968" customWidth="1"/>
    <col min="11289" max="11289" width="14.140625" style="968" bestFit="1" customWidth="1"/>
    <col min="11290" max="11520" width="9.140625" style="968"/>
    <col min="11521" max="11522" width="5.28515625" style="968" customWidth="1"/>
    <col min="11523" max="11523" width="35.7109375" style="968" customWidth="1"/>
    <col min="11524" max="11524" width="7.85546875" style="968" customWidth="1"/>
    <col min="11525" max="11525" width="7" style="968" bestFit="1" customWidth="1"/>
    <col min="11526" max="11526" width="4.7109375" style="968" customWidth="1"/>
    <col min="11527" max="11527" width="5.7109375" style="968" customWidth="1"/>
    <col min="11528" max="11528" width="14.5703125" style="968" customWidth="1"/>
    <col min="11529" max="11529" width="13.85546875" style="968" customWidth="1"/>
    <col min="11530" max="11530" width="15.28515625" style="968" customWidth="1"/>
    <col min="11531" max="11531" width="13.28515625" style="968" customWidth="1"/>
    <col min="11532" max="11532" width="15.28515625" style="968" customWidth="1"/>
    <col min="11533" max="11533" width="13.85546875" style="968" customWidth="1"/>
    <col min="11534" max="11534" width="11.85546875" style="968" customWidth="1"/>
    <col min="11535" max="11535" width="13.42578125" style="968" customWidth="1"/>
    <col min="11536" max="11536" width="11.85546875" style="968" customWidth="1"/>
    <col min="11537" max="11537" width="14.42578125" style="968" customWidth="1"/>
    <col min="11538" max="11538" width="13.7109375" style="968" customWidth="1"/>
    <col min="11539" max="11539" width="10.7109375" style="968" customWidth="1"/>
    <col min="11540" max="11540" width="12.42578125" style="968" bestFit="1" customWidth="1"/>
    <col min="11541" max="11541" width="10.7109375" style="968" bestFit="1" customWidth="1"/>
    <col min="11542" max="11542" width="13.28515625" style="968" customWidth="1"/>
    <col min="11543" max="11543" width="12.7109375" style="968" customWidth="1"/>
    <col min="11544" max="11544" width="16.5703125" style="968" customWidth="1"/>
    <col min="11545" max="11545" width="14.140625" style="968" bestFit="1" customWidth="1"/>
    <col min="11546" max="11776" width="9.140625" style="968"/>
    <col min="11777" max="11778" width="5.28515625" style="968" customWidth="1"/>
    <col min="11779" max="11779" width="35.7109375" style="968" customWidth="1"/>
    <col min="11780" max="11780" width="7.85546875" style="968" customWidth="1"/>
    <col min="11781" max="11781" width="7" style="968" bestFit="1" customWidth="1"/>
    <col min="11782" max="11782" width="4.7109375" style="968" customWidth="1"/>
    <col min="11783" max="11783" width="5.7109375" style="968" customWidth="1"/>
    <col min="11784" max="11784" width="14.5703125" style="968" customWidth="1"/>
    <col min="11785" max="11785" width="13.85546875" style="968" customWidth="1"/>
    <col min="11786" max="11786" width="15.28515625" style="968" customWidth="1"/>
    <col min="11787" max="11787" width="13.28515625" style="968" customWidth="1"/>
    <col min="11788" max="11788" width="15.28515625" style="968" customWidth="1"/>
    <col min="11789" max="11789" width="13.85546875" style="968" customWidth="1"/>
    <col min="11790" max="11790" width="11.85546875" style="968" customWidth="1"/>
    <col min="11791" max="11791" width="13.42578125" style="968" customWidth="1"/>
    <col min="11792" max="11792" width="11.85546875" style="968" customWidth="1"/>
    <col min="11793" max="11793" width="14.42578125" style="968" customWidth="1"/>
    <col min="11794" max="11794" width="13.7109375" style="968" customWidth="1"/>
    <col min="11795" max="11795" width="10.7109375" style="968" customWidth="1"/>
    <col min="11796" max="11796" width="12.42578125" style="968" bestFit="1" customWidth="1"/>
    <col min="11797" max="11797" width="10.7109375" style="968" bestFit="1" customWidth="1"/>
    <col min="11798" max="11798" width="13.28515625" style="968" customWidth="1"/>
    <col min="11799" max="11799" width="12.7109375" style="968" customWidth="1"/>
    <col min="11800" max="11800" width="16.5703125" style="968" customWidth="1"/>
    <col min="11801" max="11801" width="14.140625" style="968" bestFit="1" customWidth="1"/>
    <col min="11802" max="12032" width="9.140625" style="968"/>
    <col min="12033" max="12034" width="5.28515625" style="968" customWidth="1"/>
    <col min="12035" max="12035" width="35.7109375" style="968" customWidth="1"/>
    <col min="12036" max="12036" width="7.85546875" style="968" customWidth="1"/>
    <col min="12037" max="12037" width="7" style="968" bestFit="1" customWidth="1"/>
    <col min="12038" max="12038" width="4.7109375" style="968" customWidth="1"/>
    <col min="12039" max="12039" width="5.7109375" style="968" customWidth="1"/>
    <col min="12040" max="12040" width="14.5703125" style="968" customWidth="1"/>
    <col min="12041" max="12041" width="13.85546875" style="968" customWidth="1"/>
    <col min="12042" max="12042" width="15.28515625" style="968" customWidth="1"/>
    <col min="12043" max="12043" width="13.28515625" style="968" customWidth="1"/>
    <col min="12044" max="12044" width="15.28515625" style="968" customWidth="1"/>
    <col min="12045" max="12045" width="13.85546875" style="968" customWidth="1"/>
    <col min="12046" max="12046" width="11.85546875" style="968" customWidth="1"/>
    <col min="12047" max="12047" width="13.42578125" style="968" customWidth="1"/>
    <col min="12048" max="12048" width="11.85546875" style="968" customWidth="1"/>
    <col min="12049" max="12049" width="14.42578125" style="968" customWidth="1"/>
    <col min="12050" max="12050" width="13.7109375" style="968" customWidth="1"/>
    <col min="12051" max="12051" width="10.7109375" style="968" customWidth="1"/>
    <col min="12052" max="12052" width="12.42578125" style="968" bestFit="1" customWidth="1"/>
    <col min="12053" max="12053" width="10.7109375" style="968" bestFit="1" customWidth="1"/>
    <col min="12054" max="12054" width="13.28515625" style="968" customWidth="1"/>
    <col min="12055" max="12055" width="12.7109375" style="968" customWidth="1"/>
    <col min="12056" max="12056" width="16.5703125" style="968" customWidth="1"/>
    <col min="12057" max="12057" width="14.140625" style="968" bestFit="1" customWidth="1"/>
    <col min="12058" max="12288" width="9.140625" style="968"/>
    <col min="12289" max="12290" width="5.28515625" style="968" customWidth="1"/>
    <col min="12291" max="12291" width="35.7109375" style="968" customWidth="1"/>
    <col min="12292" max="12292" width="7.85546875" style="968" customWidth="1"/>
    <col min="12293" max="12293" width="7" style="968" bestFit="1" customWidth="1"/>
    <col min="12294" max="12294" width="4.7109375" style="968" customWidth="1"/>
    <col min="12295" max="12295" width="5.7109375" style="968" customWidth="1"/>
    <col min="12296" max="12296" width="14.5703125" style="968" customWidth="1"/>
    <col min="12297" max="12297" width="13.85546875" style="968" customWidth="1"/>
    <col min="12298" max="12298" width="15.28515625" style="968" customWidth="1"/>
    <col min="12299" max="12299" width="13.28515625" style="968" customWidth="1"/>
    <col min="12300" max="12300" width="15.28515625" style="968" customWidth="1"/>
    <col min="12301" max="12301" width="13.85546875" style="968" customWidth="1"/>
    <col min="12302" max="12302" width="11.85546875" style="968" customWidth="1"/>
    <col min="12303" max="12303" width="13.42578125" style="968" customWidth="1"/>
    <col min="12304" max="12304" width="11.85546875" style="968" customWidth="1"/>
    <col min="12305" max="12305" width="14.42578125" style="968" customWidth="1"/>
    <col min="12306" max="12306" width="13.7109375" style="968" customWidth="1"/>
    <col min="12307" max="12307" width="10.7109375" style="968" customWidth="1"/>
    <col min="12308" max="12308" width="12.42578125" style="968" bestFit="1" customWidth="1"/>
    <col min="12309" max="12309" width="10.7109375" style="968" bestFit="1" customWidth="1"/>
    <col min="12310" max="12310" width="13.28515625" style="968" customWidth="1"/>
    <col min="12311" max="12311" width="12.7109375" style="968" customWidth="1"/>
    <col min="12312" max="12312" width="16.5703125" style="968" customWidth="1"/>
    <col min="12313" max="12313" width="14.140625" style="968" bestFit="1" customWidth="1"/>
    <col min="12314" max="12544" width="9.140625" style="968"/>
    <col min="12545" max="12546" width="5.28515625" style="968" customWidth="1"/>
    <col min="12547" max="12547" width="35.7109375" style="968" customWidth="1"/>
    <col min="12548" max="12548" width="7.85546875" style="968" customWidth="1"/>
    <col min="12549" max="12549" width="7" style="968" bestFit="1" customWidth="1"/>
    <col min="12550" max="12550" width="4.7109375" style="968" customWidth="1"/>
    <col min="12551" max="12551" width="5.7109375" style="968" customWidth="1"/>
    <col min="12552" max="12552" width="14.5703125" style="968" customWidth="1"/>
    <col min="12553" max="12553" width="13.85546875" style="968" customWidth="1"/>
    <col min="12554" max="12554" width="15.28515625" style="968" customWidth="1"/>
    <col min="12555" max="12555" width="13.28515625" style="968" customWidth="1"/>
    <col min="12556" max="12556" width="15.28515625" style="968" customWidth="1"/>
    <col min="12557" max="12557" width="13.85546875" style="968" customWidth="1"/>
    <col min="12558" max="12558" width="11.85546875" style="968" customWidth="1"/>
    <col min="12559" max="12559" width="13.42578125" style="968" customWidth="1"/>
    <col min="12560" max="12560" width="11.85546875" style="968" customWidth="1"/>
    <col min="12561" max="12561" width="14.42578125" style="968" customWidth="1"/>
    <col min="12562" max="12562" width="13.7109375" style="968" customWidth="1"/>
    <col min="12563" max="12563" width="10.7109375" style="968" customWidth="1"/>
    <col min="12564" max="12564" width="12.42578125" style="968" bestFit="1" customWidth="1"/>
    <col min="12565" max="12565" width="10.7109375" style="968" bestFit="1" customWidth="1"/>
    <col min="12566" max="12566" width="13.28515625" style="968" customWidth="1"/>
    <col min="12567" max="12567" width="12.7109375" style="968" customWidth="1"/>
    <col min="12568" max="12568" width="16.5703125" style="968" customWidth="1"/>
    <col min="12569" max="12569" width="14.140625" style="968" bestFit="1" customWidth="1"/>
    <col min="12570" max="12800" width="9.140625" style="968"/>
    <col min="12801" max="12802" width="5.28515625" style="968" customWidth="1"/>
    <col min="12803" max="12803" width="35.7109375" style="968" customWidth="1"/>
    <col min="12804" max="12804" width="7.85546875" style="968" customWidth="1"/>
    <col min="12805" max="12805" width="7" style="968" bestFit="1" customWidth="1"/>
    <col min="12806" max="12806" width="4.7109375" style="968" customWidth="1"/>
    <col min="12807" max="12807" width="5.7109375" style="968" customWidth="1"/>
    <col min="12808" max="12808" width="14.5703125" style="968" customWidth="1"/>
    <col min="12809" max="12809" width="13.85546875" style="968" customWidth="1"/>
    <col min="12810" max="12810" width="15.28515625" style="968" customWidth="1"/>
    <col min="12811" max="12811" width="13.28515625" style="968" customWidth="1"/>
    <col min="12812" max="12812" width="15.28515625" style="968" customWidth="1"/>
    <col min="12813" max="12813" width="13.85546875" style="968" customWidth="1"/>
    <col min="12814" max="12814" width="11.85546875" style="968" customWidth="1"/>
    <col min="12815" max="12815" width="13.42578125" style="968" customWidth="1"/>
    <col min="12816" max="12816" width="11.85546875" style="968" customWidth="1"/>
    <col min="12817" max="12817" width="14.42578125" style="968" customWidth="1"/>
    <col min="12818" max="12818" width="13.7109375" style="968" customWidth="1"/>
    <col min="12819" max="12819" width="10.7109375" style="968" customWidth="1"/>
    <col min="12820" max="12820" width="12.42578125" style="968" bestFit="1" customWidth="1"/>
    <col min="12821" max="12821" width="10.7109375" style="968" bestFit="1" customWidth="1"/>
    <col min="12822" max="12822" width="13.28515625" style="968" customWidth="1"/>
    <col min="12823" max="12823" width="12.7109375" style="968" customWidth="1"/>
    <col min="12824" max="12824" width="16.5703125" style="968" customWidth="1"/>
    <col min="12825" max="12825" width="14.140625" style="968" bestFit="1" customWidth="1"/>
    <col min="12826" max="13056" width="9.140625" style="968"/>
    <col min="13057" max="13058" width="5.28515625" style="968" customWidth="1"/>
    <col min="13059" max="13059" width="35.7109375" style="968" customWidth="1"/>
    <col min="13060" max="13060" width="7.85546875" style="968" customWidth="1"/>
    <col min="13061" max="13061" width="7" style="968" bestFit="1" customWidth="1"/>
    <col min="13062" max="13062" width="4.7109375" style="968" customWidth="1"/>
    <col min="13063" max="13063" width="5.7109375" style="968" customWidth="1"/>
    <col min="13064" max="13064" width="14.5703125" style="968" customWidth="1"/>
    <col min="13065" max="13065" width="13.85546875" style="968" customWidth="1"/>
    <col min="13066" max="13066" width="15.28515625" style="968" customWidth="1"/>
    <col min="13067" max="13067" width="13.28515625" style="968" customWidth="1"/>
    <col min="13068" max="13068" width="15.28515625" style="968" customWidth="1"/>
    <col min="13069" max="13069" width="13.85546875" style="968" customWidth="1"/>
    <col min="13070" max="13070" width="11.85546875" style="968" customWidth="1"/>
    <col min="13071" max="13071" width="13.42578125" style="968" customWidth="1"/>
    <col min="13072" max="13072" width="11.85546875" style="968" customWidth="1"/>
    <col min="13073" max="13073" width="14.42578125" style="968" customWidth="1"/>
    <col min="13074" max="13074" width="13.7109375" style="968" customWidth="1"/>
    <col min="13075" max="13075" width="10.7109375" style="968" customWidth="1"/>
    <col min="13076" max="13076" width="12.42578125" style="968" bestFit="1" customWidth="1"/>
    <col min="13077" max="13077" width="10.7109375" style="968" bestFit="1" customWidth="1"/>
    <col min="13078" max="13078" width="13.28515625" style="968" customWidth="1"/>
    <col min="13079" max="13079" width="12.7109375" style="968" customWidth="1"/>
    <col min="13080" max="13080" width="16.5703125" style="968" customWidth="1"/>
    <col min="13081" max="13081" width="14.140625" style="968" bestFit="1" customWidth="1"/>
    <col min="13082" max="13312" width="9.140625" style="968"/>
    <col min="13313" max="13314" width="5.28515625" style="968" customWidth="1"/>
    <col min="13315" max="13315" width="35.7109375" style="968" customWidth="1"/>
    <col min="13316" max="13316" width="7.85546875" style="968" customWidth="1"/>
    <col min="13317" max="13317" width="7" style="968" bestFit="1" customWidth="1"/>
    <col min="13318" max="13318" width="4.7109375" style="968" customWidth="1"/>
    <col min="13319" max="13319" width="5.7109375" style="968" customWidth="1"/>
    <col min="13320" max="13320" width="14.5703125" style="968" customWidth="1"/>
    <col min="13321" max="13321" width="13.85546875" style="968" customWidth="1"/>
    <col min="13322" max="13322" width="15.28515625" style="968" customWidth="1"/>
    <col min="13323" max="13323" width="13.28515625" style="968" customWidth="1"/>
    <col min="13324" max="13324" width="15.28515625" style="968" customWidth="1"/>
    <col min="13325" max="13325" width="13.85546875" style="968" customWidth="1"/>
    <col min="13326" max="13326" width="11.85546875" style="968" customWidth="1"/>
    <col min="13327" max="13327" width="13.42578125" style="968" customWidth="1"/>
    <col min="13328" max="13328" width="11.85546875" style="968" customWidth="1"/>
    <col min="13329" max="13329" width="14.42578125" style="968" customWidth="1"/>
    <col min="13330" max="13330" width="13.7109375" style="968" customWidth="1"/>
    <col min="13331" max="13331" width="10.7109375" style="968" customWidth="1"/>
    <col min="13332" max="13332" width="12.42578125" style="968" bestFit="1" customWidth="1"/>
    <col min="13333" max="13333" width="10.7109375" style="968" bestFit="1" customWidth="1"/>
    <col min="13334" max="13334" width="13.28515625" style="968" customWidth="1"/>
    <col min="13335" max="13335" width="12.7109375" style="968" customWidth="1"/>
    <col min="13336" max="13336" width="16.5703125" style="968" customWidth="1"/>
    <col min="13337" max="13337" width="14.140625" style="968" bestFit="1" customWidth="1"/>
    <col min="13338" max="13568" width="9.140625" style="968"/>
    <col min="13569" max="13570" width="5.28515625" style="968" customWidth="1"/>
    <col min="13571" max="13571" width="35.7109375" style="968" customWidth="1"/>
    <col min="13572" max="13572" width="7.85546875" style="968" customWidth="1"/>
    <col min="13573" max="13573" width="7" style="968" bestFit="1" customWidth="1"/>
    <col min="13574" max="13574" width="4.7109375" style="968" customWidth="1"/>
    <col min="13575" max="13575" width="5.7109375" style="968" customWidth="1"/>
    <col min="13576" max="13576" width="14.5703125" style="968" customWidth="1"/>
    <col min="13577" max="13577" width="13.85546875" style="968" customWidth="1"/>
    <col min="13578" max="13578" width="15.28515625" style="968" customWidth="1"/>
    <col min="13579" max="13579" width="13.28515625" style="968" customWidth="1"/>
    <col min="13580" max="13580" width="15.28515625" style="968" customWidth="1"/>
    <col min="13581" max="13581" width="13.85546875" style="968" customWidth="1"/>
    <col min="13582" max="13582" width="11.85546875" style="968" customWidth="1"/>
    <col min="13583" max="13583" width="13.42578125" style="968" customWidth="1"/>
    <col min="13584" max="13584" width="11.85546875" style="968" customWidth="1"/>
    <col min="13585" max="13585" width="14.42578125" style="968" customWidth="1"/>
    <col min="13586" max="13586" width="13.7109375" style="968" customWidth="1"/>
    <col min="13587" max="13587" width="10.7109375" style="968" customWidth="1"/>
    <col min="13588" max="13588" width="12.42578125" style="968" bestFit="1" customWidth="1"/>
    <col min="13589" max="13589" width="10.7109375" style="968" bestFit="1" customWidth="1"/>
    <col min="13590" max="13590" width="13.28515625" style="968" customWidth="1"/>
    <col min="13591" max="13591" width="12.7109375" style="968" customWidth="1"/>
    <col min="13592" max="13592" width="16.5703125" style="968" customWidth="1"/>
    <col min="13593" max="13593" width="14.140625" style="968" bestFit="1" customWidth="1"/>
    <col min="13594" max="13824" width="9.140625" style="968"/>
    <col min="13825" max="13826" width="5.28515625" style="968" customWidth="1"/>
    <col min="13827" max="13827" width="35.7109375" style="968" customWidth="1"/>
    <col min="13828" max="13828" width="7.85546875" style="968" customWidth="1"/>
    <col min="13829" max="13829" width="7" style="968" bestFit="1" customWidth="1"/>
    <col min="13830" max="13830" width="4.7109375" style="968" customWidth="1"/>
    <col min="13831" max="13831" width="5.7109375" style="968" customWidth="1"/>
    <col min="13832" max="13832" width="14.5703125" style="968" customWidth="1"/>
    <col min="13833" max="13833" width="13.85546875" style="968" customWidth="1"/>
    <col min="13834" max="13834" width="15.28515625" style="968" customWidth="1"/>
    <col min="13835" max="13835" width="13.28515625" style="968" customWidth="1"/>
    <col min="13836" max="13836" width="15.28515625" style="968" customWidth="1"/>
    <col min="13837" max="13837" width="13.85546875" style="968" customWidth="1"/>
    <col min="13838" max="13838" width="11.85546875" style="968" customWidth="1"/>
    <col min="13839" max="13839" width="13.42578125" style="968" customWidth="1"/>
    <col min="13840" max="13840" width="11.85546875" style="968" customWidth="1"/>
    <col min="13841" max="13841" width="14.42578125" style="968" customWidth="1"/>
    <col min="13842" max="13842" width="13.7109375" style="968" customWidth="1"/>
    <col min="13843" max="13843" width="10.7109375" style="968" customWidth="1"/>
    <col min="13844" max="13844" width="12.42578125" style="968" bestFit="1" customWidth="1"/>
    <col min="13845" max="13845" width="10.7109375" style="968" bestFit="1" customWidth="1"/>
    <col min="13846" max="13846" width="13.28515625" style="968" customWidth="1"/>
    <col min="13847" max="13847" width="12.7109375" style="968" customWidth="1"/>
    <col min="13848" max="13848" width="16.5703125" style="968" customWidth="1"/>
    <col min="13849" max="13849" width="14.140625" style="968" bestFit="1" customWidth="1"/>
    <col min="13850" max="14080" width="9.140625" style="968"/>
    <col min="14081" max="14082" width="5.28515625" style="968" customWidth="1"/>
    <col min="14083" max="14083" width="35.7109375" style="968" customWidth="1"/>
    <col min="14084" max="14084" width="7.85546875" style="968" customWidth="1"/>
    <col min="14085" max="14085" width="7" style="968" bestFit="1" customWidth="1"/>
    <col min="14086" max="14086" width="4.7109375" style="968" customWidth="1"/>
    <col min="14087" max="14087" width="5.7109375" style="968" customWidth="1"/>
    <col min="14088" max="14088" width="14.5703125" style="968" customWidth="1"/>
    <col min="14089" max="14089" width="13.85546875" style="968" customWidth="1"/>
    <col min="14090" max="14090" width="15.28515625" style="968" customWidth="1"/>
    <col min="14091" max="14091" width="13.28515625" style="968" customWidth="1"/>
    <col min="14092" max="14092" width="15.28515625" style="968" customWidth="1"/>
    <col min="14093" max="14093" width="13.85546875" style="968" customWidth="1"/>
    <col min="14094" max="14094" width="11.85546875" style="968" customWidth="1"/>
    <col min="14095" max="14095" width="13.42578125" style="968" customWidth="1"/>
    <col min="14096" max="14096" width="11.85546875" style="968" customWidth="1"/>
    <col min="14097" max="14097" width="14.42578125" style="968" customWidth="1"/>
    <col min="14098" max="14098" width="13.7109375" style="968" customWidth="1"/>
    <col min="14099" max="14099" width="10.7109375" style="968" customWidth="1"/>
    <col min="14100" max="14100" width="12.42578125" style="968" bestFit="1" customWidth="1"/>
    <col min="14101" max="14101" width="10.7109375" style="968" bestFit="1" customWidth="1"/>
    <col min="14102" max="14102" width="13.28515625" style="968" customWidth="1"/>
    <col min="14103" max="14103" width="12.7109375" style="968" customWidth="1"/>
    <col min="14104" max="14104" width="16.5703125" style="968" customWidth="1"/>
    <col min="14105" max="14105" width="14.140625" style="968" bestFit="1" customWidth="1"/>
    <col min="14106" max="14336" width="9.140625" style="968"/>
    <col min="14337" max="14338" width="5.28515625" style="968" customWidth="1"/>
    <col min="14339" max="14339" width="35.7109375" style="968" customWidth="1"/>
    <col min="14340" max="14340" width="7.85546875" style="968" customWidth="1"/>
    <col min="14341" max="14341" width="7" style="968" bestFit="1" customWidth="1"/>
    <col min="14342" max="14342" width="4.7109375" style="968" customWidth="1"/>
    <col min="14343" max="14343" width="5.7109375" style="968" customWidth="1"/>
    <col min="14344" max="14344" width="14.5703125" style="968" customWidth="1"/>
    <col min="14345" max="14345" width="13.85546875" style="968" customWidth="1"/>
    <col min="14346" max="14346" width="15.28515625" style="968" customWidth="1"/>
    <col min="14347" max="14347" width="13.28515625" style="968" customWidth="1"/>
    <col min="14348" max="14348" width="15.28515625" style="968" customWidth="1"/>
    <col min="14349" max="14349" width="13.85546875" style="968" customWidth="1"/>
    <col min="14350" max="14350" width="11.85546875" style="968" customWidth="1"/>
    <col min="14351" max="14351" width="13.42578125" style="968" customWidth="1"/>
    <col min="14352" max="14352" width="11.85546875" style="968" customWidth="1"/>
    <col min="14353" max="14353" width="14.42578125" style="968" customWidth="1"/>
    <col min="14354" max="14354" width="13.7109375" style="968" customWidth="1"/>
    <col min="14355" max="14355" width="10.7109375" style="968" customWidth="1"/>
    <col min="14356" max="14356" width="12.42578125" style="968" bestFit="1" customWidth="1"/>
    <col min="14357" max="14357" width="10.7109375" style="968" bestFit="1" customWidth="1"/>
    <col min="14358" max="14358" width="13.28515625" style="968" customWidth="1"/>
    <col min="14359" max="14359" width="12.7109375" style="968" customWidth="1"/>
    <col min="14360" max="14360" width="16.5703125" style="968" customWidth="1"/>
    <col min="14361" max="14361" width="14.140625" style="968" bestFit="1" customWidth="1"/>
    <col min="14362" max="14592" width="9.140625" style="968"/>
    <col min="14593" max="14594" width="5.28515625" style="968" customWidth="1"/>
    <col min="14595" max="14595" width="35.7109375" style="968" customWidth="1"/>
    <col min="14596" max="14596" width="7.85546875" style="968" customWidth="1"/>
    <col min="14597" max="14597" width="7" style="968" bestFit="1" customWidth="1"/>
    <col min="14598" max="14598" width="4.7109375" style="968" customWidth="1"/>
    <col min="14599" max="14599" width="5.7109375" style="968" customWidth="1"/>
    <col min="14600" max="14600" width="14.5703125" style="968" customWidth="1"/>
    <col min="14601" max="14601" width="13.85546875" style="968" customWidth="1"/>
    <col min="14602" max="14602" width="15.28515625" style="968" customWidth="1"/>
    <col min="14603" max="14603" width="13.28515625" style="968" customWidth="1"/>
    <col min="14604" max="14604" width="15.28515625" style="968" customWidth="1"/>
    <col min="14605" max="14605" width="13.85546875" style="968" customWidth="1"/>
    <col min="14606" max="14606" width="11.85546875" style="968" customWidth="1"/>
    <col min="14607" max="14607" width="13.42578125" style="968" customWidth="1"/>
    <col min="14608" max="14608" width="11.85546875" style="968" customWidth="1"/>
    <col min="14609" max="14609" width="14.42578125" style="968" customWidth="1"/>
    <col min="14610" max="14610" width="13.7109375" style="968" customWidth="1"/>
    <col min="14611" max="14611" width="10.7109375" style="968" customWidth="1"/>
    <col min="14612" max="14612" width="12.42578125" style="968" bestFit="1" customWidth="1"/>
    <col min="14613" max="14613" width="10.7109375" style="968" bestFit="1" customWidth="1"/>
    <col min="14614" max="14614" width="13.28515625" style="968" customWidth="1"/>
    <col min="14615" max="14615" width="12.7109375" style="968" customWidth="1"/>
    <col min="14616" max="14616" width="16.5703125" style="968" customWidth="1"/>
    <col min="14617" max="14617" width="14.140625" style="968" bestFit="1" customWidth="1"/>
    <col min="14618" max="14848" width="9.140625" style="968"/>
    <col min="14849" max="14850" width="5.28515625" style="968" customWidth="1"/>
    <col min="14851" max="14851" width="35.7109375" style="968" customWidth="1"/>
    <col min="14852" max="14852" width="7.85546875" style="968" customWidth="1"/>
    <col min="14853" max="14853" width="7" style="968" bestFit="1" customWidth="1"/>
    <col min="14854" max="14854" width="4.7109375" style="968" customWidth="1"/>
    <col min="14855" max="14855" width="5.7109375" style="968" customWidth="1"/>
    <col min="14856" max="14856" width="14.5703125" style="968" customWidth="1"/>
    <col min="14857" max="14857" width="13.85546875" style="968" customWidth="1"/>
    <col min="14858" max="14858" width="15.28515625" style="968" customWidth="1"/>
    <col min="14859" max="14859" width="13.28515625" style="968" customWidth="1"/>
    <col min="14860" max="14860" width="15.28515625" style="968" customWidth="1"/>
    <col min="14861" max="14861" width="13.85546875" style="968" customWidth="1"/>
    <col min="14862" max="14862" width="11.85546875" style="968" customWidth="1"/>
    <col min="14863" max="14863" width="13.42578125" style="968" customWidth="1"/>
    <col min="14864" max="14864" width="11.85546875" style="968" customWidth="1"/>
    <col min="14865" max="14865" width="14.42578125" style="968" customWidth="1"/>
    <col min="14866" max="14866" width="13.7109375" style="968" customWidth="1"/>
    <col min="14867" max="14867" width="10.7109375" style="968" customWidth="1"/>
    <col min="14868" max="14868" width="12.42578125" style="968" bestFit="1" customWidth="1"/>
    <col min="14869" max="14869" width="10.7109375" style="968" bestFit="1" customWidth="1"/>
    <col min="14870" max="14870" width="13.28515625" style="968" customWidth="1"/>
    <col min="14871" max="14871" width="12.7109375" style="968" customWidth="1"/>
    <col min="14872" max="14872" width="16.5703125" style="968" customWidth="1"/>
    <col min="14873" max="14873" width="14.140625" style="968" bestFit="1" customWidth="1"/>
    <col min="14874" max="15104" width="9.140625" style="968"/>
    <col min="15105" max="15106" width="5.28515625" style="968" customWidth="1"/>
    <col min="15107" max="15107" width="35.7109375" style="968" customWidth="1"/>
    <col min="15108" max="15108" width="7.85546875" style="968" customWidth="1"/>
    <col min="15109" max="15109" width="7" style="968" bestFit="1" customWidth="1"/>
    <col min="15110" max="15110" width="4.7109375" style="968" customWidth="1"/>
    <col min="15111" max="15111" width="5.7109375" style="968" customWidth="1"/>
    <col min="15112" max="15112" width="14.5703125" style="968" customWidth="1"/>
    <col min="15113" max="15113" width="13.85546875" style="968" customWidth="1"/>
    <col min="15114" max="15114" width="15.28515625" style="968" customWidth="1"/>
    <col min="15115" max="15115" width="13.28515625" style="968" customWidth="1"/>
    <col min="15116" max="15116" width="15.28515625" style="968" customWidth="1"/>
    <col min="15117" max="15117" width="13.85546875" style="968" customWidth="1"/>
    <col min="15118" max="15118" width="11.85546875" style="968" customWidth="1"/>
    <col min="15119" max="15119" width="13.42578125" style="968" customWidth="1"/>
    <col min="15120" max="15120" width="11.85546875" style="968" customWidth="1"/>
    <col min="15121" max="15121" width="14.42578125" style="968" customWidth="1"/>
    <col min="15122" max="15122" width="13.7109375" style="968" customWidth="1"/>
    <col min="15123" max="15123" width="10.7109375" style="968" customWidth="1"/>
    <col min="15124" max="15124" width="12.42578125" style="968" bestFit="1" customWidth="1"/>
    <col min="15125" max="15125" width="10.7109375" style="968" bestFit="1" customWidth="1"/>
    <col min="15126" max="15126" width="13.28515625" style="968" customWidth="1"/>
    <col min="15127" max="15127" width="12.7109375" style="968" customWidth="1"/>
    <col min="15128" max="15128" width="16.5703125" style="968" customWidth="1"/>
    <col min="15129" max="15129" width="14.140625" style="968" bestFit="1" customWidth="1"/>
    <col min="15130" max="15360" width="9.140625" style="968"/>
    <col min="15361" max="15362" width="5.28515625" style="968" customWidth="1"/>
    <col min="15363" max="15363" width="35.7109375" style="968" customWidth="1"/>
    <col min="15364" max="15364" width="7.85546875" style="968" customWidth="1"/>
    <col min="15365" max="15365" width="7" style="968" bestFit="1" customWidth="1"/>
    <col min="15366" max="15366" width="4.7109375" style="968" customWidth="1"/>
    <col min="15367" max="15367" width="5.7109375" style="968" customWidth="1"/>
    <col min="15368" max="15368" width="14.5703125" style="968" customWidth="1"/>
    <col min="15369" max="15369" width="13.85546875" style="968" customWidth="1"/>
    <col min="15370" max="15370" width="15.28515625" style="968" customWidth="1"/>
    <col min="15371" max="15371" width="13.28515625" style="968" customWidth="1"/>
    <col min="15372" max="15372" width="15.28515625" style="968" customWidth="1"/>
    <col min="15373" max="15373" width="13.85546875" style="968" customWidth="1"/>
    <col min="15374" max="15374" width="11.85546875" style="968" customWidth="1"/>
    <col min="15375" max="15375" width="13.42578125" style="968" customWidth="1"/>
    <col min="15376" max="15376" width="11.85546875" style="968" customWidth="1"/>
    <col min="15377" max="15377" width="14.42578125" style="968" customWidth="1"/>
    <col min="15378" max="15378" width="13.7109375" style="968" customWidth="1"/>
    <col min="15379" max="15379" width="10.7109375" style="968" customWidth="1"/>
    <col min="15380" max="15380" width="12.42578125" style="968" bestFit="1" customWidth="1"/>
    <col min="15381" max="15381" width="10.7109375" style="968" bestFit="1" customWidth="1"/>
    <col min="15382" max="15382" width="13.28515625" style="968" customWidth="1"/>
    <col min="15383" max="15383" width="12.7109375" style="968" customWidth="1"/>
    <col min="15384" max="15384" width="16.5703125" style="968" customWidth="1"/>
    <col min="15385" max="15385" width="14.140625" style="968" bestFit="1" customWidth="1"/>
    <col min="15386" max="15616" width="9.140625" style="968"/>
    <col min="15617" max="15618" width="5.28515625" style="968" customWidth="1"/>
    <col min="15619" max="15619" width="35.7109375" style="968" customWidth="1"/>
    <col min="15620" max="15620" width="7.85546875" style="968" customWidth="1"/>
    <col min="15621" max="15621" width="7" style="968" bestFit="1" customWidth="1"/>
    <col min="15622" max="15622" width="4.7109375" style="968" customWidth="1"/>
    <col min="15623" max="15623" width="5.7109375" style="968" customWidth="1"/>
    <col min="15624" max="15624" width="14.5703125" style="968" customWidth="1"/>
    <col min="15625" max="15625" width="13.85546875" style="968" customWidth="1"/>
    <col min="15626" max="15626" width="15.28515625" style="968" customWidth="1"/>
    <col min="15627" max="15627" width="13.28515625" style="968" customWidth="1"/>
    <col min="15628" max="15628" width="15.28515625" style="968" customWidth="1"/>
    <col min="15629" max="15629" width="13.85546875" style="968" customWidth="1"/>
    <col min="15630" max="15630" width="11.85546875" style="968" customWidth="1"/>
    <col min="15631" max="15631" width="13.42578125" style="968" customWidth="1"/>
    <col min="15632" max="15632" width="11.85546875" style="968" customWidth="1"/>
    <col min="15633" max="15633" width="14.42578125" style="968" customWidth="1"/>
    <col min="15634" max="15634" width="13.7109375" style="968" customWidth="1"/>
    <col min="15635" max="15635" width="10.7109375" style="968" customWidth="1"/>
    <col min="15636" max="15636" width="12.42578125" style="968" bestFit="1" customWidth="1"/>
    <col min="15637" max="15637" width="10.7109375" style="968" bestFit="1" customWidth="1"/>
    <col min="15638" max="15638" width="13.28515625" style="968" customWidth="1"/>
    <col min="15639" max="15639" width="12.7109375" style="968" customWidth="1"/>
    <col min="15640" max="15640" width="16.5703125" style="968" customWidth="1"/>
    <col min="15641" max="15641" width="14.140625" style="968" bestFit="1" customWidth="1"/>
    <col min="15642" max="15872" width="9.140625" style="968"/>
    <col min="15873" max="15874" width="5.28515625" style="968" customWidth="1"/>
    <col min="15875" max="15875" width="35.7109375" style="968" customWidth="1"/>
    <col min="15876" max="15876" width="7.85546875" style="968" customWidth="1"/>
    <col min="15877" max="15877" width="7" style="968" bestFit="1" customWidth="1"/>
    <col min="15878" max="15878" width="4.7109375" style="968" customWidth="1"/>
    <col min="15879" max="15879" width="5.7109375" style="968" customWidth="1"/>
    <col min="15880" max="15880" width="14.5703125" style="968" customWidth="1"/>
    <col min="15881" max="15881" width="13.85546875" style="968" customWidth="1"/>
    <col min="15882" max="15882" width="15.28515625" style="968" customWidth="1"/>
    <col min="15883" max="15883" width="13.28515625" style="968" customWidth="1"/>
    <col min="15884" max="15884" width="15.28515625" style="968" customWidth="1"/>
    <col min="15885" max="15885" width="13.85546875" style="968" customWidth="1"/>
    <col min="15886" max="15886" width="11.85546875" style="968" customWidth="1"/>
    <col min="15887" max="15887" width="13.42578125" style="968" customWidth="1"/>
    <col min="15888" max="15888" width="11.85546875" style="968" customWidth="1"/>
    <col min="15889" max="15889" width="14.42578125" style="968" customWidth="1"/>
    <col min="15890" max="15890" width="13.7109375" style="968" customWidth="1"/>
    <col min="15891" max="15891" width="10.7109375" style="968" customWidth="1"/>
    <col min="15892" max="15892" width="12.42578125" style="968" bestFit="1" customWidth="1"/>
    <col min="15893" max="15893" width="10.7109375" style="968" bestFit="1" customWidth="1"/>
    <col min="15894" max="15894" width="13.28515625" style="968" customWidth="1"/>
    <col min="15895" max="15895" width="12.7109375" style="968" customWidth="1"/>
    <col min="15896" max="15896" width="16.5703125" style="968" customWidth="1"/>
    <col min="15897" max="15897" width="14.140625" style="968" bestFit="1" customWidth="1"/>
    <col min="15898" max="16128" width="9.140625" style="968"/>
    <col min="16129" max="16130" width="5.28515625" style="968" customWidth="1"/>
    <col min="16131" max="16131" width="35.7109375" style="968" customWidth="1"/>
    <col min="16132" max="16132" width="7.85546875" style="968" customWidth="1"/>
    <col min="16133" max="16133" width="7" style="968" bestFit="1" customWidth="1"/>
    <col min="16134" max="16134" width="4.7109375" style="968" customWidth="1"/>
    <col min="16135" max="16135" width="5.7109375" style="968" customWidth="1"/>
    <col min="16136" max="16136" width="14.5703125" style="968" customWidth="1"/>
    <col min="16137" max="16137" width="13.85546875" style="968" customWidth="1"/>
    <col min="16138" max="16138" width="15.28515625" style="968" customWidth="1"/>
    <col min="16139" max="16139" width="13.28515625" style="968" customWidth="1"/>
    <col min="16140" max="16140" width="15.28515625" style="968" customWidth="1"/>
    <col min="16141" max="16141" width="13.85546875" style="968" customWidth="1"/>
    <col min="16142" max="16142" width="11.85546875" style="968" customWidth="1"/>
    <col min="16143" max="16143" width="13.42578125" style="968" customWidth="1"/>
    <col min="16144" max="16144" width="11.85546875" style="968" customWidth="1"/>
    <col min="16145" max="16145" width="14.42578125" style="968" customWidth="1"/>
    <col min="16146" max="16146" width="13.7109375" style="968" customWidth="1"/>
    <col min="16147" max="16147" width="10.7109375" style="968" customWidth="1"/>
    <col min="16148" max="16148" width="12.42578125" style="968" bestFit="1" customWidth="1"/>
    <col min="16149" max="16149" width="10.7109375" style="968" bestFit="1" customWidth="1"/>
    <col min="16150" max="16150" width="13.28515625" style="968" customWidth="1"/>
    <col min="16151" max="16151" width="12.7109375" style="968" customWidth="1"/>
    <col min="16152" max="16152" width="16.5703125" style="968" customWidth="1"/>
    <col min="16153" max="16153" width="14.140625" style="968" bestFit="1" customWidth="1"/>
    <col min="16154" max="16384" width="9.140625" style="968"/>
  </cols>
  <sheetData>
    <row r="1" spans="1:24" ht="31.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4" ht="15" customHeight="1" x14ac:dyDescent="0.25">
      <c r="A2" s="970"/>
      <c r="B2" s="970"/>
      <c r="C2" s="970"/>
      <c r="D2" s="970"/>
      <c r="E2" s="970"/>
      <c r="F2" s="970"/>
      <c r="G2" s="970"/>
      <c r="H2" s="970"/>
      <c r="I2" s="970"/>
      <c r="J2" s="970"/>
      <c r="K2" s="970"/>
      <c r="L2" s="970"/>
      <c r="M2" s="970"/>
      <c r="N2" s="970"/>
      <c r="O2" s="970"/>
      <c r="P2" s="970"/>
      <c r="Q2" s="970"/>
      <c r="R2" s="970"/>
      <c r="S2" s="970"/>
      <c r="T2" s="970"/>
      <c r="U2" s="970"/>
      <c r="V2" s="970"/>
      <c r="W2" s="970"/>
      <c r="X2" s="970"/>
    </row>
    <row r="3" spans="1:24" ht="26.25" customHeight="1" x14ac:dyDescent="0.25">
      <c r="A3" s="2055" t="s">
        <v>24</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24" x14ac:dyDescent="0.25">
      <c r="Q4" s="972"/>
    </row>
    <row r="5" spans="1:24" x14ac:dyDescent="0.25">
      <c r="A5" s="2056" t="s">
        <v>37</v>
      </c>
      <c r="B5" s="1773" t="s">
        <v>1640</v>
      </c>
      <c r="C5" s="2058" t="s">
        <v>2</v>
      </c>
      <c r="D5" s="2037" t="s">
        <v>1641</v>
      </c>
      <c r="E5" s="2037" t="s">
        <v>116</v>
      </c>
      <c r="F5" s="2037" t="s">
        <v>1642</v>
      </c>
      <c r="G5" s="2037" t="s">
        <v>1643</v>
      </c>
      <c r="H5" s="2039" t="s">
        <v>1644</v>
      </c>
      <c r="I5" s="2039"/>
      <c r="J5" s="2039"/>
      <c r="K5" s="2039"/>
      <c r="L5" s="2039"/>
      <c r="M5" s="2039"/>
      <c r="N5" s="2039"/>
      <c r="O5" s="2066"/>
      <c r="P5" s="1433"/>
      <c r="Q5" s="2071" t="s">
        <v>1645</v>
      </c>
      <c r="R5" s="2039"/>
      <c r="S5" s="2039"/>
      <c r="T5" s="2039"/>
      <c r="U5" s="2039"/>
      <c r="V5" s="2039"/>
      <c r="W5" s="2039"/>
      <c r="X5" s="2041"/>
    </row>
    <row r="6" spans="1:24" ht="81.599999999999994" customHeight="1" x14ac:dyDescent="0.25">
      <c r="A6" s="2057"/>
      <c r="B6" s="1774"/>
      <c r="C6" s="2059"/>
      <c r="D6" s="2038"/>
      <c r="E6" s="2038"/>
      <c r="F6" s="2038"/>
      <c r="G6" s="2038"/>
      <c r="H6" s="941" t="s">
        <v>1698</v>
      </c>
      <c r="I6" s="941" t="s">
        <v>1647</v>
      </c>
      <c r="J6" s="941" t="s">
        <v>1669</v>
      </c>
      <c r="K6" s="941" t="s">
        <v>1699</v>
      </c>
      <c r="L6" s="941" t="s">
        <v>1700</v>
      </c>
      <c r="M6" s="941" t="s">
        <v>1672</v>
      </c>
      <c r="N6" s="941" t="s">
        <v>1673</v>
      </c>
      <c r="O6" s="941" t="s">
        <v>1653</v>
      </c>
      <c r="P6" s="944" t="s">
        <v>1654</v>
      </c>
      <c r="Q6" s="943" t="s">
        <v>1655</v>
      </c>
      <c r="R6" s="941" t="s">
        <v>1656</v>
      </c>
      <c r="S6" s="941" t="s">
        <v>1695</v>
      </c>
      <c r="T6" s="941" t="s">
        <v>1701</v>
      </c>
      <c r="U6" s="941" t="s">
        <v>1659</v>
      </c>
      <c r="V6" s="941" t="s">
        <v>1660</v>
      </c>
      <c r="W6" s="941" t="s">
        <v>1661</v>
      </c>
      <c r="X6" s="944" t="s">
        <v>1677</v>
      </c>
    </row>
    <row r="7" spans="1:24" ht="16.5" customHeight="1" x14ac:dyDescent="0.25">
      <c r="A7" s="2056" t="s">
        <v>194</v>
      </c>
      <c r="B7" s="2058" t="s">
        <v>199</v>
      </c>
      <c r="C7" s="2060" t="s">
        <v>1751</v>
      </c>
      <c r="D7" s="974" t="s">
        <v>1821</v>
      </c>
      <c r="E7" s="974" t="s">
        <v>162</v>
      </c>
      <c r="F7" s="974" t="s">
        <v>90</v>
      </c>
      <c r="G7" s="1011" t="s">
        <v>1754</v>
      </c>
      <c r="H7" s="949"/>
      <c r="I7" s="949"/>
      <c r="J7" s="949">
        <v>141374</v>
      </c>
      <c r="K7" s="949"/>
      <c r="L7" s="949"/>
      <c r="M7" s="949"/>
      <c r="N7" s="949"/>
      <c r="O7" s="949"/>
      <c r="P7" s="976"/>
      <c r="Q7" s="1317"/>
      <c r="R7" s="949"/>
      <c r="S7" s="949"/>
      <c r="T7" s="949">
        <v>141374</v>
      </c>
      <c r="U7" s="949"/>
      <c r="V7" s="949"/>
      <c r="W7" s="949"/>
      <c r="X7" s="976"/>
    </row>
    <row r="8" spans="1:24" ht="16.5" customHeight="1" x14ac:dyDescent="0.25">
      <c r="A8" s="2062"/>
      <c r="B8" s="2061"/>
      <c r="C8" s="2028"/>
      <c r="D8" s="978" t="s">
        <v>1821</v>
      </c>
      <c r="E8" s="1000" t="s">
        <v>162</v>
      </c>
      <c r="F8" s="1000" t="s">
        <v>132</v>
      </c>
      <c r="G8" s="1000" t="s">
        <v>1752</v>
      </c>
      <c r="H8" s="980"/>
      <c r="I8" s="980"/>
      <c r="J8" s="980"/>
      <c r="K8" s="980"/>
      <c r="L8" s="980"/>
      <c r="M8" s="980"/>
      <c r="N8" s="980"/>
      <c r="O8" s="980"/>
      <c r="P8" s="981"/>
      <c r="Q8" s="1318"/>
      <c r="R8" s="980"/>
      <c r="S8" s="980"/>
      <c r="T8" s="980">
        <v>-141374</v>
      </c>
      <c r="U8" s="980"/>
      <c r="V8" s="980"/>
      <c r="W8" s="980"/>
      <c r="X8" s="981"/>
    </row>
    <row r="9" spans="1:24" ht="16.5" customHeight="1" x14ac:dyDescent="0.25">
      <c r="A9" s="2062"/>
      <c r="B9" s="2061"/>
      <c r="C9" s="2028"/>
      <c r="D9" s="978" t="s">
        <v>1821</v>
      </c>
      <c r="E9" s="1000" t="s">
        <v>1297</v>
      </c>
      <c r="F9" s="1000" t="s">
        <v>127</v>
      </c>
      <c r="G9" s="1000" t="s">
        <v>1752</v>
      </c>
      <c r="H9" s="980"/>
      <c r="I9" s="980"/>
      <c r="J9" s="980">
        <v>-141374</v>
      </c>
      <c r="K9" s="980"/>
      <c r="L9" s="980"/>
      <c r="M9" s="980"/>
      <c r="N9" s="980"/>
      <c r="O9" s="980"/>
      <c r="P9" s="981"/>
      <c r="Q9" s="1318"/>
      <c r="R9" s="980"/>
      <c r="S9" s="980"/>
      <c r="T9" s="980"/>
      <c r="U9" s="980"/>
      <c r="V9" s="980"/>
      <c r="W9" s="980"/>
      <c r="X9" s="981"/>
    </row>
    <row r="10" spans="1:24" ht="19.5" customHeight="1" x14ac:dyDescent="0.25">
      <c r="A10" s="2062" t="s">
        <v>195</v>
      </c>
      <c r="B10" s="2061" t="s">
        <v>200</v>
      </c>
      <c r="C10" s="2028" t="s">
        <v>1765</v>
      </c>
      <c r="D10" s="978" t="s">
        <v>1821</v>
      </c>
      <c r="E10" s="1000" t="s">
        <v>162</v>
      </c>
      <c r="F10" s="1000" t="s">
        <v>90</v>
      </c>
      <c r="G10" s="1000" t="s">
        <v>1752</v>
      </c>
      <c r="H10" s="980">
        <v>-1076873</v>
      </c>
      <c r="I10" s="980">
        <v>-140693</v>
      </c>
      <c r="J10" s="980"/>
      <c r="K10" s="980"/>
      <c r="L10" s="980"/>
      <c r="M10" s="980"/>
      <c r="N10" s="980"/>
      <c r="O10" s="980"/>
      <c r="P10" s="981"/>
      <c r="Q10" s="1318"/>
      <c r="R10" s="980"/>
      <c r="S10" s="980"/>
      <c r="T10" s="980"/>
      <c r="U10" s="980"/>
      <c r="V10" s="980"/>
      <c r="W10" s="980"/>
      <c r="X10" s="981"/>
    </row>
    <row r="11" spans="1:24" ht="19.5" customHeight="1" x14ac:dyDescent="0.25">
      <c r="A11" s="2062"/>
      <c r="B11" s="2061"/>
      <c r="C11" s="2028"/>
      <c r="D11" s="978" t="s">
        <v>1821</v>
      </c>
      <c r="E11" s="1000" t="s">
        <v>790</v>
      </c>
      <c r="F11" s="1000" t="s">
        <v>131</v>
      </c>
      <c r="G11" s="1000" t="s">
        <v>1754</v>
      </c>
      <c r="H11" s="980">
        <f>682384+34489+360000</f>
        <v>1076873</v>
      </c>
      <c r="I11" s="980">
        <v>140693</v>
      </c>
      <c r="J11" s="980"/>
      <c r="K11" s="980"/>
      <c r="L11" s="980"/>
      <c r="M11" s="980"/>
      <c r="N11" s="980"/>
      <c r="O11" s="980"/>
      <c r="P11" s="981"/>
      <c r="Q11" s="1318"/>
      <c r="R11" s="980"/>
      <c r="S11" s="980"/>
      <c r="T11" s="980"/>
      <c r="U11" s="980"/>
      <c r="V11" s="980"/>
      <c r="W11" s="980"/>
      <c r="X11" s="981"/>
    </row>
    <row r="12" spans="1:24" ht="19.5" customHeight="1" x14ac:dyDescent="0.25">
      <c r="A12" s="2062" t="s">
        <v>196</v>
      </c>
      <c r="B12" s="2061" t="s">
        <v>201</v>
      </c>
      <c r="C12" s="2028" t="s">
        <v>1767</v>
      </c>
      <c r="D12" s="978" t="s">
        <v>1821</v>
      </c>
      <c r="E12" s="1000" t="s">
        <v>162</v>
      </c>
      <c r="F12" s="1000" t="s">
        <v>90</v>
      </c>
      <c r="G12" s="1000" t="s">
        <v>1752</v>
      </c>
      <c r="H12" s="980">
        <v>-1095854</v>
      </c>
      <c r="I12" s="980">
        <v>-83901</v>
      </c>
      <c r="J12" s="980"/>
      <c r="K12" s="980"/>
      <c r="L12" s="980"/>
      <c r="M12" s="980"/>
      <c r="N12" s="980"/>
      <c r="O12" s="980"/>
      <c r="P12" s="981"/>
      <c r="Q12" s="1318"/>
      <c r="R12" s="980"/>
      <c r="S12" s="980"/>
      <c r="T12" s="980"/>
      <c r="U12" s="980"/>
      <c r="V12" s="980"/>
      <c r="W12" s="980"/>
      <c r="X12" s="981"/>
    </row>
    <row r="13" spans="1:24" ht="19.5" customHeight="1" x14ac:dyDescent="0.25">
      <c r="A13" s="2062"/>
      <c r="B13" s="2061"/>
      <c r="C13" s="2028"/>
      <c r="D13" s="978" t="s">
        <v>1821</v>
      </c>
      <c r="E13" s="1000" t="s">
        <v>790</v>
      </c>
      <c r="F13" s="1000" t="s">
        <v>131</v>
      </c>
      <c r="G13" s="1000" t="s">
        <v>1754</v>
      </c>
      <c r="H13" s="980">
        <f>690344+8239+37271+360000</f>
        <v>1095854</v>
      </c>
      <c r="I13" s="980">
        <v>83901</v>
      </c>
      <c r="J13" s="980"/>
      <c r="K13" s="980"/>
      <c r="L13" s="980"/>
      <c r="M13" s="980"/>
      <c r="N13" s="980"/>
      <c r="O13" s="980"/>
      <c r="P13" s="981"/>
      <c r="Q13" s="1318"/>
      <c r="R13" s="980"/>
      <c r="S13" s="980"/>
      <c r="T13" s="980"/>
      <c r="U13" s="980"/>
      <c r="V13" s="980"/>
      <c r="W13" s="980"/>
      <c r="X13" s="981"/>
    </row>
    <row r="14" spans="1:24" ht="21" customHeight="1" x14ac:dyDescent="0.25">
      <c r="A14" s="2062" t="s">
        <v>197</v>
      </c>
      <c r="B14" s="2061" t="s">
        <v>202</v>
      </c>
      <c r="C14" s="2028" t="s">
        <v>1850</v>
      </c>
      <c r="D14" s="978" t="s">
        <v>1821</v>
      </c>
      <c r="E14" s="1000" t="s">
        <v>162</v>
      </c>
      <c r="F14" s="1000" t="s">
        <v>90</v>
      </c>
      <c r="G14" s="1000" t="s">
        <v>1752</v>
      </c>
      <c r="H14" s="980">
        <v>-1125327</v>
      </c>
      <c r="I14" s="980">
        <v>-101346</v>
      </c>
      <c r="J14" s="980"/>
      <c r="K14" s="980"/>
      <c r="L14" s="980"/>
      <c r="M14" s="980"/>
      <c r="N14" s="980"/>
      <c r="O14" s="980"/>
      <c r="P14" s="981"/>
      <c r="Q14" s="1318"/>
      <c r="R14" s="980"/>
      <c r="S14" s="980"/>
      <c r="T14" s="980"/>
      <c r="U14" s="980"/>
      <c r="V14" s="980"/>
      <c r="W14" s="980"/>
      <c r="X14" s="981"/>
    </row>
    <row r="15" spans="1:24" ht="21" customHeight="1" x14ac:dyDescent="0.25">
      <c r="A15" s="2062"/>
      <c r="B15" s="2061"/>
      <c r="C15" s="2028"/>
      <c r="D15" s="978" t="s">
        <v>1821</v>
      </c>
      <c r="E15" s="1000" t="s">
        <v>790</v>
      </c>
      <c r="F15" s="1000" t="s">
        <v>131</v>
      </c>
      <c r="G15" s="1000" t="s">
        <v>1754</v>
      </c>
      <c r="H15" s="980">
        <f>743588+21739+360000</f>
        <v>1125327</v>
      </c>
      <c r="I15" s="980">
        <v>101346</v>
      </c>
      <c r="J15" s="980"/>
      <c r="K15" s="980"/>
      <c r="L15" s="980"/>
      <c r="M15" s="980"/>
      <c r="N15" s="980"/>
      <c r="O15" s="980"/>
      <c r="P15" s="981"/>
      <c r="Q15" s="1318"/>
      <c r="R15" s="980"/>
      <c r="S15" s="980"/>
      <c r="T15" s="980"/>
      <c r="U15" s="980"/>
      <c r="V15" s="980"/>
      <c r="W15" s="980"/>
      <c r="X15" s="981"/>
    </row>
    <row r="16" spans="1:24" ht="17.25" customHeight="1" x14ac:dyDescent="0.25">
      <c r="A16" s="2062" t="s">
        <v>198</v>
      </c>
      <c r="B16" s="2061" t="s">
        <v>203</v>
      </c>
      <c r="C16" s="2028" t="s">
        <v>1928</v>
      </c>
      <c r="D16" s="978" t="s">
        <v>1821</v>
      </c>
      <c r="E16" s="1000" t="s">
        <v>162</v>
      </c>
      <c r="F16" s="1000" t="s">
        <v>90</v>
      </c>
      <c r="G16" s="1000" t="s">
        <v>1752</v>
      </c>
      <c r="H16" s="980">
        <v>-1523029</v>
      </c>
      <c r="I16" s="980">
        <v>-212463</v>
      </c>
      <c r="J16" s="980"/>
      <c r="K16" s="980"/>
      <c r="L16" s="980"/>
      <c r="M16" s="980"/>
      <c r="N16" s="980"/>
      <c r="O16" s="980"/>
      <c r="P16" s="981"/>
      <c r="Q16" s="1318"/>
      <c r="R16" s="980"/>
      <c r="S16" s="980"/>
      <c r="T16" s="980"/>
      <c r="U16" s="980"/>
      <c r="V16" s="980"/>
      <c r="W16" s="980"/>
      <c r="X16" s="981"/>
    </row>
    <row r="17" spans="1:24" ht="17.25" customHeight="1" x14ac:dyDescent="0.25">
      <c r="A17" s="2062"/>
      <c r="B17" s="2061"/>
      <c r="C17" s="2028"/>
      <c r="D17" s="978" t="s">
        <v>1821</v>
      </c>
      <c r="E17" s="1000" t="s">
        <v>790</v>
      </c>
      <c r="F17" s="1000" t="s">
        <v>131</v>
      </c>
      <c r="G17" s="1000" t="s">
        <v>1754</v>
      </c>
      <c r="H17" s="980">
        <f>709790+400000+23239+390000</f>
        <v>1523029</v>
      </c>
      <c r="I17" s="980">
        <v>212463</v>
      </c>
      <c r="J17" s="980"/>
      <c r="K17" s="980"/>
      <c r="L17" s="980"/>
      <c r="M17" s="980"/>
      <c r="N17" s="980"/>
      <c r="O17" s="980"/>
      <c r="P17" s="981"/>
      <c r="Q17" s="1318"/>
      <c r="R17" s="980"/>
      <c r="S17" s="980"/>
      <c r="T17" s="980"/>
      <c r="U17" s="980"/>
      <c r="V17" s="980"/>
      <c r="W17" s="980"/>
      <c r="X17" s="981"/>
    </row>
    <row r="18" spans="1:24" ht="21.75" customHeight="1" x14ac:dyDescent="0.25">
      <c r="A18" s="2062" t="s">
        <v>199</v>
      </c>
      <c r="B18" s="2061" t="s">
        <v>204</v>
      </c>
      <c r="C18" s="2026" t="s">
        <v>2538</v>
      </c>
      <c r="D18" s="978" t="s">
        <v>1821</v>
      </c>
      <c r="E18" s="1000" t="s">
        <v>1297</v>
      </c>
      <c r="F18" s="1000" t="s">
        <v>127</v>
      </c>
      <c r="G18" s="1000" t="s">
        <v>1754</v>
      </c>
      <c r="H18" s="980"/>
      <c r="I18" s="980"/>
      <c r="J18" s="980"/>
      <c r="K18" s="980"/>
      <c r="L18" s="980"/>
      <c r="M18" s="980"/>
      <c r="N18" s="980"/>
      <c r="O18" s="980"/>
      <c r="P18" s="981"/>
      <c r="Q18" s="1318"/>
      <c r="R18" s="980"/>
      <c r="S18" s="980"/>
      <c r="T18" s="980"/>
      <c r="U18" s="980"/>
      <c r="V18" s="980"/>
      <c r="W18" s="980"/>
      <c r="X18" s="981">
        <v>250000</v>
      </c>
    </row>
    <row r="19" spans="1:24" ht="34.5" customHeight="1" x14ac:dyDescent="0.25">
      <c r="A19" s="2062"/>
      <c r="B19" s="2061"/>
      <c r="C19" s="2026"/>
      <c r="D19" s="978" t="s">
        <v>1821</v>
      </c>
      <c r="E19" s="1000" t="s">
        <v>162</v>
      </c>
      <c r="F19" s="1000" t="s">
        <v>151</v>
      </c>
      <c r="G19" s="1000" t="s">
        <v>1754</v>
      </c>
      <c r="H19" s="980"/>
      <c r="I19" s="980"/>
      <c r="J19" s="980">
        <f>196850+53150</f>
        <v>250000</v>
      </c>
      <c r="K19" s="980"/>
      <c r="L19" s="980"/>
      <c r="M19" s="980"/>
      <c r="N19" s="980"/>
      <c r="O19" s="980"/>
      <c r="P19" s="981"/>
      <c r="Q19" s="1318"/>
      <c r="R19" s="980"/>
      <c r="S19" s="980"/>
      <c r="T19" s="980"/>
      <c r="U19" s="980"/>
      <c r="V19" s="980"/>
      <c r="W19" s="980"/>
      <c r="X19" s="981"/>
    </row>
    <row r="20" spans="1:24" ht="21.75" customHeight="1" x14ac:dyDescent="0.25">
      <c r="A20" s="2062" t="s">
        <v>200</v>
      </c>
      <c r="B20" s="2061" t="s">
        <v>231</v>
      </c>
      <c r="C20" s="2026" t="s">
        <v>1930</v>
      </c>
      <c r="D20" s="978" t="s">
        <v>1821</v>
      </c>
      <c r="E20" s="1000" t="s">
        <v>1297</v>
      </c>
      <c r="F20" s="1000" t="s">
        <v>127</v>
      </c>
      <c r="G20" s="1000" t="s">
        <v>1754</v>
      </c>
      <c r="H20" s="980"/>
      <c r="I20" s="980"/>
      <c r="J20" s="980"/>
      <c r="K20" s="980"/>
      <c r="L20" s="980"/>
      <c r="M20" s="980"/>
      <c r="N20" s="980"/>
      <c r="O20" s="980"/>
      <c r="P20" s="981"/>
      <c r="Q20" s="1318"/>
      <c r="R20" s="980"/>
      <c r="S20" s="980"/>
      <c r="T20" s="980"/>
      <c r="U20" s="980"/>
      <c r="V20" s="980"/>
      <c r="W20" s="980"/>
      <c r="X20" s="981">
        <v>7315200</v>
      </c>
    </row>
    <row r="21" spans="1:24" ht="21.75" customHeight="1" x14ac:dyDescent="0.25">
      <c r="A21" s="2062"/>
      <c r="B21" s="2061"/>
      <c r="C21" s="2026"/>
      <c r="D21" s="978" t="s">
        <v>1821</v>
      </c>
      <c r="E21" s="1000" t="s">
        <v>162</v>
      </c>
      <c r="F21" s="1000" t="s">
        <v>90</v>
      </c>
      <c r="G21" s="1000" t="s">
        <v>1754</v>
      </c>
      <c r="H21" s="980"/>
      <c r="I21" s="980"/>
      <c r="J21" s="980">
        <f>5760000+1555200</f>
        <v>7315200</v>
      </c>
      <c r="K21" s="980"/>
      <c r="L21" s="980"/>
      <c r="M21" s="980"/>
      <c r="N21" s="980"/>
      <c r="O21" s="980"/>
      <c r="P21" s="981"/>
      <c r="Q21" s="1318"/>
      <c r="R21" s="980"/>
      <c r="S21" s="980"/>
      <c r="T21" s="980"/>
      <c r="U21" s="980"/>
      <c r="V21" s="980"/>
      <c r="W21" s="980"/>
      <c r="X21" s="981"/>
    </row>
    <row r="22" spans="1:24" ht="52.5" customHeight="1" x14ac:dyDescent="0.25">
      <c r="A22" s="1432" t="s">
        <v>201</v>
      </c>
      <c r="B22" s="1431" t="s">
        <v>232</v>
      </c>
      <c r="C22" s="1424" t="s">
        <v>2535</v>
      </c>
      <c r="D22" s="978" t="s">
        <v>1821</v>
      </c>
      <c r="E22" s="1000" t="s">
        <v>162</v>
      </c>
      <c r="F22" s="1000" t="s">
        <v>151</v>
      </c>
      <c r="G22" s="1000" t="s">
        <v>1754</v>
      </c>
      <c r="H22" s="980"/>
      <c r="I22" s="980"/>
      <c r="J22" s="980">
        <f>275591+74409</f>
        <v>350000</v>
      </c>
      <c r="K22" s="980"/>
      <c r="L22" s="980"/>
      <c r="M22" s="980"/>
      <c r="N22" s="980"/>
      <c r="O22" s="980"/>
      <c r="P22" s="981"/>
      <c r="Q22" s="1318">
        <v>350000</v>
      </c>
      <c r="R22" s="980"/>
      <c r="S22" s="980"/>
      <c r="T22" s="980"/>
      <c r="U22" s="980"/>
      <c r="V22" s="980"/>
      <c r="W22" s="980"/>
      <c r="X22" s="981"/>
    </row>
    <row r="23" spans="1:24" ht="33.75" customHeight="1" x14ac:dyDescent="0.25">
      <c r="A23" s="1432" t="s">
        <v>202</v>
      </c>
      <c r="B23" s="1431" t="s">
        <v>233</v>
      </c>
      <c r="C23" s="1424" t="s">
        <v>2086</v>
      </c>
      <c r="D23" s="978" t="s">
        <v>1821</v>
      </c>
      <c r="E23" s="1000" t="s">
        <v>162</v>
      </c>
      <c r="F23" s="1000" t="s">
        <v>150</v>
      </c>
      <c r="G23" s="1000" t="s">
        <v>1766</v>
      </c>
      <c r="H23" s="980"/>
      <c r="I23" s="980"/>
      <c r="J23" s="980">
        <f>-74000+74000</f>
        <v>0</v>
      </c>
      <c r="K23" s="980"/>
      <c r="L23" s="980"/>
      <c r="M23" s="980"/>
      <c r="N23" s="980"/>
      <c r="O23" s="980"/>
      <c r="P23" s="981"/>
      <c r="Q23" s="1318"/>
      <c r="R23" s="980"/>
      <c r="S23" s="980"/>
      <c r="T23" s="980"/>
      <c r="U23" s="980"/>
      <c r="V23" s="980"/>
      <c r="W23" s="980"/>
      <c r="X23" s="981"/>
    </row>
    <row r="24" spans="1:24" ht="45" customHeight="1" x14ac:dyDescent="0.25">
      <c r="A24" s="1432" t="s">
        <v>203</v>
      </c>
      <c r="B24" s="1431" t="s">
        <v>234</v>
      </c>
      <c r="C24" s="1424" t="s">
        <v>2386</v>
      </c>
      <c r="D24" s="978" t="s">
        <v>1821</v>
      </c>
      <c r="E24" s="1000" t="s">
        <v>162</v>
      </c>
      <c r="F24" s="1000" t="s">
        <v>151</v>
      </c>
      <c r="G24" s="1000" t="s">
        <v>1766</v>
      </c>
      <c r="H24" s="980"/>
      <c r="I24" s="980"/>
      <c r="J24" s="980">
        <f>-52252+52252</f>
        <v>0</v>
      </c>
      <c r="K24" s="980"/>
      <c r="L24" s="980"/>
      <c r="M24" s="980"/>
      <c r="N24" s="980"/>
      <c r="O24" s="980"/>
      <c r="P24" s="981"/>
      <c r="Q24" s="1318"/>
      <c r="R24" s="980"/>
      <c r="S24" s="980"/>
      <c r="T24" s="980"/>
      <c r="U24" s="980"/>
      <c r="V24" s="980"/>
      <c r="W24" s="980"/>
      <c r="X24" s="981"/>
    </row>
    <row r="25" spans="1:24" ht="19.5" customHeight="1" x14ac:dyDescent="0.25">
      <c r="A25" s="1429"/>
      <c r="B25" s="1430"/>
      <c r="C25" s="982"/>
      <c r="D25" s="1017"/>
      <c r="E25" s="1173"/>
      <c r="F25" s="1173"/>
      <c r="G25" s="1017"/>
      <c r="H25" s="985"/>
      <c r="I25" s="985"/>
      <c r="J25" s="985"/>
      <c r="K25" s="985"/>
      <c r="L25" s="985"/>
      <c r="M25" s="985"/>
      <c r="N25" s="985"/>
      <c r="O25" s="985"/>
      <c r="P25" s="986"/>
      <c r="Q25" s="1319"/>
      <c r="R25" s="985"/>
      <c r="S25" s="985"/>
      <c r="T25" s="985"/>
      <c r="U25" s="985"/>
      <c r="V25" s="985"/>
      <c r="W25" s="985"/>
      <c r="X25" s="986"/>
    </row>
    <row r="26" spans="1:24" ht="18.75" x14ac:dyDescent="0.3">
      <c r="A26" s="2021" t="s">
        <v>1663</v>
      </c>
      <c r="B26" s="2022"/>
      <c r="C26" s="2022"/>
      <c r="D26" s="956"/>
      <c r="E26" s="956"/>
      <c r="F26" s="956"/>
      <c r="G26" s="956"/>
      <c r="H26" s="1252">
        <f t="shared" ref="H26:X26" si="0">SUM(H7:H25)</f>
        <v>0</v>
      </c>
      <c r="I26" s="1252">
        <f t="shared" si="0"/>
        <v>0</v>
      </c>
      <c r="J26" s="1252">
        <f t="shared" si="0"/>
        <v>7915200</v>
      </c>
      <c r="K26" s="1252">
        <f t="shared" si="0"/>
        <v>0</v>
      </c>
      <c r="L26" s="1252">
        <f t="shared" si="0"/>
        <v>0</v>
      </c>
      <c r="M26" s="1252">
        <f t="shared" si="0"/>
        <v>0</v>
      </c>
      <c r="N26" s="1252">
        <f t="shared" si="0"/>
        <v>0</v>
      </c>
      <c r="O26" s="1252">
        <f t="shared" si="0"/>
        <v>0</v>
      </c>
      <c r="P26" s="1059">
        <f t="shared" si="0"/>
        <v>0</v>
      </c>
      <c r="Q26" s="1060">
        <f t="shared" si="0"/>
        <v>350000</v>
      </c>
      <c r="R26" s="1058">
        <f t="shared" si="0"/>
        <v>0</v>
      </c>
      <c r="S26" s="1058">
        <f t="shared" si="0"/>
        <v>0</v>
      </c>
      <c r="T26" s="1058">
        <f t="shared" si="0"/>
        <v>0</v>
      </c>
      <c r="U26" s="1058">
        <f t="shared" si="0"/>
        <v>0</v>
      </c>
      <c r="V26" s="1058">
        <f t="shared" si="0"/>
        <v>0</v>
      </c>
      <c r="W26" s="1058">
        <f t="shared" si="0"/>
        <v>0</v>
      </c>
      <c r="X26" s="1220">
        <f t="shared" si="0"/>
        <v>7565200</v>
      </c>
    </row>
    <row r="27" spans="1:24" ht="18" customHeight="1" x14ac:dyDescent="0.3">
      <c r="A27" s="988"/>
      <c r="B27" s="988"/>
      <c r="C27" s="988"/>
      <c r="D27" s="990"/>
      <c r="E27" s="990"/>
      <c r="F27" s="990"/>
      <c r="G27" s="990"/>
      <c r="H27" s="1018"/>
      <c r="I27" s="1018"/>
      <c r="J27" s="1018"/>
      <c r="K27" s="1018"/>
      <c r="L27" s="1018"/>
      <c r="M27" s="1018"/>
      <c r="N27" s="1018"/>
      <c r="O27" s="1018"/>
      <c r="P27" s="1018"/>
      <c r="Q27" s="1018"/>
      <c r="R27" s="1018"/>
      <c r="S27" s="1018"/>
      <c r="T27" s="1018"/>
      <c r="U27" s="1018"/>
      <c r="V27" s="1018"/>
      <c r="W27" s="1018"/>
      <c r="X27" s="1018"/>
    </row>
    <row r="28" spans="1:24" ht="17.25" customHeight="1" x14ac:dyDescent="0.3">
      <c r="A28" s="988"/>
      <c r="B28" s="988"/>
      <c r="C28" s="988"/>
      <c r="D28" s="990"/>
      <c r="E28" s="990"/>
      <c r="F28" s="990"/>
      <c r="G28" s="990"/>
      <c r="H28" s="966"/>
      <c r="I28" s="966"/>
      <c r="J28" s="966"/>
      <c r="K28" s="966"/>
      <c r="L28" s="966"/>
      <c r="M28" s="966"/>
      <c r="N28" s="966"/>
      <c r="O28" s="966"/>
      <c r="P28" s="966"/>
      <c r="Q28" s="966"/>
      <c r="R28" s="966"/>
      <c r="S28" s="966"/>
      <c r="T28" s="966"/>
      <c r="U28" s="966"/>
      <c r="V28" s="966"/>
      <c r="W28" s="966"/>
      <c r="X28" s="966"/>
    </row>
    <row r="29" spans="1:24" ht="17.25" customHeight="1" x14ac:dyDescent="0.3">
      <c r="A29" s="988"/>
      <c r="B29" s="988"/>
      <c r="C29" s="988"/>
      <c r="D29" s="990"/>
      <c r="E29" s="990"/>
      <c r="F29" s="990"/>
      <c r="G29" s="990"/>
      <c r="H29" s="966"/>
      <c r="I29" s="966"/>
      <c r="J29" s="966"/>
      <c r="K29" s="966"/>
      <c r="L29" s="966"/>
      <c r="M29" s="966"/>
      <c r="N29" s="966"/>
      <c r="O29" s="966"/>
      <c r="P29" s="966"/>
      <c r="Q29" s="966"/>
      <c r="R29" s="966"/>
      <c r="S29" s="966"/>
      <c r="T29" s="966"/>
      <c r="U29" s="966"/>
      <c r="V29" s="966"/>
      <c r="W29" s="966"/>
      <c r="X29" s="966"/>
    </row>
    <row r="30" spans="1:24" ht="21" customHeight="1" x14ac:dyDescent="0.25">
      <c r="H30" s="995"/>
      <c r="I30" s="2042" t="s">
        <v>1664</v>
      </c>
      <c r="J30" s="2042"/>
      <c r="K30" s="2042"/>
      <c r="L30" s="2042">
        <v>342564947</v>
      </c>
      <c r="M30" s="2042"/>
      <c r="N30" s="996"/>
      <c r="O30" s="996"/>
      <c r="P30" s="996"/>
      <c r="Q30" s="996"/>
      <c r="R30" s="2042" t="s">
        <v>1665</v>
      </c>
      <c r="S30" s="2042"/>
      <c r="T30" s="2042"/>
      <c r="U30" s="2042">
        <v>342564947</v>
      </c>
      <c r="V30" s="2042"/>
      <c r="W30" s="995"/>
      <c r="X30" s="995"/>
    </row>
    <row r="31" spans="1:24" ht="21" customHeight="1" x14ac:dyDescent="0.25">
      <c r="H31" s="995"/>
      <c r="I31" s="2042" t="s">
        <v>1666</v>
      </c>
      <c r="J31" s="2042"/>
      <c r="K31" s="2042"/>
      <c r="L31" s="2042">
        <f>SUM(H26:P26)</f>
        <v>7915200</v>
      </c>
      <c r="M31" s="2042"/>
      <c r="N31" s="996"/>
      <c r="O31" s="996"/>
      <c r="P31" s="996"/>
      <c r="Q31" s="996"/>
      <c r="R31" s="2042" t="s">
        <v>1666</v>
      </c>
      <c r="S31" s="2042"/>
      <c r="T31" s="2042"/>
      <c r="U31" s="2042">
        <f>SUM(Q26:X26)</f>
        <v>7915200</v>
      </c>
      <c r="V31" s="2042"/>
      <c r="W31" s="995"/>
      <c r="X31" s="995"/>
    </row>
    <row r="32" spans="1:24" ht="21" customHeight="1" x14ac:dyDescent="0.25">
      <c r="H32" s="995"/>
      <c r="I32" s="2042" t="s">
        <v>1512</v>
      </c>
      <c r="J32" s="2042"/>
      <c r="K32" s="2042"/>
      <c r="L32" s="2042">
        <f>+L30+L31</f>
        <v>350480147</v>
      </c>
      <c r="M32" s="2042"/>
      <c r="N32" s="996"/>
      <c r="O32" s="996"/>
      <c r="P32" s="996"/>
      <c r="Q32" s="996"/>
      <c r="R32" s="2042" t="s">
        <v>1512</v>
      </c>
      <c r="S32" s="2042"/>
      <c r="T32" s="2042"/>
      <c r="U32" s="2042">
        <f>+U30+U31</f>
        <v>350480147</v>
      </c>
      <c r="V32" s="2042"/>
      <c r="W32" s="995"/>
      <c r="X32" s="995"/>
    </row>
    <row r="33" spans="1:24" ht="21" customHeight="1" x14ac:dyDescent="0.25">
      <c r="H33" s="995"/>
      <c r="I33" s="1249"/>
      <c r="J33" s="1249"/>
      <c r="K33" s="1249"/>
      <c r="L33" s="1249"/>
      <c r="M33" s="1249"/>
      <c r="N33" s="996"/>
      <c r="O33" s="996"/>
      <c r="P33" s="996"/>
      <c r="Q33" s="996"/>
      <c r="R33" s="1249"/>
      <c r="S33" s="1249"/>
      <c r="T33" s="1249"/>
      <c r="U33" s="1249"/>
      <c r="V33" s="1249"/>
      <c r="W33" s="995"/>
      <c r="X33" s="995"/>
    </row>
    <row r="34" spans="1:24" ht="21" customHeight="1" x14ac:dyDescent="0.25">
      <c r="H34" s="995"/>
      <c r="I34" s="1249"/>
      <c r="J34" s="1249"/>
      <c r="K34" s="1249"/>
      <c r="L34" s="1249"/>
      <c r="M34" s="1249"/>
      <c r="N34" s="996"/>
      <c r="O34" s="996"/>
      <c r="P34" s="996"/>
      <c r="Q34" s="996"/>
      <c r="R34" s="1249"/>
      <c r="S34" s="1249"/>
      <c r="T34" s="1249"/>
      <c r="U34" s="1249"/>
      <c r="V34" s="1249"/>
      <c r="W34" s="995"/>
      <c r="X34" s="995"/>
    </row>
    <row r="35" spans="1:24" ht="21" customHeight="1" x14ac:dyDescent="0.25">
      <c r="H35" s="995"/>
      <c r="I35" s="1249"/>
      <c r="J35" s="1249"/>
      <c r="K35" s="1249"/>
      <c r="L35" s="1249"/>
      <c r="M35" s="1249"/>
      <c r="N35" s="996"/>
      <c r="O35" s="996"/>
      <c r="P35" s="996"/>
      <c r="Q35" s="996"/>
      <c r="R35" s="1249"/>
      <c r="S35" s="1249"/>
      <c r="T35" s="1249"/>
      <c r="U35" s="1249"/>
      <c r="V35" s="1249"/>
      <c r="W35" s="995"/>
      <c r="X35" s="995"/>
    </row>
    <row r="36" spans="1:24" ht="15.75" x14ac:dyDescent="0.25">
      <c r="A36" s="2010" t="s">
        <v>2555</v>
      </c>
      <c r="B36" s="2010"/>
      <c r="C36" s="2010"/>
      <c r="D36" s="2010"/>
      <c r="E36" s="2010"/>
      <c r="F36" s="2010"/>
      <c r="G36" s="2010"/>
      <c r="H36" s="2010"/>
      <c r="I36" s="2010"/>
      <c r="J36" s="2010"/>
      <c r="K36" s="2010"/>
      <c r="L36" s="2010"/>
      <c r="M36" s="2010"/>
      <c r="N36" s="2010"/>
      <c r="O36" s="2010"/>
      <c r="P36" s="2010"/>
      <c r="Q36" s="2010"/>
      <c r="R36" s="2010"/>
      <c r="S36" s="2010"/>
      <c r="T36" s="2010"/>
      <c r="U36" s="2010"/>
      <c r="V36" s="2010"/>
      <c r="W36" s="2010"/>
      <c r="X36" s="2010"/>
    </row>
    <row r="37" spans="1:24" ht="15.75" x14ac:dyDescent="0.25">
      <c r="A37" s="1246"/>
      <c r="B37" s="1246"/>
      <c r="C37" s="1246"/>
      <c r="D37" s="1246"/>
      <c r="E37" s="1246"/>
      <c r="F37" s="1246"/>
      <c r="G37" s="1246"/>
      <c r="H37" s="1246"/>
      <c r="I37" s="1246"/>
      <c r="J37" s="1246"/>
      <c r="K37" s="1246"/>
      <c r="L37" s="1246"/>
      <c r="M37" s="1246"/>
      <c r="N37" s="1246"/>
      <c r="O37" s="1246"/>
      <c r="P37" s="1246"/>
      <c r="Q37" s="1246"/>
      <c r="R37" s="1246"/>
      <c r="S37" s="1246"/>
      <c r="T37" s="1246"/>
      <c r="U37" s="1246"/>
      <c r="V37" s="1246"/>
      <c r="W37" s="1246"/>
      <c r="X37" s="1246"/>
    </row>
    <row r="38" spans="1:24" ht="16.5" customHeight="1" x14ac:dyDescent="0.25">
      <c r="A38" s="970"/>
      <c r="B38" s="970"/>
      <c r="C38" s="970"/>
      <c r="D38" s="970"/>
      <c r="E38" s="970"/>
      <c r="F38" s="970"/>
      <c r="G38" s="970"/>
      <c r="H38" s="970"/>
      <c r="I38" s="970"/>
      <c r="J38" s="970"/>
      <c r="K38" s="970"/>
      <c r="L38" s="970"/>
      <c r="M38" s="970"/>
      <c r="N38" s="970"/>
      <c r="O38" s="970"/>
      <c r="P38" s="970"/>
      <c r="Q38" s="970"/>
      <c r="R38" s="970"/>
      <c r="S38" s="970"/>
      <c r="T38" s="970"/>
      <c r="U38" s="970"/>
      <c r="V38" s="970"/>
      <c r="W38" s="970"/>
      <c r="X38" s="970"/>
    </row>
    <row r="39" spans="1:24" ht="18" customHeight="1" x14ac:dyDescent="0.25">
      <c r="A39" s="2055" t="s">
        <v>24</v>
      </c>
      <c r="B39" s="2055"/>
      <c r="C39" s="2055"/>
      <c r="D39" s="2055"/>
      <c r="E39" s="2055"/>
      <c r="F39" s="2055"/>
      <c r="G39" s="2055"/>
      <c r="H39" s="2055"/>
      <c r="I39" s="2055"/>
      <c r="J39" s="2055"/>
      <c r="K39" s="2055"/>
      <c r="L39" s="2055"/>
      <c r="M39" s="2055"/>
      <c r="N39" s="2055"/>
      <c r="O39" s="2055"/>
      <c r="P39" s="2055"/>
      <c r="Q39" s="2055"/>
      <c r="R39" s="2055"/>
      <c r="S39" s="2055"/>
      <c r="T39" s="2055"/>
      <c r="U39" s="2055"/>
      <c r="V39" s="2055"/>
      <c r="W39" s="2055"/>
      <c r="X39" s="2055"/>
    </row>
    <row r="40" spans="1:24" ht="15" customHeight="1" x14ac:dyDescent="0.25">
      <c r="Q40" s="968"/>
    </row>
    <row r="41" spans="1:24" ht="15" customHeight="1" x14ac:dyDescent="0.25">
      <c r="A41" s="2056" t="s">
        <v>37</v>
      </c>
      <c r="B41" s="1773" t="s">
        <v>1640</v>
      </c>
      <c r="C41" s="2058" t="s">
        <v>2</v>
      </c>
      <c r="D41" s="2037" t="s">
        <v>1641</v>
      </c>
      <c r="E41" s="2037" t="s">
        <v>116</v>
      </c>
      <c r="F41" s="2037" t="s">
        <v>1642</v>
      </c>
      <c r="G41" s="2037" t="s">
        <v>1643</v>
      </c>
      <c r="H41" s="2039" t="s">
        <v>1644</v>
      </c>
      <c r="I41" s="2039"/>
      <c r="J41" s="2039"/>
      <c r="K41" s="2039"/>
      <c r="L41" s="2039"/>
      <c r="M41" s="2039"/>
      <c r="N41" s="2039"/>
      <c r="O41" s="2066"/>
      <c r="P41" s="1434"/>
      <c r="Q41" s="2040" t="s">
        <v>1645</v>
      </c>
      <c r="R41" s="2039"/>
      <c r="S41" s="2039"/>
      <c r="T41" s="2039"/>
      <c r="U41" s="2039"/>
      <c r="V41" s="2039"/>
      <c r="W41" s="2039"/>
      <c r="X41" s="2041"/>
    </row>
    <row r="42" spans="1:24" ht="84" customHeight="1" x14ac:dyDescent="0.25">
      <c r="A42" s="2057"/>
      <c r="B42" s="1774"/>
      <c r="C42" s="2059"/>
      <c r="D42" s="2038"/>
      <c r="E42" s="2038"/>
      <c r="F42" s="2038"/>
      <c r="G42" s="2038"/>
      <c r="H42" s="941" t="s">
        <v>1698</v>
      </c>
      <c r="I42" s="941" t="s">
        <v>1647</v>
      </c>
      <c r="J42" s="941" t="s">
        <v>1669</v>
      </c>
      <c r="K42" s="941" t="s">
        <v>1699</v>
      </c>
      <c r="L42" s="941" t="s">
        <v>1700</v>
      </c>
      <c r="M42" s="941" t="s">
        <v>1672</v>
      </c>
      <c r="N42" s="941" t="s">
        <v>1673</v>
      </c>
      <c r="O42" s="941" t="s">
        <v>1653</v>
      </c>
      <c r="P42" s="944" t="s">
        <v>1654</v>
      </c>
      <c r="Q42" s="999" t="s">
        <v>1655</v>
      </c>
      <c r="R42" s="941" t="s">
        <v>1656</v>
      </c>
      <c r="S42" s="941" t="s">
        <v>1695</v>
      </c>
      <c r="T42" s="941" t="s">
        <v>1701</v>
      </c>
      <c r="U42" s="941" t="s">
        <v>1659</v>
      </c>
      <c r="V42" s="941" t="s">
        <v>1660</v>
      </c>
      <c r="W42" s="941" t="s">
        <v>1661</v>
      </c>
      <c r="X42" s="944" t="s">
        <v>1677</v>
      </c>
    </row>
    <row r="43" spans="1:24" ht="19.5" customHeight="1" x14ac:dyDescent="0.25">
      <c r="A43" s="2056" t="s">
        <v>204</v>
      </c>
      <c r="B43" s="2058" t="s">
        <v>235</v>
      </c>
      <c r="C43" s="2060" t="s">
        <v>2151</v>
      </c>
      <c r="D43" s="974" t="s">
        <v>1821</v>
      </c>
      <c r="E43" s="974" t="s">
        <v>1297</v>
      </c>
      <c r="F43" s="974" t="s">
        <v>127</v>
      </c>
      <c r="G43" s="1011" t="s">
        <v>1754</v>
      </c>
      <c r="H43" s="949"/>
      <c r="I43" s="949"/>
      <c r="J43" s="949"/>
      <c r="K43" s="949"/>
      <c r="L43" s="949"/>
      <c r="M43" s="949"/>
      <c r="N43" s="949"/>
      <c r="O43" s="949"/>
      <c r="P43" s="976"/>
      <c r="Q43" s="1317"/>
      <c r="R43" s="949"/>
      <c r="S43" s="949"/>
      <c r="T43" s="949"/>
      <c r="U43" s="949"/>
      <c r="V43" s="949"/>
      <c r="W43" s="949"/>
      <c r="X43" s="976">
        <v>423750</v>
      </c>
    </row>
    <row r="44" spans="1:24" ht="19.5" customHeight="1" x14ac:dyDescent="0.25">
      <c r="A44" s="2062"/>
      <c r="B44" s="2061"/>
      <c r="C44" s="2028"/>
      <c r="D44" s="978" t="s">
        <v>1821</v>
      </c>
      <c r="E44" s="1000" t="s">
        <v>162</v>
      </c>
      <c r="F44" s="1000" t="s">
        <v>90</v>
      </c>
      <c r="G44" s="1000" t="s">
        <v>1754</v>
      </c>
      <c r="H44" s="980">
        <v>375000</v>
      </c>
      <c r="I44" s="980">
        <v>48750</v>
      </c>
      <c r="J44" s="980"/>
      <c r="K44" s="980"/>
      <c r="L44" s="980"/>
      <c r="M44" s="980"/>
      <c r="N44" s="980"/>
      <c r="O44" s="980"/>
      <c r="P44" s="981"/>
      <c r="Q44" s="1318"/>
      <c r="R44" s="980"/>
      <c r="S44" s="980"/>
      <c r="T44" s="980"/>
      <c r="U44" s="980"/>
      <c r="V44" s="980"/>
      <c r="W44" s="980"/>
      <c r="X44" s="981"/>
    </row>
    <row r="45" spans="1:24" ht="18" customHeight="1" x14ac:dyDescent="0.25">
      <c r="A45" s="2062" t="s">
        <v>231</v>
      </c>
      <c r="B45" s="2061" t="s">
        <v>236</v>
      </c>
      <c r="C45" s="2028" t="s">
        <v>2150</v>
      </c>
      <c r="D45" s="978" t="s">
        <v>1821</v>
      </c>
      <c r="E45" s="1000" t="s">
        <v>1297</v>
      </c>
      <c r="F45" s="1000" t="s">
        <v>127</v>
      </c>
      <c r="G45" s="1000" t="s">
        <v>1754</v>
      </c>
      <c r="H45" s="980"/>
      <c r="I45" s="980"/>
      <c r="J45" s="980"/>
      <c r="K45" s="980"/>
      <c r="L45" s="980"/>
      <c r="M45" s="980"/>
      <c r="N45" s="980"/>
      <c r="O45" s="980"/>
      <c r="P45" s="981"/>
      <c r="Q45" s="1318"/>
      <c r="R45" s="980"/>
      <c r="S45" s="980"/>
      <c r="T45" s="980"/>
      <c r="U45" s="980"/>
      <c r="V45" s="980"/>
      <c r="W45" s="980"/>
      <c r="X45" s="981">
        <v>5424000</v>
      </c>
    </row>
    <row r="46" spans="1:24" ht="18" customHeight="1" x14ac:dyDescent="0.25">
      <c r="A46" s="2062"/>
      <c r="B46" s="2061"/>
      <c r="C46" s="2028"/>
      <c r="D46" s="978" t="s">
        <v>1821</v>
      </c>
      <c r="E46" s="1000" t="s">
        <v>162</v>
      </c>
      <c r="F46" s="1000" t="s">
        <v>90</v>
      </c>
      <c r="G46" s="1000" t="s">
        <v>1754</v>
      </c>
      <c r="H46" s="980">
        <v>4600000</v>
      </c>
      <c r="I46" s="980">
        <v>598000</v>
      </c>
      <c r="J46" s="980"/>
      <c r="K46" s="980"/>
      <c r="L46" s="980"/>
      <c r="M46" s="980"/>
      <c r="N46" s="980"/>
      <c r="O46" s="980"/>
      <c r="P46" s="981"/>
      <c r="Q46" s="1318"/>
      <c r="R46" s="980"/>
      <c r="S46" s="980"/>
      <c r="T46" s="980"/>
      <c r="U46" s="980"/>
      <c r="V46" s="980"/>
      <c r="W46" s="980"/>
      <c r="X46" s="981"/>
    </row>
    <row r="47" spans="1:24" ht="18" customHeight="1" x14ac:dyDescent="0.25">
      <c r="A47" s="2062"/>
      <c r="B47" s="2061"/>
      <c r="C47" s="2028"/>
      <c r="D47" s="978" t="s">
        <v>1821</v>
      </c>
      <c r="E47" s="1000" t="s">
        <v>790</v>
      </c>
      <c r="F47" s="1000" t="s">
        <v>131</v>
      </c>
      <c r="G47" s="1000" t="s">
        <v>1754</v>
      </c>
      <c r="H47" s="980">
        <v>200000</v>
      </c>
      <c r="I47" s="980">
        <v>26000</v>
      </c>
      <c r="J47" s="980"/>
      <c r="K47" s="980"/>
      <c r="L47" s="980"/>
      <c r="M47" s="980"/>
      <c r="N47" s="980"/>
      <c r="O47" s="980"/>
      <c r="P47" s="981"/>
      <c r="Q47" s="1318"/>
      <c r="R47" s="980"/>
      <c r="S47" s="980"/>
      <c r="T47" s="980"/>
      <c r="U47" s="980"/>
      <c r="V47" s="980"/>
      <c r="W47" s="980"/>
      <c r="X47" s="981"/>
    </row>
    <row r="48" spans="1:24" ht="21" customHeight="1" x14ac:dyDescent="0.25">
      <c r="A48" s="2062" t="s">
        <v>232</v>
      </c>
      <c r="B48" s="2061" t="s">
        <v>237</v>
      </c>
      <c r="C48" s="2028" t="s">
        <v>2237</v>
      </c>
      <c r="D48" s="978" t="s">
        <v>1821</v>
      </c>
      <c r="E48" s="1000" t="s">
        <v>1297</v>
      </c>
      <c r="F48" s="1000" t="s">
        <v>127</v>
      </c>
      <c r="G48" s="1000" t="s">
        <v>1754</v>
      </c>
      <c r="H48" s="980"/>
      <c r="I48" s="980"/>
      <c r="J48" s="980"/>
      <c r="K48" s="980"/>
      <c r="L48" s="980"/>
      <c r="M48" s="980"/>
      <c r="N48" s="980"/>
      <c r="O48" s="980"/>
      <c r="P48" s="981"/>
      <c r="Q48" s="1318"/>
      <c r="R48" s="980"/>
      <c r="S48" s="980"/>
      <c r="T48" s="980"/>
      <c r="U48" s="980"/>
      <c r="V48" s="980"/>
      <c r="W48" s="980"/>
      <c r="X48" s="981">
        <v>406400</v>
      </c>
    </row>
    <row r="49" spans="1:24" ht="21" customHeight="1" x14ac:dyDescent="0.25">
      <c r="A49" s="2062"/>
      <c r="B49" s="2061"/>
      <c r="C49" s="2028"/>
      <c r="D49" s="978" t="s">
        <v>1821</v>
      </c>
      <c r="E49" s="1000" t="s">
        <v>162</v>
      </c>
      <c r="F49" s="1000" t="s">
        <v>90</v>
      </c>
      <c r="G49" s="1000" t="s">
        <v>1754</v>
      </c>
      <c r="H49" s="980"/>
      <c r="I49" s="980"/>
      <c r="J49" s="980">
        <f>320000+86400</f>
        <v>406400</v>
      </c>
      <c r="K49" s="980"/>
      <c r="L49" s="980"/>
      <c r="M49" s="980"/>
      <c r="N49" s="980"/>
      <c r="O49" s="980"/>
      <c r="P49" s="981"/>
      <c r="Q49" s="1318"/>
      <c r="R49" s="980"/>
      <c r="S49" s="980"/>
      <c r="T49" s="980"/>
      <c r="U49" s="980"/>
      <c r="V49" s="980"/>
      <c r="W49" s="980"/>
      <c r="X49" s="981"/>
    </row>
    <row r="50" spans="1:24" ht="21" customHeight="1" x14ac:dyDescent="0.25">
      <c r="A50" s="2062" t="s">
        <v>233</v>
      </c>
      <c r="B50" s="2061" t="s">
        <v>238</v>
      </c>
      <c r="C50" s="2028" t="s">
        <v>2226</v>
      </c>
      <c r="D50" s="978" t="s">
        <v>1821</v>
      </c>
      <c r="E50" s="1000" t="s">
        <v>162</v>
      </c>
      <c r="F50" s="1000" t="s">
        <v>90</v>
      </c>
      <c r="G50" s="1000" t="s">
        <v>1752</v>
      </c>
      <c r="H50" s="980">
        <v>-1127577</v>
      </c>
      <c r="I50" s="980">
        <v>-101346</v>
      </c>
      <c r="J50" s="980"/>
      <c r="K50" s="980"/>
      <c r="L50" s="980"/>
      <c r="M50" s="980"/>
      <c r="N50" s="980"/>
      <c r="O50" s="980"/>
      <c r="P50" s="981"/>
      <c r="Q50" s="1318"/>
      <c r="R50" s="980"/>
      <c r="S50" s="980"/>
      <c r="T50" s="980"/>
      <c r="U50" s="980"/>
      <c r="V50" s="980"/>
      <c r="W50" s="980"/>
      <c r="X50" s="981"/>
    </row>
    <row r="51" spans="1:24" ht="21" customHeight="1" x14ac:dyDescent="0.25">
      <c r="A51" s="2062"/>
      <c r="B51" s="2061"/>
      <c r="C51" s="2028"/>
      <c r="D51" s="978" t="s">
        <v>1821</v>
      </c>
      <c r="E51" s="1000" t="s">
        <v>790</v>
      </c>
      <c r="F51" s="1000" t="s">
        <v>131</v>
      </c>
      <c r="G51" s="1000" t="s">
        <v>1754</v>
      </c>
      <c r="H51" s="980">
        <f>743588+23989+360000</f>
        <v>1127577</v>
      </c>
      <c r="I51" s="980">
        <v>101346</v>
      </c>
      <c r="J51" s="980"/>
      <c r="K51" s="980"/>
      <c r="L51" s="980"/>
      <c r="M51" s="980"/>
      <c r="N51" s="980"/>
      <c r="O51" s="980"/>
      <c r="P51" s="981"/>
      <c r="Q51" s="1318"/>
      <c r="R51" s="980"/>
      <c r="S51" s="980"/>
      <c r="T51" s="980"/>
      <c r="U51" s="980"/>
      <c r="V51" s="980"/>
      <c r="W51" s="980"/>
      <c r="X51" s="981"/>
    </row>
    <row r="52" spans="1:24" ht="29.25" customHeight="1" x14ac:dyDescent="0.25">
      <c r="A52" s="1432" t="s">
        <v>234</v>
      </c>
      <c r="B52" s="1431" t="s">
        <v>239</v>
      </c>
      <c r="C52" s="1425" t="s">
        <v>2330</v>
      </c>
      <c r="D52" s="978" t="s">
        <v>1821</v>
      </c>
      <c r="E52" s="1000" t="s">
        <v>1297</v>
      </c>
      <c r="F52" s="1000" t="s">
        <v>127</v>
      </c>
      <c r="G52" s="1000" t="s">
        <v>1754</v>
      </c>
      <c r="H52" s="980"/>
      <c r="I52" s="980"/>
      <c r="J52" s="980"/>
      <c r="K52" s="980"/>
      <c r="L52" s="980">
        <v>11118964</v>
      </c>
      <c r="M52" s="980"/>
      <c r="N52" s="980"/>
      <c r="O52" s="980"/>
      <c r="P52" s="981"/>
      <c r="Q52" s="1318"/>
      <c r="R52" s="980"/>
      <c r="S52" s="980"/>
      <c r="T52" s="980"/>
      <c r="U52" s="980"/>
      <c r="V52" s="980"/>
      <c r="W52" s="980"/>
      <c r="X52" s="981">
        <v>11118964</v>
      </c>
    </row>
    <row r="53" spans="1:24" ht="29.25" customHeight="1" x14ac:dyDescent="0.25">
      <c r="A53" s="1432" t="s">
        <v>235</v>
      </c>
      <c r="B53" s="1431" t="s">
        <v>266</v>
      </c>
      <c r="C53" s="1425" t="s">
        <v>2379</v>
      </c>
      <c r="D53" s="978" t="s">
        <v>1821</v>
      </c>
      <c r="E53" s="1000" t="s">
        <v>162</v>
      </c>
      <c r="F53" s="1000" t="s">
        <v>90</v>
      </c>
      <c r="G53" s="1000" t="s">
        <v>1754</v>
      </c>
      <c r="H53" s="980"/>
      <c r="I53" s="980"/>
      <c r="J53" s="980">
        <v>200000</v>
      </c>
      <c r="K53" s="980"/>
      <c r="L53" s="980"/>
      <c r="M53" s="980"/>
      <c r="N53" s="980"/>
      <c r="O53" s="980"/>
      <c r="P53" s="981"/>
      <c r="Q53" s="1318"/>
      <c r="R53" s="980"/>
      <c r="S53" s="980"/>
      <c r="T53" s="980">
        <v>200000</v>
      </c>
      <c r="U53" s="980"/>
      <c r="V53" s="980"/>
      <c r="W53" s="980"/>
      <c r="X53" s="981"/>
    </row>
    <row r="54" spans="1:24" ht="29.25" customHeight="1" x14ac:dyDescent="0.25">
      <c r="A54" s="1432" t="s">
        <v>236</v>
      </c>
      <c r="B54" s="1431" t="s">
        <v>267</v>
      </c>
      <c r="C54" s="1425" t="s">
        <v>2380</v>
      </c>
      <c r="D54" s="978" t="s">
        <v>1821</v>
      </c>
      <c r="E54" s="1000" t="s">
        <v>162</v>
      </c>
      <c r="F54" s="1000" t="s">
        <v>90</v>
      </c>
      <c r="G54" s="1000" t="s">
        <v>1766</v>
      </c>
      <c r="H54" s="980"/>
      <c r="I54" s="980"/>
      <c r="J54" s="980">
        <v>-50000</v>
      </c>
      <c r="K54" s="980"/>
      <c r="L54" s="980"/>
      <c r="M54" s="980">
        <v>50000</v>
      </c>
      <c r="N54" s="980"/>
      <c r="O54" s="980"/>
      <c r="P54" s="981"/>
      <c r="Q54" s="1318"/>
      <c r="R54" s="980"/>
      <c r="S54" s="980"/>
      <c r="T54" s="980"/>
      <c r="U54" s="980"/>
      <c r="V54" s="980"/>
      <c r="W54" s="980"/>
      <c r="X54" s="981"/>
    </row>
    <row r="55" spans="1:24" ht="20.25" customHeight="1" x14ac:dyDescent="0.25">
      <c r="A55" s="2047" t="s">
        <v>237</v>
      </c>
      <c r="B55" s="2045" t="s">
        <v>268</v>
      </c>
      <c r="C55" s="2043" t="s">
        <v>2411</v>
      </c>
      <c r="D55" s="1368" t="s">
        <v>1821</v>
      </c>
      <c r="E55" s="1369" t="s">
        <v>162</v>
      </c>
      <c r="F55" s="1369" t="s">
        <v>90</v>
      </c>
      <c r="G55" s="1369" t="s">
        <v>1752</v>
      </c>
      <c r="H55" s="1374">
        <v>-1125327</v>
      </c>
      <c r="I55" s="1374">
        <v>-101346</v>
      </c>
      <c r="J55" s="1374"/>
      <c r="K55" s="1374"/>
      <c r="L55" s="1374"/>
      <c r="M55" s="1374"/>
      <c r="N55" s="1374"/>
      <c r="O55" s="1374"/>
      <c r="P55" s="1375"/>
      <c r="Q55" s="1376"/>
      <c r="R55" s="1374"/>
      <c r="S55" s="1374"/>
      <c r="T55" s="1374"/>
      <c r="U55" s="1374"/>
      <c r="V55" s="1374"/>
      <c r="W55" s="1374"/>
      <c r="X55" s="1375"/>
    </row>
    <row r="56" spans="1:24" ht="20.25" customHeight="1" x14ac:dyDescent="0.25">
      <c r="A56" s="2048"/>
      <c r="B56" s="2046"/>
      <c r="C56" s="2044"/>
      <c r="D56" s="1368" t="s">
        <v>1821</v>
      </c>
      <c r="E56" s="1369" t="s">
        <v>790</v>
      </c>
      <c r="F56" s="1369" t="s">
        <v>131</v>
      </c>
      <c r="G56" s="1369" t="s">
        <v>1754</v>
      </c>
      <c r="H56" s="1374">
        <f>743588+21739+360000</f>
        <v>1125327</v>
      </c>
      <c r="I56" s="1374">
        <v>101346</v>
      </c>
      <c r="J56" s="1374"/>
      <c r="K56" s="1374"/>
      <c r="L56" s="1374"/>
      <c r="M56" s="1374"/>
      <c r="N56" s="1374"/>
      <c r="O56" s="1374"/>
      <c r="P56" s="1375"/>
      <c r="Q56" s="1376"/>
      <c r="R56" s="1374"/>
      <c r="S56" s="1374"/>
      <c r="T56" s="1374"/>
      <c r="U56" s="1374"/>
      <c r="V56" s="1374"/>
      <c r="W56" s="1374"/>
      <c r="X56" s="1375"/>
    </row>
    <row r="57" spans="1:24" ht="30.75" customHeight="1" x14ac:dyDescent="0.25">
      <c r="A57" s="1432" t="s">
        <v>238</v>
      </c>
      <c r="B57" s="1431" t="s">
        <v>269</v>
      </c>
      <c r="C57" s="1425" t="s">
        <v>2419</v>
      </c>
      <c r="D57" s="1368" t="s">
        <v>1821</v>
      </c>
      <c r="E57" s="1369" t="s">
        <v>162</v>
      </c>
      <c r="F57" s="1369" t="s">
        <v>150</v>
      </c>
      <c r="G57" s="1369" t="s">
        <v>1766</v>
      </c>
      <c r="H57" s="1374"/>
      <c r="I57" s="1374"/>
      <c r="J57" s="1374">
        <f>-30000+30000</f>
        <v>0</v>
      </c>
      <c r="K57" s="1374"/>
      <c r="L57" s="1374"/>
      <c r="M57" s="1374"/>
      <c r="N57" s="1374"/>
      <c r="O57" s="1374"/>
      <c r="P57" s="1375"/>
      <c r="Q57" s="1376"/>
      <c r="R57" s="1374"/>
      <c r="S57" s="1374"/>
      <c r="T57" s="1374"/>
      <c r="U57" s="1374"/>
      <c r="V57" s="1374"/>
      <c r="W57" s="1374"/>
      <c r="X57" s="1375"/>
    </row>
    <row r="58" spans="1:24" ht="18.75" customHeight="1" x14ac:dyDescent="0.25">
      <c r="A58" s="2047" t="s">
        <v>239</v>
      </c>
      <c r="B58" s="2045" t="s">
        <v>270</v>
      </c>
      <c r="C58" s="2043" t="s">
        <v>2616</v>
      </c>
      <c r="D58" s="1368" t="s">
        <v>1821</v>
      </c>
      <c r="E58" s="1369" t="s">
        <v>162</v>
      </c>
      <c r="F58" s="1369" t="s">
        <v>90</v>
      </c>
      <c r="G58" s="1369" t="s">
        <v>1752</v>
      </c>
      <c r="H58" s="1374">
        <v>-979496</v>
      </c>
      <c r="I58" s="1374">
        <v>-98654</v>
      </c>
      <c r="J58" s="1374"/>
      <c r="K58" s="1374"/>
      <c r="L58" s="1374"/>
      <c r="M58" s="1374"/>
      <c r="N58" s="1374"/>
      <c r="O58" s="1374"/>
      <c r="P58" s="1375"/>
      <c r="Q58" s="1376"/>
      <c r="R58" s="1374"/>
      <c r="S58" s="1374"/>
      <c r="T58" s="1374"/>
      <c r="U58" s="1374"/>
      <c r="V58" s="1374"/>
      <c r="W58" s="1374"/>
      <c r="X58" s="1375"/>
    </row>
    <row r="59" spans="1:24" ht="18.75" customHeight="1" x14ac:dyDescent="0.25">
      <c r="A59" s="2048"/>
      <c r="B59" s="2046"/>
      <c r="C59" s="2044"/>
      <c r="D59" s="1368" t="s">
        <v>1821</v>
      </c>
      <c r="E59" s="1369" t="s">
        <v>790</v>
      </c>
      <c r="F59" s="1369" t="s">
        <v>131</v>
      </c>
      <c r="G59" s="1369" t="s">
        <v>1754</v>
      </c>
      <c r="H59" s="1374">
        <f>674551+33739+48326+222880</f>
        <v>979496</v>
      </c>
      <c r="I59" s="1374">
        <v>98654</v>
      </c>
      <c r="J59" s="1374"/>
      <c r="K59" s="1374"/>
      <c r="L59" s="1374"/>
      <c r="M59" s="1374"/>
      <c r="N59" s="1374"/>
      <c r="O59" s="1374"/>
      <c r="P59" s="1375"/>
      <c r="Q59" s="1376"/>
      <c r="R59" s="1374"/>
      <c r="S59" s="1374"/>
      <c r="T59" s="1374"/>
      <c r="U59" s="1374"/>
      <c r="V59" s="1374"/>
      <c r="W59" s="1374"/>
      <c r="X59" s="1375"/>
    </row>
    <row r="60" spans="1:24" x14ac:dyDescent="0.25">
      <c r="A60" s="1429"/>
      <c r="B60" s="1430"/>
      <c r="C60" s="982"/>
      <c r="D60" s="983"/>
      <c r="E60" s="1083"/>
      <c r="F60" s="1083"/>
      <c r="G60" s="1083"/>
      <c r="H60" s="985"/>
      <c r="I60" s="985"/>
      <c r="J60" s="985"/>
      <c r="K60" s="985"/>
      <c r="L60" s="985"/>
      <c r="M60" s="985"/>
      <c r="N60" s="985"/>
      <c r="O60" s="985"/>
      <c r="P60" s="986"/>
      <c r="Q60" s="1319"/>
      <c r="R60" s="985"/>
      <c r="S60" s="985"/>
      <c r="T60" s="985"/>
      <c r="U60" s="985"/>
      <c r="V60" s="985"/>
      <c r="W60" s="985"/>
      <c r="X60" s="986"/>
    </row>
    <row r="61" spans="1:24" ht="18.75" x14ac:dyDescent="0.3">
      <c r="A61" s="2021" t="s">
        <v>1663</v>
      </c>
      <c r="B61" s="2022"/>
      <c r="C61" s="2022"/>
      <c r="D61" s="956"/>
      <c r="E61" s="956"/>
      <c r="F61" s="956"/>
      <c r="G61" s="956"/>
      <c r="H61" s="1252">
        <f t="shared" ref="H61:X61" si="1">SUM(H43:H60)+H26</f>
        <v>5175000</v>
      </c>
      <c r="I61" s="1252">
        <f t="shared" si="1"/>
        <v>672750</v>
      </c>
      <c r="J61" s="1252">
        <f t="shared" si="1"/>
        <v>8471600</v>
      </c>
      <c r="K61" s="1252">
        <f t="shared" si="1"/>
        <v>0</v>
      </c>
      <c r="L61" s="1252">
        <f t="shared" si="1"/>
        <v>11118964</v>
      </c>
      <c r="M61" s="1252">
        <f t="shared" si="1"/>
        <v>50000</v>
      </c>
      <c r="N61" s="1252">
        <f t="shared" si="1"/>
        <v>0</v>
      </c>
      <c r="O61" s="1252">
        <f t="shared" si="1"/>
        <v>0</v>
      </c>
      <c r="P61" s="1059">
        <f t="shared" si="1"/>
        <v>0</v>
      </c>
      <c r="Q61" s="1453">
        <f t="shared" si="1"/>
        <v>350000</v>
      </c>
      <c r="R61" s="1252">
        <f t="shared" si="1"/>
        <v>0</v>
      </c>
      <c r="S61" s="1252">
        <f t="shared" si="1"/>
        <v>0</v>
      </c>
      <c r="T61" s="1252">
        <f t="shared" si="1"/>
        <v>200000</v>
      </c>
      <c r="U61" s="1252">
        <f t="shared" si="1"/>
        <v>0</v>
      </c>
      <c r="V61" s="1252">
        <f t="shared" si="1"/>
        <v>0</v>
      </c>
      <c r="W61" s="1252">
        <f t="shared" si="1"/>
        <v>0</v>
      </c>
      <c r="X61" s="1059">
        <f t="shared" si="1"/>
        <v>24938314</v>
      </c>
    </row>
    <row r="62" spans="1:24" ht="20.25" customHeight="1" x14ac:dyDescent="0.25">
      <c r="H62" s="1018"/>
      <c r="I62" s="1018"/>
      <c r="J62" s="1018"/>
      <c r="K62" s="1018"/>
      <c r="L62" s="1018"/>
      <c r="M62" s="1018"/>
      <c r="N62" s="1018"/>
      <c r="O62" s="1018"/>
      <c r="P62" s="1018"/>
      <c r="Q62" s="1018"/>
      <c r="R62" s="1018"/>
      <c r="S62" s="1018"/>
      <c r="T62" s="1018"/>
      <c r="U62" s="1018"/>
      <c r="V62" s="1018"/>
      <c r="W62" s="1018"/>
      <c r="X62" s="1018"/>
    </row>
    <row r="63" spans="1:24" ht="19.5" customHeight="1" x14ac:dyDescent="0.25">
      <c r="H63" s="966"/>
      <c r="I63" s="966"/>
      <c r="J63" s="966"/>
      <c r="K63" s="966"/>
      <c r="L63" s="966"/>
      <c r="M63" s="966"/>
      <c r="N63" s="966"/>
      <c r="O63" s="966"/>
      <c r="P63" s="966"/>
      <c r="Q63" s="966"/>
      <c r="R63" s="966"/>
      <c r="S63" s="966"/>
      <c r="T63" s="966"/>
      <c r="U63" s="966"/>
      <c r="V63" s="966"/>
      <c r="W63" s="966"/>
      <c r="X63" s="966"/>
    </row>
    <row r="64" spans="1:24" x14ac:dyDescent="0.25">
      <c r="Q64" s="968"/>
    </row>
    <row r="65" spans="1:24" x14ac:dyDescent="0.25">
      <c r="Q65" s="968"/>
    </row>
    <row r="66" spans="1:24" ht="21" customHeight="1" x14ac:dyDescent="0.25">
      <c r="I66" s="2042" t="s">
        <v>1664</v>
      </c>
      <c r="J66" s="2042"/>
      <c r="K66" s="2042"/>
      <c r="L66" s="2042">
        <v>342564947</v>
      </c>
      <c r="M66" s="2042"/>
      <c r="N66" s="996"/>
      <c r="O66" s="996"/>
      <c r="P66" s="996"/>
      <c r="Q66" s="996"/>
      <c r="R66" s="2042" t="s">
        <v>1665</v>
      </c>
      <c r="S66" s="2042"/>
      <c r="T66" s="2042"/>
      <c r="U66" s="2042">
        <v>342564947</v>
      </c>
      <c r="V66" s="2042"/>
    </row>
    <row r="67" spans="1:24" ht="19.5" customHeight="1" x14ac:dyDescent="0.25">
      <c r="I67" s="2042" t="s">
        <v>1666</v>
      </c>
      <c r="J67" s="2042"/>
      <c r="K67" s="2042"/>
      <c r="L67" s="2042">
        <f>SUM(H61:P61)</f>
        <v>25488314</v>
      </c>
      <c r="M67" s="2042"/>
      <c r="N67" s="996"/>
      <c r="O67" s="996"/>
      <c r="P67" s="996"/>
      <c r="Q67" s="996"/>
      <c r="R67" s="2042" t="s">
        <v>1666</v>
      </c>
      <c r="S67" s="2042"/>
      <c r="T67" s="2042"/>
      <c r="U67" s="2042">
        <f>SUM(Q61:X61)</f>
        <v>25488314</v>
      </c>
      <c r="V67" s="2042"/>
    </row>
    <row r="68" spans="1:24" ht="23.25" customHeight="1" x14ac:dyDescent="0.25">
      <c r="I68" s="2042" t="s">
        <v>1512</v>
      </c>
      <c r="J68" s="2042"/>
      <c r="K68" s="2042"/>
      <c r="L68" s="2042">
        <f>+L66+L67</f>
        <v>368053261</v>
      </c>
      <c r="M68" s="2042"/>
      <c r="N68" s="996"/>
      <c r="O68" s="996"/>
      <c r="P68" s="996"/>
      <c r="Q68" s="996"/>
      <c r="R68" s="2042" t="s">
        <v>1512</v>
      </c>
      <c r="S68" s="2042"/>
      <c r="T68" s="2042"/>
      <c r="U68" s="2042">
        <f>+U66+U67</f>
        <v>368053261</v>
      </c>
      <c r="V68" s="2042"/>
    </row>
    <row r="69" spans="1:24" x14ac:dyDescent="0.25">
      <c r="Q69" s="968"/>
    </row>
    <row r="70" spans="1:24" x14ac:dyDescent="0.25">
      <c r="Q70" s="968"/>
    </row>
    <row r="71" spans="1:24" x14ac:dyDescent="0.25">
      <c r="Q71" s="968"/>
    </row>
    <row r="72" spans="1:24" x14ac:dyDescent="0.25">
      <c r="Q72" s="968"/>
    </row>
    <row r="73" spans="1:24" ht="15.75" x14ac:dyDescent="0.25">
      <c r="A73" s="2010" t="s">
        <v>2861</v>
      </c>
      <c r="B73" s="2010"/>
      <c r="C73" s="2010"/>
      <c r="D73" s="2010"/>
      <c r="E73" s="2010"/>
      <c r="F73" s="2010"/>
      <c r="G73" s="2010"/>
      <c r="H73" s="2010"/>
      <c r="I73" s="2010"/>
      <c r="J73" s="2010"/>
      <c r="K73" s="2010"/>
      <c r="L73" s="2010"/>
      <c r="M73" s="2010"/>
      <c r="N73" s="2010"/>
      <c r="O73" s="2010"/>
      <c r="P73" s="2010"/>
      <c r="Q73" s="2010"/>
      <c r="R73" s="2010"/>
      <c r="S73" s="2010"/>
      <c r="T73" s="2010"/>
      <c r="U73" s="2010"/>
      <c r="V73" s="2010"/>
      <c r="W73" s="2010"/>
      <c r="X73" s="2010"/>
    </row>
    <row r="74" spans="1:24" ht="15.75" x14ac:dyDescent="0.25">
      <c r="A74" s="1246"/>
      <c r="B74" s="1246"/>
      <c r="C74" s="1246"/>
      <c r="D74" s="1246"/>
      <c r="E74" s="1246"/>
      <c r="F74" s="1246"/>
      <c r="G74" s="1246"/>
      <c r="H74" s="1246"/>
      <c r="I74" s="1246"/>
      <c r="J74" s="1246"/>
      <c r="K74" s="1246"/>
      <c r="L74" s="1246"/>
      <c r="M74" s="1246"/>
      <c r="N74" s="1246"/>
      <c r="O74" s="1246"/>
      <c r="P74" s="1246"/>
      <c r="Q74" s="1246"/>
      <c r="R74" s="1246"/>
      <c r="S74" s="1246"/>
      <c r="T74" s="1246"/>
      <c r="U74" s="1246"/>
      <c r="V74" s="1246"/>
      <c r="W74" s="1246"/>
      <c r="X74" s="1246"/>
    </row>
    <row r="75" spans="1:24" x14ac:dyDescent="0.25">
      <c r="A75" s="970"/>
      <c r="B75" s="970"/>
      <c r="C75" s="970"/>
      <c r="D75" s="970"/>
      <c r="E75" s="970"/>
      <c r="F75" s="970"/>
      <c r="G75" s="970"/>
      <c r="H75" s="970"/>
      <c r="I75" s="970"/>
      <c r="J75" s="970"/>
      <c r="K75" s="970"/>
      <c r="L75" s="970"/>
      <c r="M75" s="970"/>
      <c r="N75" s="970"/>
      <c r="O75" s="970"/>
      <c r="P75" s="970"/>
      <c r="Q75" s="970"/>
      <c r="R75" s="970"/>
      <c r="S75" s="970"/>
      <c r="T75" s="970"/>
      <c r="U75" s="970"/>
      <c r="V75" s="970"/>
      <c r="W75" s="970"/>
      <c r="X75" s="970"/>
    </row>
    <row r="76" spans="1:24" x14ac:dyDescent="0.25">
      <c r="A76" s="2055" t="s">
        <v>24</v>
      </c>
      <c r="B76" s="2055"/>
      <c r="C76" s="2055"/>
      <c r="D76" s="2055"/>
      <c r="E76" s="2055"/>
      <c r="F76" s="2055"/>
      <c r="G76" s="2055"/>
      <c r="H76" s="2055"/>
      <c r="I76" s="2055"/>
      <c r="J76" s="2055"/>
      <c r="K76" s="2055"/>
      <c r="L76" s="2055"/>
      <c r="M76" s="2055"/>
      <c r="N76" s="2055"/>
      <c r="O76" s="2055"/>
      <c r="P76" s="2055"/>
      <c r="Q76" s="2055"/>
      <c r="R76" s="2055"/>
      <c r="S76" s="2055"/>
      <c r="T76" s="2055"/>
      <c r="U76" s="2055"/>
      <c r="V76" s="2055"/>
      <c r="W76" s="2055"/>
      <c r="X76" s="2055"/>
    </row>
    <row r="77" spans="1:24" ht="15" customHeight="1" x14ac:dyDescent="0.25">
      <c r="Q77" s="968"/>
    </row>
    <row r="78" spans="1:24" ht="15.75" customHeight="1" x14ac:dyDescent="0.25">
      <c r="A78" s="2056" t="s">
        <v>37</v>
      </c>
      <c r="B78" s="1773" t="s">
        <v>1640</v>
      </c>
      <c r="C78" s="2058" t="s">
        <v>2</v>
      </c>
      <c r="D78" s="2037" t="s">
        <v>1641</v>
      </c>
      <c r="E78" s="2037" t="s">
        <v>116</v>
      </c>
      <c r="F78" s="2037" t="s">
        <v>1642</v>
      </c>
      <c r="G78" s="2037" t="s">
        <v>1643</v>
      </c>
      <c r="H78" s="2039" t="s">
        <v>1644</v>
      </c>
      <c r="I78" s="2039"/>
      <c r="J78" s="2039"/>
      <c r="K78" s="2039"/>
      <c r="L78" s="2039"/>
      <c r="M78" s="2039"/>
      <c r="N78" s="2039"/>
      <c r="O78" s="2066"/>
      <c r="P78" s="1434"/>
      <c r="Q78" s="2040" t="s">
        <v>1645</v>
      </c>
      <c r="R78" s="2039"/>
      <c r="S78" s="2039"/>
      <c r="T78" s="2039"/>
      <c r="U78" s="2039"/>
      <c r="V78" s="2039"/>
      <c r="W78" s="2039"/>
      <c r="X78" s="2041"/>
    </row>
    <row r="79" spans="1:24" ht="81.75" customHeight="1" x14ac:dyDescent="0.25">
      <c r="A79" s="2057"/>
      <c r="B79" s="1774"/>
      <c r="C79" s="2059"/>
      <c r="D79" s="2038"/>
      <c r="E79" s="2038"/>
      <c r="F79" s="2038"/>
      <c r="G79" s="2038"/>
      <c r="H79" s="941" t="s">
        <v>1698</v>
      </c>
      <c r="I79" s="941" t="s">
        <v>1647</v>
      </c>
      <c r="J79" s="941" t="s">
        <v>1669</v>
      </c>
      <c r="K79" s="941" t="s">
        <v>1699</v>
      </c>
      <c r="L79" s="941" t="s">
        <v>1700</v>
      </c>
      <c r="M79" s="941" t="s">
        <v>1672</v>
      </c>
      <c r="N79" s="941" t="s">
        <v>1673</v>
      </c>
      <c r="O79" s="941" t="s">
        <v>1653</v>
      </c>
      <c r="P79" s="944" t="s">
        <v>1654</v>
      </c>
      <c r="Q79" s="999" t="s">
        <v>1655</v>
      </c>
      <c r="R79" s="941" t="s">
        <v>1656</v>
      </c>
      <c r="S79" s="941" t="s">
        <v>1695</v>
      </c>
      <c r="T79" s="941" t="s">
        <v>1701</v>
      </c>
      <c r="U79" s="941" t="s">
        <v>1659</v>
      </c>
      <c r="V79" s="941" t="s">
        <v>1660</v>
      </c>
      <c r="W79" s="941" t="s">
        <v>1661</v>
      </c>
      <c r="X79" s="944" t="s">
        <v>1677</v>
      </c>
    </row>
    <row r="80" spans="1:24" ht="17.25" customHeight="1" x14ac:dyDescent="0.25">
      <c r="A80" s="2052" t="s">
        <v>266</v>
      </c>
      <c r="B80" s="2051" t="s">
        <v>271</v>
      </c>
      <c r="C80" s="2050" t="s">
        <v>2783</v>
      </c>
      <c r="D80" s="974" t="s">
        <v>1821</v>
      </c>
      <c r="E80" s="974" t="s">
        <v>162</v>
      </c>
      <c r="F80" s="974" t="s">
        <v>90</v>
      </c>
      <c r="G80" s="1011" t="s">
        <v>1766</v>
      </c>
      <c r="H80" s="949">
        <f>-755827+4000</f>
        <v>-751827</v>
      </c>
      <c r="I80" s="949">
        <v>-96666</v>
      </c>
      <c r="J80" s="949"/>
      <c r="K80" s="949"/>
      <c r="L80" s="949"/>
      <c r="M80" s="949"/>
      <c r="N80" s="949"/>
      <c r="O80" s="949"/>
      <c r="P80" s="976"/>
      <c r="Q80" s="1448"/>
      <c r="R80" s="949"/>
      <c r="S80" s="949"/>
      <c r="T80" s="949"/>
      <c r="U80" s="949"/>
      <c r="V80" s="949"/>
      <c r="W80" s="949"/>
      <c r="X80" s="976"/>
    </row>
    <row r="81" spans="1:24" ht="17.25" customHeight="1" x14ac:dyDescent="0.25">
      <c r="A81" s="2048"/>
      <c r="B81" s="2046"/>
      <c r="C81" s="2044"/>
      <c r="D81" s="978" t="s">
        <v>1821</v>
      </c>
      <c r="E81" s="1000" t="s">
        <v>790</v>
      </c>
      <c r="F81" s="1000" t="s">
        <v>131</v>
      </c>
      <c r="G81" s="1000" t="s">
        <v>1754</v>
      </c>
      <c r="H81" s="980">
        <f>743588+8239</f>
        <v>751827</v>
      </c>
      <c r="I81" s="980">
        <v>96666</v>
      </c>
      <c r="J81" s="980"/>
      <c r="K81" s="980"/>
      <c r="L81" s="980"/>
      <c r="M81" s="980"/>
      <c r="N81" s="980"/>
      <c r="O81" s="980"/>
      <c r="P81" s="981"/>
      <c r="Q81" s="1449"/>
      <c r="R81" s="980"/>
      <c r="S81" s="980"/>
      <c r="T81" s="980"/>
      <c r="U81" s="980"/>
      <c r="V81" s="980"/>
      <c r="W81" s="980"/>
      <c r="X81" s="981"/>
    </row>
    <row r="82" spans="1:24" ht="21.75" customHeight="1" x14ac:dyDescent="0.25">
      <c r="A82" s="2047" t="s">
        <v>267</v>
      </c>
      <c r="B82" s="2045" t="s">
        <v>272</v>
      </c>
      <c r="C82" s="2043" t="s">
        <v>2790</v>
      </c>
      <c r="D82" s="978" t="s">
        <v>1821</v>
      </c>
      <c r="E82" s="1000" t="s">
        <v>162</v>
      </c>
      <c r="F82" s="1000" t="s">
        <v>90</v>
      </c>
      <c r="G82" s="1000" t="s">
        <v>1752</v>
      </c>
      <c r="H82" s="980"/>
      <c r="I82" s="980"/>
      <c r="J82" s="980">
        <f>-393701-106299</f>
        <v>-500000</v>
      </c>
      <c r="K82" s="980"/>
      <c r="L82" s="980"/>
      <c r="M82" s="980"/>
      <c r="N82" s="980"/>
      <c r="O82" s="980"/>
      <c r="P82" s="981"/>
      <c r="Q82" s="1449"/>
      <c r="R82" s="980"/>
      <c r="S82" s="980"/>
      <c r="T82" s="980"/>
      <c r="U82" s="980"/>
      <c r="V82" s="980"/>
      <c r="W82" s="980"/>
      <c r="X82" s="981"/>
    </row>
    <row r="83" spans="1:24" ht="21.75" customHeight="1" x14ac:dyDescent="0.25">
      <c r="A83" s="2048"/>
      <c r="B83" s="2046"/>
      <c r="C83" s="2044"/>
      <c r="D83" s="978" t="s">
        <v>1821</v>
      </c>
      <c r="E83" s="1000" t="s">
        <v>162</v>
      </c>
      <c r="F83" s="1000" t="s">
        <v>150</v>
      </c>
      <c r="G83" s="1000" t="s">
        <v>1754</v>
      </c>
      <c r="H83" s="980"/>
      <c r="I83" s="980"/>
      <c r="J83" s="980">
        <f>393701+106299</f>
        <v>500000</v>
      </c>
      <c r="K83" s="980"/>
      <c r="L83" s="980"/>
      <c r="M83" s="980"/>
      <c r="N83" s="980"/>
      <c r="O83" s="980"/>
      <c r="P83" s="981"/>
      <c r="Q83" s="1449"/>
      <c r="R83" s="980"/>
      <c r="S83" s="980"/>
      <c r="T83" s="980"/>
      <c r="U83" s="980"/>
      <c r="V83" s="980"/>
      <c r="W83" s="980"/>
      <c r="X83" s="981"/>
    </row>
    <row r="84" spans="1:24" ht="29.25" customHeight="1" x14ac:dyDescent="0.25">
      <c r="A84" s="1493" t="s">
        <v>268</v>
      </c>
      <c r="B84" s="1492" t="s">
        <v>273</v>
      </c>
      <c r="C84" s="1491" t="s">
        <v>2791</v>
      </c>
      <c r="D84" s="978" t="s">
        <v>1821</v>
      </c>
      <c r="E84" s="1000" t="s">
        <v>162</v>
      </c>
      <c r="F84" s="1000" t="s">
        <v>90</v>
      </c>
      <c r="G84" s="1000" t="s">
        <v>1766</v>
      </c>
      <c r="H84" s="980"/>
      <c r="I84" s="980"/>
      <c r="J84" s="980">
        <f>-244094-65906</f>
        <v>-310000</v>
      </c>
      <c r="K84" s="980"/>
      <c r="L84" s="980"/>
      <c r="M84" s="980">
        <f>244094+65906</f>
        <v>310000</v>
      </c>
      <c r="N84" s="980"/>
      <c r="O84" s="980"/>
      <c r="P84" s="981"/>
      <c r="Q84" s="1449"/>
      <c r="R84" s="980"/>
      <c r="S84" s="980"/>
      <c r="T84" s="980"/>
      <c r="U84" s="980"/>
      <c r="V84" s="980"/>
      <c r="W84" s="980"/>
      <c r="X84" s="981"/>
    </row>
    <row r="85" spans="1:24" ht="42.75" customHeight="1" x14ac:dyDescent="0.25">
      <c r="A85" s="1493" t="s">
        <v>269</v>
      </c>
      <c r="B85" s="1492" t="s">
        <v>274</v>
      </c>
      <c r="C85" s="1491" t="s">
        <v>2792</v>
      </c>
      <c r="D85" s="978" t="s">
        <v>1821</v>
      </c>
      <c r="E85" s="1000" t="s">
        <v>162</v>
      </c>
      <c r="F85" s="1000" t="s">
        <v>150</v>
      </c>
      <c r="G85" s="1000" t="s">
        <v>1766</v>
      </c>
      <c r="H85" s="980">
        <v>176850</v>
      </c>
      <c r="I85" s="980"/>
      <c r="J85" s="980">
        <f>-216850+40000</f>
        <v>-176850</v>
      </c>
      <c r="K85" s="980"/>
      <c r="L85" s="980"/>
      <c r="M85" s="980"/>
      <c r="N85" s="980"/>
      <c r="O85" s="980"/>
      <c r="P85" s="981"/>
      <c r="Q85" s="1449"/>
      <c r="R85" s="980"/>
      <c r="S85" s="980"/>
      <c r="T85" s="980"/>
      <c r="U85" s="980"/>
      <c r="V85" s="980"/>
      <c r="W85" s="980"/>
      <c r="X85" s="981"/>
    </row>
    <row r="86" spans="1:24" ht="21.75" customHeight="1" x14ac:dyDescent="0.25">
      <c r="A86" s="2047" t="s">
        <v>270</v>
      </c>
      <c r="B86" s="2045" t="s">
        <v>275</v>
      </c>
      <c r="C86" s="2043" t="s">
        <v>2916</v>
      </c>
      <c r="D86" s="978" t="s">
        <v>1821</v>
      </c>
      <c r="E86" s="1000" t="s">
        <v>1297</v>
      </c>
      <c r="F86" s="1000" t="s">
        <v>127</v>
      </c>
      <c r="G86" s="1000" t="s">
        <v>1754</v>
      </c>
      <c r="H86" s="980"/>
      <c r="I86" s="980"/>
      <c r="J86" s="980"/>
      <c r="K86" s="980"/>
      <c r="L86" s="980"/>
      <c r="M86" s="980"/>
      <c r="N86" s="980"/>
      <c r="O86" s="980"/>
      <c r="P86" s="981"/>
      <c r="Q86" s="1449"/>
      <c r="R86" s="980"/>
      <c r="S86" s="980"/>
      <c r="T86" s="980"/>
      <c r="U86" s="980"/>
      <c r="V86" s="980"/>
      <c r="W86" s="980"/>
      <c r="X86" s="981">
        <v>3577301</v>
      </c>
    </row>
    <row r="87" spans="1:24" ht="21.75" customHeight="1" x14ac:dyDescent="0.25">
      <c r="A87" s="2048"/>
      <c r="B87" s="2046"/>
      <c r="C87" s="2044"/>
      <c r="D87" s="978" t="s">
        <v>1821</v>
      </c>
      <c r="E87" s="1000" t="s">
        <v>162</v>
      </c>
      <c r="F87" s="1000" t="s">
        <v>90</v>
      </c>
      <c r="G87" s="1000" t="s">
        <v>1754</v>
      </c>
      <c r="H87" s="980"/>
      <c r="I87" s="980"/>
      <c r="J87" s="980"/>
      <c r="K87" s="980"/>
      <c r="L87" s="980"/>
      <c r="M87" s="980">
        <f>2816772+760529</f>
        <v>3577301</v>
      </c>
      <c r="N87" s="980"/>
      <c r="O87" s="980"/>
      <c r="P87" s="981"/>
      <c r="Q87" s="1449"/>
      <c r="R87" s="980"/>
      <c r="S87" s="980"/>
      <c r="T87" s="980"/>
      <c r="U87" s="980"/>
      <c r="V87" s="980"/>
      <c r="W87" s="980"/>
      <c r="X87" s="981"/>
    </row>
    <row r="88" spans="1:24" ht="19.5" customHeight="1" x14ac:dyDescent="0.25">
      <c r="A88" s="2047" t="s">
        <v>271</v>
      </c>
      <c r="B88" s="2045" t="s">
        <v>276</v>
      </c>
      <c r="C88" s="2043" t="s">
        <v>2876</v>
      </c>
      <c r="D88" s="978" t="s">
        <v>1821</v>
      </c>
      <c r="E88" s="1000" t="s">
        <v>162</v>
      </c>
      <c r="F88" s="1000" t="s">
        <v>90</v>
      </c>
      <c r="G88" s="1000" t="s">
        <v>1766</v>
      </c>
      <c r="H88" s="980">
        <f>-880315+143000</f>
        <v>-737315</v>
      </c>
      <c r="I88" s="980">
        <v>-94780</v>
      </c>
      <c r="J88" s="980"/>
      <c r="K88" s="980"/>
      <c r="L88" s="980"/>
      <c r="M88" s="980"/>
      <c r="N88" s="980"/>
      <c r="O88" s="980"/>
      <c r="P88" s="981"/>
      <c r="Q88" s="1449"/>
      <c r="R88" s="980"/>
      <c r="S88" s="980"/>
      <c r="T88" s="980"/>
      <c r="U88" s="980"/>
      <c r="V88" s="980"/>
      <c r="W88" s="980"/>
      <c r="X88" s="981"/>
    </row>
    <row r="89" spans="1:24" ht="19.5" customHeight="1" x14ac:dyDescent="0.25">
      <c r="A89" s="2048"/>
      <c r="B89" s="2046"/>
      <c r="C89" s="2044"/>
      <c r="D89" s="978" t="s">
        <v>1821</v>
      </c>
      <c r="E89" s="1000" t="s">
        <v>790</v>
      </c>
      <c r="F89" s="1000" t="s">
        <v>131</v>
      </c>
      <c r="G89" s="1000" t="s">
        <v>1754</v>
      </c>
      <c r="H89" s="980">
        <f>695213+8239+33863</f>
        <v>737315</v>
      </c>
      <c r="I89" s="980">
        <v>94780</v>
      </c>
      <c r="J89" s="980"/>
      <c r="K89" s="980"/>
      <c r="L89" s="980"/>
      <c r="M89" s="980"/>
      <c r="N89" s="980"/>
      <c r="O89" s="980"/>
      <c r="P89" s="981"/>
      <c r="Q89" s="1449"/>
      <c r="R89" s="980"/>
      <c r="S89" s="980"/>
      <c r="T89" s="980"/>
      <c r="U89" s="980"/>
      <c r="V89" s="980"/>
      <c r="W89" s="980"/>
      <c r="X89" s="981"/>
    </row>
    <row r="90" spans="1:24" ht="30.75" customHeight="1" x14ac:dyDescent="0.25">
      <c r="A90" s="1493" t="s">
        <v>272</v>
      </c>
      <c r="B90" s="1492" t="s">
        <v>277</v>
      </c>
      <c r="C90" s="1491" t="s">
        <v>2972</v>
      </c>
      <c r="D90" s="978" t="s">
        <v>1821</v>
      </c>
      <c r="E90" s="1000" t="s">
        <v>162</v>
      </c>
      <c r="F90" s="1000" t="s">
        <v>90</v>
      </c>
      <c r="G90" s="1000" t="s">
        <v>1766</v>
      </c>
      <c r="H90" s="980"/>
      <c r="I90" s="980"/>
      <c r="J90" s="980">
        <f>-600000+600000</f>
        <v>0</v>
      </c>
      <c r="K90" s="980"/>
      <c r="L90" s="980"/>
      <c r="M90" s="980"/>
      <c r="N90" s="980"/>
      <c r="O90" s="980"/>
      <c r="P90" s="981"/>
      <c r="Q90" s="1449"/>
      <c r="R90" s="980"/>
      <c r="S90" s="980"/>
      <c r="T90" s="980"/>
      <c r="U90" s="980"/>
      <c r="V90" s="980"/>
      <c r="W90" s="980"/>
      <c r="X90" s="981"/>
    </row>
    <row r="91" spans="1:24" ht="31.5" customHeight="1" x14ac:dyDescent="0.25">
      <c r="A91" s="1493" t="s">
        <v>273</v>
      </c>
      <c r="B91" s="1492" t="s">
        <v>278</v>
      </c>
      <c r="C91" s="1491" t="s">
        <v>2519</v>
      </c>
      <c r="D91" s="978" t="s">
        <v>1821</v>
      </c>
      <c r="E91" s="1000" t="s">
        <v>162</v>
      </c>
      <c r="F91" s="1000" t="s">
        <v>151</v>
      </c>
      <c r="G91" s="1000" t="s">
        <v>1766</v>
      </c>
      <c r="H91" s="980"/>
      <c r="I91" s="980"/>
      <c r="J91" s="980">
        <f>-119897+119897</f>
        <v>0</v>
      </c>
      <c r="K91" s="980"/>
      <c r="L91" s="980"/>
      <c r="M91" s="980"/>
      <c r="N91" s="980"/>
      <c r="O91" s="980"/>
      <c r="P91" s="981"/>
      <c r="Q91" s="1449"/>
      <c r="R91" s="980"/>
      <c r="S91" s="980"/>
      <c r="T91" s="980"/>
      <c r="U91" s="980"/>
      <c r="V91" s="980"/>
      <c r="W91" s="980"/>
      <c r="X91" s="981"/>
    </row>
    <row r="92" spans="1:24" x14ac:dyDescent="0.25">
      <c r="A92" s="1432"/>
      <c r="B92" s="1431"/>
      <c r="C92" s="977"/>
      <c r="D92" s="978"/>
      <c r="E92" s="1000"/>
      <c r="F92" s="1000"/>
      <c r="G92" s="1000"/>
      <c r="H92" s="980"/>
      <c r="I92" s="980"/>
      <c r="J92" s="980"/>
      <c r="K92" s="980"/>
      <c r="L92" s="980"/>
      <c r="M92" s="980"/>
      <c r="N92" s="980"/>
      <c r="O92" s="980"/>
      <c r="P92" s="981"/>
      <c r="Q92" s="1449"/>
      <c r="R92" s="980"/>
      <c r="S92" s="980"/>
      <c r="T92" s="980"/>
      <c r="U92" s="980"/>
      <c r="V92" s="980"/>
      <c r="W92" s="980"/>
      <c r="X92" s="981"/>
    </row>
    <row r="93" spans="1:24" ht="18.75" x14ac:dyDescent="0.3">
      <c r="A93" s="2021" t="s">
        <v>1663</v>
      </c>
      <c r="B93" s="2022"/>
      <c r="C93" s="2022"/>
      <c r="D93" s="956"/>
      <c r="E93" s="956"/>
      <c r="F93" s="956"/>
      <c r="G93" s="956"/>
      <c r="H93" s="1252">
        <f t="shared" ref="H93:X93" si="2">SUM(H80:H92)+H61</f>
        <v>5351850</v>
      </c>
      <c r="I93" s="1252">
        <f t="shared" si="2"/>
        <v>672750</v>
      </c>
      <c r="J93" s="1252">
        <f t="shared" si="2"/>
        <v>7984750</v>
      </c>
      <c r="K93" s="1252">
        <f t="shared" si="2"/>
        <v>0</v>
      </c>
      <c r="L93" s="1252">
        <f t="shared" si="2"/>
        <v>11118964</v>
      </c>
      <c r="M93" s="1252">
        <f t="shared" si="2"/>
        <v>3937301</v>
      </c>
      <c r="N93" s="1252">
        <f t="shared" si="2"/>
        <v>0</v>
      </c>
      <c r="O93" s="1252">
        <f t="shared" si="2"/>
        <v>0</v>
      </c>
      <c r="P93" s="1059">
        <f t="shared" si="2"/>
        <v>0</v>
      </c>
      <c r="Q93" s="1453">
        <f t="shared" si="2"/>
        <v>350000</v>
      </c>
      <c r="R93" s="1252">
        <f t="shared" si="2"/>
        <v>0</v>
      </c>
      <c r="S93" s="1252">
        <f t="shared" si="2"/>
        <v>0</v>
      </c>
      <c r="T93" s="1252">
        <f t="shared" si="2"/>
        <v>200000</v>
      </c>
      <c r="U93" s="1252">
        <f t="shared" si="2"/>
        <v>0</v>
      </c>
      <c r="V93" s="1252">
        <f t="shared" si="2"/>
        <v>0</v>
      </c>
      <c r="W93" s="1252">
        <f t="shared" si="2"/>
        <v>0</v>
      </c>
      <c r="X93" s="1059">
        <f t="shared" si="2"/>
        <v>28515615</v>
      </c>
    </row>
    <row r="94" spans="1:24" ht="16.5" customHeight="1" x14ac:dyDescent="0.25">
      <c r="H94" s="1018"/>
      <c r="I94" s="1018"/>
      <c r="J94" s="1018"/>
      <c r="K94" s="1018"/>
      <c r="L94" s="1018"/>
      <c r="M94" s="1018"/>
      <c r="N94" s="1018"/>
      <c r="O94" s="1018"/>
      <c r="P94" s="1018"/>
      <c r="Q94" s="1018"/>
      <c r="R94" s="1018"/>
      <c r="S94" s="1018"/>
      <c r="T94" s="1018"/>
      <c r="U94" s="1018"/>
      <c r="V94" s="1018"/>
      <c r="W94" s="1018"/>
      <c r="X94" s="1018"/>
    </row>
    <row r="95" spans="1:24" ht="19.5" customHeight="1" x14ac:dyDescent="0.25">
      <c r="H95" s="966"/>
      <c r="I95" s="966"/>
      <c r="J95" s="966"/>
      <c r="K95" s="966"/>
      <c r="L95" s="966"/>
      <c r="M95" s="966"/>
      <c r="N95" s="966"/>
      <c r="O95" s="966"/>
      <c r="P95" s="966"/>
      <c r="Q95" s="966"/>
      <c r="R95" s="966"/>
      <c r="S95" s="966"/>
      <c r="T95" s="966"/>
      <c r="U95" s="966"/>
      <c r="V95" s="966"/>
      <c r="W95" s="966"/>
      <c r="X95" s="966"/>
    </row>
    <row r="96" spans="1:24" x14ac:dyDescent="0.25">
      <c r="Q96" s="968"/>
    </row>
    <row r="97" spans="1:24" x14ac:dyDescent="0.25">
      <c r="Q97" s="968"/>
    </row>
    <row r="98" spans="1:24" ht="24" customHeight="1" x14ac:dyDescent="0.25">
      <c r="I98" s="2042" t="s">
        <v>1664</v>
      </c>
      <c r="J98" s="2042"/>
      <c r="K98" s="2042"/>
      <c r="L98" s="2042">
        <v>342564947</v>
      </c>
      <c r="M98" s="2042"/>
      <c r="N98" s="996"/>
      <c r="O98" s="996"/>
      <c r="P98" s="996"/>
      <c r="Q98" s="996"/>
      <c r="R98" s="2042" t="s">
        <v>1665</v>
      </c>
      <c r="S98" s="2042"/>
      <c r="T98" s="2042"/>
      <c r="U98" s="2042">
        <v>342564947</v>
      </c>
      <c r="V98" s="2042"/>
    </row>
    <row r="99" spans="1:24" ht="22.5" customHeight="1" x14ac:dyDescent="0.25">
      <c r="I99" s="2042" t="s">
        <v>1666</v>
      </c>
      <c r="J99" s="2042"/>
      <c r="K99" s="2042"/>
      <c r="L99" s="2042">
        <f>SUM(H93:P93)</f>
        <v>29065615</v>
      </c>
      <c r="M99" s="2042"/>
      <c r="N99" s="996"/>
      <c r="O99" s="996"/>
      <c r="P99" s="996"/>
      <c r="Q99" s="996"/>
      <c r="R99" s="2042" t="s">
        <v>1666</v>
      </c>
      <c r="S99" s="2042"/>
      <c r="T99" s="2042"/>
      <c r="U99" s="2042">
        <f>SUM(Q93:X93)</f>
        <v>29065615</v>
      </c>
      <c r="V99" s="2042"/>
    </row>
    <row r="100" spans="1:24" ht="24" customHeight="1" x14ac:dyDescent="0.25">
      <c r="I100" s="2042" t="s">
        <v>1512</v>
      </c>
      <c r="J100" s="2042"/>
      <c r="K100" s="2042"/>
      <c r="L100" s="2042">
        <f>+L98+L99</f>
        <v>371630562</v>
      </c>
      <c r="M100" s="2042"/>
      <c r="N100" s="996"/>
      <c r="O100" s="996"/>
      <c r="P100" s="996"/>
      <c r="Q100" s="996"/>
      <c r="R100" s="2042" t="s">
        <v>1512</v>
      </c>
      <c r="S100" s="2042"/>
      <c r="T100" s="2042"/>
      <c r="U100" s="2042">
        <f>+U98+U99</f>
        <v>371630562</v>
      </c>
      <c r="V100" s="2042"/>
    </row>
    <row r="101" spans="1:24" x14ac:dyDescent="0.25">
      <c r="Q101" s="968"/>
    </row>
    <row r="102" spans="1:24" x14ac:dyDescent="0.25">
      <c r="Q102" s="968"/>
    </row>
    <row r="103" spans="1:24" x14ac:dyDescent="0.25">
      <c r="Q103" s="968"/>
    </row>
    <row r="104" spans="1:24" x14ac:dyDescent="0.25">
      <c r="Q104" s="968"/>
    </row>
    <row r="105" spans="1:24" x14ac:dyDescent="0.25">
      <c r="Q105" s="968"/>
    </row>
    <row r="106" spans="1:24" ht="15.75" x14ac:dyDescent="0.25">
      <c r="A106" s="2010" t="s">
        <v>3372</v>
      </c>
      <c r="B106" s="2010"/>
      <c r="C106" s="2010"/>
      <c r="D106" s="2010"/>
      <c r="E106" s="2010"/>
      <c r="F106" s="2010"/>
      <c r="G106" s="2010"/>
      <c r="H106" s="2010"/>
      <c r="I106" s="2010"/>
      <c r="J106" s="2010"/>
      <c r="K106" s="2010"/>
      <c r="L106" s="2010"/>
      <c r="M106" s="2010"/>
      <c r="N106" s="2010"/>
      <c r="O106" s="2010"/>
      <c r="P106" s="2010"/>
      <c r="Q106" s="2010"/>
      <c r="R106" s="2010"/>
      <c r="S106" s="2010"/>
      <c r="T106" s="2010"/>
      <c r="U106" s="2010"/>
      <c r="V106" s="2010"/>
      <c r="W106" s="2010"/>
      <c r="X106" s="2010"/>
    </row>
    <row r="107" spans="1:24" ht="15.75" x14ac:dyDescent="0.25">
      <c r="A107" s="1246"/>
      <c r="B107" s="1246"/>
      <c r="C107" s="1246"/>
      <c r="D107" s="1246"/>
      <c r="E107" s="1246"/>
      <c r="F107" s="1246"/>
      <c r="G107" s="1246"/>
      <c r="H107" s="1246"/>
      <c r="I107" s="1246"/>
      <c r="J107" s="1246"/>
      <c r="K107" s="1246"/>
      <c r="L107" s="1246"/>
      <c r="M107" s="1246"/>
      <c r="N107" s="1246"/>
      <c r="O107" s="1246"/>
      <c r="P107" s="1246"/>
      <c r="Q107" s="1246"/>
      <c r="R107" s="1246"/>
      <c r="S107" s="1246"/>
      <c r="T107" s="1246"/>
      <c r="U107" s="1246"/>
      <c r="V107" s="1246"/>
      <c r="W107" s="1246"/>
      <c r="X107" s="1246"/>
    </row>
    <row r="108" spans="1:24" x14ac:dyDescent="0.25">
      <c r="A108" s="970"/>
      <c r="B108" s="970"/>
      <c r="C108" s="970"/>
      <c r="D108" s="970"/>
      <c r="E108" s="970"/>
      <c r="F108" s="970"/>
      <c r="G108" s="970"/>
      <c r="H108" s="970"/>
      <c r="I108" s="970"/>
      <c r="J108" s="970"/>
      <c r="K108" s="970"/>
      <c r="L108" s="970"/>
      <c r="M108" s="970"/>
      <c r="N108" s="970"/>
      <c r="O108" s="970"/>
      <c r="P108" s="970"/>
      <c r="Q108" s="970"/>
      <c r="R108" s="970"/>
      <c r="S108" s="970"/>
      <c r="T108" s="970"/>
      <c r="U108" s="970"/>
      <c r="V108" s="970"/>
      <c r="W108" s="970"/>
      <c r="X108" s="970"/>
    </row>
    <row r="109" spans="1:24" x14ac:dyDescent="0.25">
      <c r="A109" s="2055" t="s">
        <v>24</v>
      </c>
      <c r="B109" s="2055"/>
      <c r="C109" s="2055"/>
      <c r="D109" s="2055"/>
      <c r="E109" s="2055"/>
      <c r="F109" s="2055"/>
      <c r="G109" s="2055"/>
      <c r="H109" s="2055"/>
      <c r="I109" s="2055"/>
      <c r="J109" s="2055"/>
      <c r="K109" s="2055"/>
      <c r="L109" s="2055"/>
      <c r="M109" s="2055"/>
      <c r="N109" s="2055"/>
      <c r="O109" s="2055"/>
      <c r="P109" s="2055"/>
      <c r="Q109" s="2055"/>
      <c r="R109" s="2055"/>
      <c r="S109" s="2055"/>
      <c r="T109" s="2055"/>
      <c r="U109" s="2055"/>
      <c r="V109" s="2055"/>
      <c r="W109" s="2055"/>
      <c r="X109" s="2055"/>
    </row>
    <row r="110" spans="1:24" ht="18" customHeight="1" x14ac:dyDescent="0.25">
      <c r="Q110" s="968"/>
    </row>
    <row r="111" spans="1:24" ht="15" customHeight="1" x14ac:dyDescent="0.25">
      <c r="A111" s="2056" t="s">
        <v>37</v>
      </c>
      <c r="B111" s="1773" t="s">
        <v>1640</v>
      </c>
      <c r="C111" s="2058" t="s">
        <v>2</v>
      </c>
      <c r="D111" s="2037" t="s">
        <v>1641</v>
      </c>
      <c r="E111" s="2037" t="s">
        <v>116</v>
      </c>
      <c r="F111" s="2037" t="s">
        <v>1642</v>
      </c>
      <c r="G111" s="2037" t="s">
        <v>1643</v>
      </c>
      <c r="H111" s="2039" t="s">
        <v>1644</v>
      </c>
      <c r="I111" s="2039"/>
      <c r="J111" s="2039"/>
      <c r="K111" s="2039"/>
      <c r="L111" s="2039"/>
      <c r="M111" s="2039"/>
      <c r="N111" s="2039"/>
      <c r="O111" s="2066"/>
      <c r="P111" s="1434"/>
      <c r="Q111" s="2040" t="s">
        <v>1645</v>
      </c>
      <c r="R111" s="2039"/>
      <c r="S111" s="2039"/>
      <c r="T111" s="2039"/>
      <c r="U111" s="2039"/>
      <c r="V111" s="2039"/>
      <c r="W111" s="2039"/>
      <c r="X111" s="2041"/>
    </row>
    <row r="112" spans="1:24" ht="81.75" customHeight="1" x14ac:dyDescent="0.25">
      <c r="A112" s="2057"/>
      <c r="B112" s="1774"/>
      <c r="C112" s="2059"/>
      <c r="D112" s="2038"/>
      <c r="E112" s="2038"/>
      <c r="F112" s="2038"/>
      <c r="G112" s="2038"/>
      <c r="H112" s="941" t="s">
        <v>1698</v>
      </c>
      <c r="I112" s="941" t="s">
        <v>1647</v>
      </c>
      <c r="J112" s="941" t="s">
        <v>1669</v>
      </c>
      <c r="K112" s="941" t="s">
        <v>1699</v>
      </c>
      <c r="L112" s="941" t="s">
        <v>1700</v>
      </c>
      <c r="M112" s="941" t="s">
        <v>1672</v>
      </c>
      <c r="N112" s="941" t="s">
        <v>1673</v>
      </c>
      <c r="O112" s="941" t="s">
        <v>1653</v>
      </c>
      <c r="P112" s="944" t="s">
        <v>1654</v>
      </c>
      <c r="Q112" s="999" t="s">
        <v>1655</v>
      </c>
      <c r="R112" s="941" t="s">
        <v>1656</v>
      </c>
      <c r="S112" s="941" t="s">
        <v>1695</v>
      </c>
      <c r="T112" s="941" t="s">
        <v>1701</v>
      </c>
      <c r="U112" s="941" t="s">
        <v>1659</v>
      </c>
      <c r="V112" s="941" t="s">
        <v>1660</v>
      </c>
      <c r="W112" s="941" t="s">
        <v>1661</v>
      </c>
      <c r="X112" s="944" t="s">
        <v>1677</v>
      </c>
    </row>
    <row r="113" spans="1:24" ht="18.75" customHeight="1" x14ac:dyDescent="0.25">
      <c r="A113" s="2052" t="s">
        <v>274</v>
      </c>
      <c r="B113" s="2051" t="s">
        <v>282</v>
      </c>
      <c r="C113" s="2050" t="s">
        <v>3086</v>
      </c>
      <c r="D113" s="974" t="s">
        <v>1821</v>
      </c>
      <c r="E113" s="974" t="s">
        <v>162</v>
      </c>
      <c r="F113" s="974" t="s">
        <v>90</v>
      </c>
      <c r="G113" s="1011" t="s">
        <v>3107</v>
      </c>
      <c r="H113" s="949">
        <f>-20497175+18725000+143000</f>
        <v>-1629175</v>
      </c>
      <c r="I113" s="949">
        <v>-207764</v>
      </c>
      <c r="J113" s="949"/>
      <c r="K113" s="949"/>
      <c r="L113" s="949"/>
      <c r="M113" s="949"/>
      <c r="N113" s="949"/>
      <c r="O113" s="949"/>
      <c r="P113" s="976"/>
      <c r="Q113" s="1448"/>
      <c r="R113" s="949"/>
      <c r="S113" s="949"/>
      <c r="T113" s="949"/>
      <c r="U113" s="949"/>
      <c r="V113" s="949"/>
      <c r="W113" s="949"/>
      <c r="X113" s="976"/>
    </row>
    <row r="114" spans="1:24" ht="18.75" customHeight="1" x14ac:dyDescent="0.25">
      <c r="A114" s="2048"/>
      <c r="B114" s="2046"/>
      <c r="C114" s="2044"/>
      <c r="D114" s="978" t="s">
        <v>1821</v>
      </c>
      <c r="E114" s="1000" t="s">
        <v>790</v>
      </c>
      <c r="F114" s="1000" t="s">
        <v>131</v>
      </c>
      <c r="G114" s="1000" t="s">
        <v>1754</v>
      </c>
      <c r="H114" s="980">
        <f>625581+800000+20989+82605+100000</f>
        <v>1629175</v>
      </c>
      <c r="I114" s="980">
        <v>207764</v>
      </c>
      <c r="J114" s="980"/>
      <c r="K114" s="980"/>
      <c r="L114" s="980"/>
      <c r="M114" s="980"/>
      <c r="N114" s="980"/>
      <c r="O114" s="980"/>
      <c r="P114" s="981"/>
      <c r="Q114" s="1449"/>
      <c r="R114" s="980"/>
      <c r="S114" s="980"/>
      <c r="T114" s="980"/>
      <c r="U114" s="980"/>
      <c r="V114" s="980"/>
      <c r="W114" s="980"/>
      <c r="X114" s="981"/>
    </row>
    <row r="115" spans="1:24" ht="30.75" customHeight="1" x14ac:dyDescent="0.25">
      <c r="A115" s="1432" t="s">
        <v>275</v>
      </c>
      <c r="B115" s="1431" t="s">
        <v>283</v>
      </c>
      <c r="C115" s="977" t="s">
        <v>3161</v>
      </c>
      <c r="D115" s="978" t="s">
        <v>1821</v>
      </c>
      <c r="E115" s="1000" t="s">
        <v>162</v>
      </c>
      <c r="F115" s="1000" t="s">
        <v>90</v>
      </c>
      <c r="G115" s="1000" t="s">
        <v>1766</v>
      </c>
      <c r="H115" s="980"/>
      <c r="I115" s="980"/>
      <c r="J115" s="980">
        <f>-200000+200000</f>
        <v>0</v>
      </c>
      <c r="K115" s="980"/>
      <c r="L115" s="980"/>
      <c r="M115" s="980"/>
      <c r="N115" s="980"/>
      <c r="O115" s="980"/>
      <c r="P115" s="981"/>
      <c r="Q115" s="1449"/>
      <c r="R115" s="980"/>
      <c r="S115" s="980"/>
      <c r="T115" s="980"/>
      <c r="U115" s="980"/>
      <c r="V115" s="980"/>
      <c r="W115" s="980"/>
      <c r="X115" s="981"/>
    </row>
    <row r="116" spans="1:24" ht="55.5" customHeight="1" x14ac:dyDescent="0.25">
      <c r="A116" s="1432" t="s">
        <v>276</v>
      </c>
      <c r="B116" s="1431" t="s">
        <v>284</v>
      </c>
      <c r="C116" s="977" t="s">
        <v>3163</v>
      </c>
      <c r="D116" s="978" t="s">
        <v>1821</v>
      </c>
      <c r="E116" s="1000" t="s">
        <v>162</v>
      </c>
      <c r="F116" s="1000" t="s">
        <v>150</v>
      </c>
      <c r="G116" s="1000" t="s">
        <v>1766</v>
      </c>
      <c r="H116" s="980"/>
      <c r="I116" s="980"/>
      <c r="J116" s="980">
        <f>-286087+37087+249000</f>
        <v>0</v>
      </c>
      <c r="K116" s="980"/>
      <c r="L116" s="980"/>
      <c r="M116" s="980"/>
      <c r="N116" s="980"/>
      <c r="O116" s="980"/>
      <c r="P116" s="981"/>
      <c r="Q116" s="1449"/>
      <c r="R116" s="980"/>
      <c r="S116" s="980"/>
      <c r="T116" s="980"/>
      <c r="U116" s="980"/>
      <c r="V116" s="980"/>
      <c r="W116" s="980"/>
      <c r="X116" s="981"/>
    </row>
    <row r="117" spans="1:24" ht="34.5" customHeight="1" x14ac:dyDescent="0.25">
      <c r="A117" s="1432" t="s">
        <v>277</v>
      </c>
      <c r="B117" s="1431" t="s">
        <v>285</v>
      </c>
      <c r="C117" s="977" t="s">
        <v>3164</v>
      </c>
      <c r="D117" s="978" t="s">
        <v>1821</v>
      </c>
      <c r="E117" s="1000" t="s">
        <v>162</v>
      </c>
      <c r="F117" s="1000" t="s">
        <v>151</v>
      </c>
      <c r="G117" s="1000" t="s">
        <v>1766</v>
      </c>
      <c r="H117" s="980"/>
      <c r="I117" s="980"/>
      <c r="J117" s="980">
        <f>-110079+110079</f>
        <v>0</v>
      </c>
      <c r="K117" s="980"/>
      <c r="L117" s="980"/>
      <c r="M117" s="980"/>
      <c r="N117" s="980"/>
      <c r="O117" s="980"/>
      <c r="P117" s="981"/>
      <c r="Q117" s="1449"/>
      <c r="R117" s="980"/>
      <c r="S117" s="980"/>
      <c r="T117" s="980"/>
      <c r="U117" s="980"/>
      <c r="V117" s="980"/>
      <c r="W117" s="980"/>
      <c r="X117" s="981"/>
    </row>
    <row r="118" spans="1:24" ht="22.5" customHeight="1" x14ac:dyDescent="0.25">
      <c r="A118" s="2047" t="s">
        <v>278</v>
      </c>
      <c r="B118" s="2045" t="s">
        <v>286</v>
      </c>
      <c r="C118" s="2043" t="s">
        <v>3228</v>
      </c>
      <c r="D118" s="978" t="s">
        <v>1821</v>
      </c>
      <c r="E118" s="1000" t="s">
        <v>1297</v>
      </c>
      <c r="F118" s="1000" t="s">
        <v>127</v>
      </c>
      <c r="G118" s="1000" t="s">
        <v>1754</v>
      </c>
      <c r="H118" s="980"/>
      <c r="I118" s="980"/>
      <c r="J118" s="980"/>
      <c r="K118" s="980"/>
      <c r="L118" s="980"/>
      <c r="M118" s="980"/>
      <c r="N118" s="980"/>
      <c r="O118" s="980"/>
      <c r="P118" s="981"/>
      <c r="Q118" s="1449"/>
      <c r="R118" s="980"/>
      <c r="S118" s="980"/>
      <c r="T118" s="980"/>
      <c r="U118" s="980"/>
      <c r="V118" s="980"/>
      <c r="W118" s="980"/>
      <c r="X118" s="981">
        <v>250000</v>
      </c>
    </row>
    <row r="119" spans="1:24" ht="22.5" customHeight="1" x14ac:dyDescent="0.25">
      <c r="A119" s="2048"/>
      <c r="B119" s="2046"/>
      <c r="C119" s="2044"/>
      <c r="D119" s="978" t="s">
        <v>1821</v>
      </c>
      <c r="E119" s="1000" t="s">
        <v>162</v>
      </c>
      <c r="F119" s="1000" t="s">
        <v>151</v>
      </c>
      <c r="G119" s="1000" t="s">
        <v>1754</v>
      </c>
      <c r="H119" s="980"/>
      <c r="I119" s="980"/>
      <c r="J119" s="980">
        <f>196850+53150</f>
        <v>250000</v>
      </c>
      <c r="K119" s="980"/>
      <c r="L119" s="980"/>
      <c r="M119" s="980"/>
      <c r="N119" s="980"/>
      <c r="O119" s="980"/>
      <c r="P119" s="981"/>
      <c r="Q119" s="1449"/>
      <c r="R119" s="980"/>
      <c r="S119" s="980"/>
      <c r="T119" s="980"/>
      <c r="U119" s="980"/>
      <c r="V119" s="980"/>
      <c r="W119" s="980"/>
      <c r="X119" s="981"/>
    </row>
    <row r="120" spans="1:24" ht="21" customHeight="1" x14ac:dyDescent="0.25">
      <c r="A120" s="2047" t="s">
        <v>282</v>
      </c>
      <c r="B120" s="2045" t="s">
        <v>287</v>
      </c>
      <c r="C120" s="2043" t="s">
        <v>3241</v>
      </c>
      <c r="D120" s="978" t="s">
        <v>1821</v>
      </c>
      <c r="E120" s="1000" t="s">
        <v>162</v>
      </c>
      <c r="F120" s="1000" t="s">
        <v>90</v>
      </c>
      <c r="G120" s="1000" t="s">
        <v>1766</v>
      </c>
      <c r="H120" s="980">
        <f>-902338+143000</f>
        <v>-759338</v>
      </c>
      <c r="I120" s="980">
        <v>-75606</v>
      </c>
      <c r="J120" s="980"/>
      <c r="K120" s="980"/>
      <c r="L120" s="980"/>
      <c r="M120" s="980"/>
      <c r="N120" s="980"/>
      <c r="O120" s="980"/>
      <c r="P120" s="981"/>
      <c r="Q120" s="1449"/>
      <c r="R120" s="980"/>
      <c r="S120" s="980"/>
      <c r="T120" s="980"/>
      <c r="U120" s="980"/>
      <c r="V120" s="980"/>
      <c r="W120" s="980"/>
      <c r="X120" s="981"/>
    </row>
    <row r="121" spans="1:24" ht="21" customHeight="1" x14ac:dyDescent="0.25">
      <c r="A121" s="2048"/>
      <c r="B121" s="2046"/>
      <c r="C121" s="2044"/>
      <c r="D121" s="978" t="s">
        <v>1821</v>
      </c>
      <c r="E121" s="1000" t="s">
        <v>790</v>
      </c>
      <c r="F121" s="1000" t="s">
        <v>131</v>
      </c>
      <c r="G121" s="1000" t="s">
        <v>1754</v>
      </c>
      <c r="H121" s="980">
        <f>743588+15750</f>
        <v>759338</v>
      </c>
      <c r="I121" s="980">
        <v>75606</v>
      </c>
      <c r="J121" s="980"/>
      <c r="K121" s="980"/>
      <c r="L121" s="980"/>
      <c r="M121" s="980"/>
      <c r="N121" s="980"/>
      <c r="O121" s="980"/>
      <c r="P121" s="981"/>
      <c r="Q121" s="1449"/>
      <c r="R121" s="980"/>
      <c r="S121" s="980"/>
      <c r="T121" s="980"/>
      <c r="U121" s="980"/>
      <c r="V121" s="980"/>
      <c r="W121" s="980"/>
      <c r="X121" s="981"/>
    </row>
    <row r="122" spans="1:24" ht="39" customHeight="1" x14ac:dyDescent="0.25">
      <c r="A122" s="1493" t="s">
        <v>283</v>
      </c>
      <c r="B122" s="1492" t="s">
        <v>288</v>
      </c>
      <c r="C122" s="1491" t="s">
        <v>3243</v>
      </c>
      <c r="D122" s="978" t="s">
        <v>1821</v>
      </c>
      <c r="E122" s="1000" t="s">
        <v>162</v>
      </c>
      <c r="F122" s="1000" t="s">
        <v>90</v>
      </c>
      <c r="G122" s="1000" t="s">
        <v>1766</v>
      </c>
      <c r="H122" s="980"/>
      <c r="I122" s="980"/>
      <c r="J122" s="980">
        <f>-200000-54000</f>
        <v>-254000</v>
      </c>
      <c r="K122" s="980"/>
      <c r="L122" s="980"/>
      <c r="M122" s="980">
        <f>200000+54000</f>
        <v>254000</v>
      </c>
      <c r="N122" s="980"/>
      <c r="O122" s="980"/>
      <c r="P122" s="981"/>
      <c r="Q122" s="1449"/>
      <c r="R122" s="980"/>
      <c r="S122" s="980"/>
      <c r="T122" s="980"/>
      <c r="U122" s="980"/>
      <c r="V122" s="980"/>
      <c r="W122" s="980"/>
      <c r="X122" s="981"/>
    </row>
    <row r="123" spans="1:24" ht="20.25" customHeight="1" x14ac:dyDescent="0.25">
      <c r="A123" s="2047" t="s">
        <v>284</v>
      </c>
      <c r="B123" s="2045" t="s">
        <v>289</v>
      </c>
      <c r="C123" s="2043" t="s">
        <v>3254</v>
      </c>
      <c r="D123" s="978" t="s">
        <v>1821</v>
      </c>
      <c r="E123" s="1000" t="s">
        <v>1297</v>
      </c>
      <c r="F123" s="1000" t="s">
        <v>127</v>
      </c>
      <c r="G123" s="1000" t="s">
        <v>1754</v>
      </c>
      <c r="H123" s="980"/>
      <c r="I123" s="980"/>
      <c r="J123" s="980"/>
      <c r="K123" s="980"/>
      <c r="L123" s="980"/>
      <c r="M123" s="980"/>
      <c r="N123" s="980"/>
      <c r="O123" s="980"/>
      <c r="P123" s="981"/>
      <c r="Q123" s="1449"/>
      <c r="R123" s="980"/>
      <c r="S123" s="980"/>
      <c r="T123" s="980"/>
      <c r="U123" s="980"/>
      <c r="V123" s="980"/>
      <c r="W123" s="980"/>
      <c r="X123" s="981">
        <v>7000000</v>
      </c>
    </row>
    <row r="124" spans="1:24" ht="22.5" customHeight="1" x14ac:dyDescent="0.25">
      <c r="A124" s="2048"/>
      <c r="B124" s="2046"/>
      <c r="C124" s="2044"/>
      <c r="D124" s="978" t="s">
        <v>1821</v>
      </c>
      <c r="E124" s="1000" t="s">
        <v>162</v>
      </c>
      <c r="F124" s="1000" t="s">
        <v>90</v>
      </c>
      <c r="G124" s="1000" t="s">
        <v>1754</v>
      </c>
      <c r="H124" s="980"/>
      <c r="I124" s="980"/>
      <c r="J124" s="980">
        <f>5511811+1488189</f>
        <v>7000000</v>
      </c>
      <c r="K124" s="980"/>
      <c r="L124" s="980"/>
      <c r="M124" s="980"/>
      <c r="N124" s="980"/>
      <c r="O124" s="980"/>
      <c r="P124" s="981"/>
      <c r="Q124" s="1449"/>
      <c r="R124" s="980"/>
      <c r="S124" s="980"/>
      <c r="T124" s="980"/>
      <c r="U124" s="980"/>
      <c r="V124" s="980"/>
      <c r="W124" s="980"/>
      <c r="X124" s="981"/>
    </row>
    <row r="125" spans="1:24" ht="42" customHeight="1" x14ac:dyDescent="0.25">
      <c r="A125" s="1493" t="s">
        <v>285</v>
      </c>
      <c r="B125" s="1586" t="s">
        <v>290</v>
      </c>
      <c r="C125" s="1491" t="s">
        <v>3336</v>
      </c>
      <c r="D125" s="978" t="s">
        <v>1821</v>
      </c>
      <c r="E125" s="1000" t="s">
        <v>162</v>
      </c>
      <c r="F125" s="1000" t="s">
        <v>151</v>
      </c>
      <c r="G125" s="1000" t="s">
        <v>1766</v>
      </c>
      <c r="H125" s="980"/>
      <c r="I125" s="980"/>
      <c r="J125" s="980">
        <f>-190213-7126+197339</f>
        <v>0</v>
      </c>
      <c r="K125" s="980"/>
      <c r="L125" s="980"/>
      <c r="M125" s="980"/>
      <c r="N125" s="980"/>
      <c r="O125" s="980"/>
      <c r="P125" s="981"/>
      <c r="Q125" s="1449"/>
      <c r="R125" s="980"/>
      <c r="S125" s="980"/>
      <c r="T125" s="980"/>
      <c r="U125" s="980"/>
      <c r="V125" s="980"/>
      <c r="W125" s="980"/>
      <c r="X125" s="981"/>
    </row>
    <row r="126" spans="1:24" ht="22.5" customHeight="1" x14ac:dyDescent="0.25">
      <c r="A126" s="2047" t="s">
        <v>286</v>
      </c>
      <c r="B126" s="2072" t="s">
        <v>291</v>
      </c>
      <c r="C126" s="2043" t="s">
        <v>3374</v>
      </c>
      <c r="D126" s="978" t="s">
        <v>1821</v>
      </c>
      <c r="E126" s="1000" t="s">
        <v>162</v>
      </c>
      <c r="F126" s="1000" t="s">
        <v>90</v>
      </c>
      <c r="G126" s="1000" t="s">
        <v>1766</v>
      </c>
      <c r="H126" s="980">
        <f>-1118064+143000</f>
        <v>-975064</v>
      </c>
      <c r="I126" s="980">
        <v>-120487</v>
      </c>
      <c r="J126" s="980"/>
      <c r="K126" s="980"/>
      <c r="L126" s="980"/>
      <c r="M126" s="980"/>
      <c r="N126" s="980"/>
      <c r="O126" s="980"/>
      <c r="P126" s="981"/>
      <c r="Q126" s="1449"/>
      <c r="R126" s="980"/>
      <c r="S126" s="980"/>
      <c r="T126" s="980"/>
      <c r="U126" s="980"/>
      <c r="V126" s="980"/>
      <c r="W126" s="980"/>
      <c r="X126" s="981"/>
    </row>
    <row r="127" spans="1:24" ht="22.5" customHeight="1" x14ac:dyDescent="0.25">
      <c r="A127" s="2048"/>
      <c r="B127" s="2073"/>
      <c r="C127" s="2044"/>
      <c r="D127" s="978" t="s">
        <v>1821</v>
      </c>
      <c r="E127" s="1000" t="s">
        <v>790</v>
      </c>
      <c r="F127" s="1000" t="s">
        <v>131</v>
      </c>
      <c r="G127" s="1000" t="s">
        <v>1754</v>
      </c>
      <c r="H127" s="980">
        <f>926825+23239+25000</f>
        <v>975064</v>
      </c>
      <c r="I127" s="980">
        <v>120487</v>
      </c>
      <c r="J127" s="980"/>
      <c r="K127" s="980"/>
      <c r="L127" s="980"/>
      <c r="M127" s="980"/>
      <c r="N127" s="980"/>
      <c r="O127" s="980"/>
      <c r="P127" s="981"/>
      <c r="Q127" s="1449"/>
      <c r="R127" s="980"/>
      <c r="S127" s="980"/>
      <c r="T127" s="980"/>
      <c r="U127" s="980"/>
      <c r="V127" s="980"/>
      <c r="W127" s="980"/>
      <c r="X127" s="981"/>
    </row>
    <row r="128" spans="1:24" ht="21" customHeight="1" x14ac:dyDescent="0.25">
      <c r="A128" s="2047" t="s">
        <v>287</v>
      </c>
      <c r="B128" s="2063" t="s">
        <v>3417</v>
      </c>
      <c r="C128" s="2043" t="s">
        <v>3418</v>
      </c>
      <c r="D128" s="978" t="s">
        <v>1821</v>
      </c>
      <c r="E128" s="1000" t="s">
        <v>162</v>
      </c>
      <c r="F128" s="1000" t="s">
        <v>90</v>
      </c>
      <c r="G128" s="1000" t="s">
        <v>1766</v>
      </c>
      <c r="H128" s="980"/>
      <c r="I128" s="980"/>
      <c r="J128" s="980">
        <f>-327370-67133</f>
        <v>-394503</v>
      </c>
      <c r="K128" s="980"/>
      <c r="L128" s="980"/>
      <c r="M128" s="980">
        <f>292370+67133</f>
        <v>359503</v>
      </c>
      <c r="N128" s="980"/>
      <c r="O128" s="980"/>
      <c r="P128" s="981"/>
      <c r="Q128" s="1449"/>
      <c r="R128" s="980"/>
      <c r="S128" s="980"/>
      <c r="T128" s="980"/>
      <c r="U128" s="980"/>
      <c r="V128" s="980"/>
      <c r="W128" s="980"/>
      <c r="X128" s="981"/>
    </row>
    <row r="129" spans="1:24" ht="21" customHeight="1" x14ac:dyDescent="0.25">
      <c r="A129" s="2048"/>
      <c r="B129" s="2065"/>
      <c r="C129" s="2044"/>
      <c r="D129" s="978" t="s">
        <v>1821</v>
      </c>
      <c r="E129" s="1000" t="s">
        <v>790</v>
      </c>
      <c r="F129" s="1000" t="s">
        <v>131</v>
      </c>
      <c r="G129" s="1000" t="s">
        <v>1766</v>
      </c>
      <c r="H129" s="980"/>
      <c r="I129" s="980"/>
      <c r="J129" s="980">
        <f>-500000-100000-162000</f>
        <v>-762000</v>
      </c>
      <c r="K129" s="980"/>
      <c r="L129" s="980"/>
      <c r="M129" s="980">
        <f>627559+169441</f>
        <v>797000</v>
      </c>
      <c r="N129" s="980"/>
      <c r="O129" s="980"/>
      <c r="P129" s="981"/>
      <c r="Q129" s="1449"/>
      <c r="R129" s="980"/>
      <c r="S129" s="980"/>
      <c r="T129" s="980"/>
      <c r="U129" s="980"/>
      <c r="V129" s="980"/>
      <c r="W129" s="980"/>
      <c r="X129" s="981"/>
    </row>
    <row r="130" spans="1:24" ht="29.25" customHeight="1" x14ac:dyDescent="0.25">
      <c r="A130" s="1493" t="s">
        <v>288</v>
      </c>
      <c r="B130" s="1586" t="s">
        <v>196</v>
      </c>
      <c r="C130" s="1491" t="s">
        <v>3428</v>
      </c>
      <c r="D130" s="978" t="s">
        <v>1821</v>
      </c>
      <c r="E130" s="1000" t="s">
        <v>162</v>
      </c>
      <c r="F130" s="1000" t="s">
        <v>90</v>
      </c>
      <c r="G130" s="1000" t="s">
        <v>1766</v>
      </c>
      <c r="H130" s="980"/>
      <c r="I130" s="980"/>
      <c r="J130" s="980">
        <f>-200000-54000</f>
        <v>-254000</v>
      </c>
      <c r="K130" s="980"/>
      <c r="L130" s="980"/>
      <c r="M130" s="980">
        <f>200000+54000</f>
        <v>254000</v>
      </c>
      <c r="N130" s="980"/>
      <c r="O130" s="980"/>
      <c r="P130" s="981"/>
      <c r="Q130" s="1449"/>
      <c r="R130" s="980"/>
      <c r="S130" s="980"/>
      <c r="T130" s="980"/>
      <c r="U130" s="980"/>
      <c r="V130" s="980"/>
      <c r="W130" s="980"/>
      <c r="X130" s="981"/>
    </row>
    <row r="131" spans="1:24" ht="28.5" customHeight="1" x14ac:dyDescent="0.25">
      <c r="A131" s="1493" t="s">
        <v>289</v>
      </c>
      <c r="B131" s="1492" t="s">
        <v>197</v>
      </c>
      <c r="C131" s="1491" t="s">
        <v>3453</v>
      </c>
      <c r="D131" s="978" t="s">
        <v>1821</v>
      </c>
      <c r="E131" s="1000" t="s">
        <v>162</v>
      </c>
      <c r="F131" s="1000" t="s">
        <v>150</v>
      </c>
      <c r="G131" s="1000" t="s">
        <v>1766</v>
      </c>
      <c r="H131" s="980"/>
      <c r="I131" s="980"/>
      <c r="J131" s="980">
        <f>-100000+100000</f>
        <v>0</v>
      </c>
      <c r="K131" s="980"/>
      <c r="L131" s="980"/>
      <c r="M131" s="980"/>
      <c r="N131" s="980"/>
      <c r="O131" s="980"/>
      <c r="P131" s="981"/>
      <c r="Q131" s="1449"/>
      <c r="R131" s="980"/>
      <c r="S131" s="980"/>
      <c r="T131" s="980"/>
      <c r="U131" s="980"/>
      <c r="V131" s="980"/>
      <c r="W131" s="980"/>
      <c r="X131" s="981"/>
    </row>
    <row r="132" spans="1:24" ht="30.75" customHeight="1" x14ac:dyDescent="0.25">
      <c r="A132" s="1493" t="s">
        <v>290</v>
      </c>
      <c r="B132" s="1492" t="s">
        <v>198</v>
      </c>
      <c r="C132" s="1491" t="s">
        <v>3485</v>
      </c>
      <c r="D132" s="978" t="s">
        <v>1821</v>
      </c>
      <c r="E132" s="1000" t="s">
        <v>162</v>
      </c>
      <c r="F132" s="1000" t="s">
        <v>151</v>
      </c>
      <c r="G132" s="1000" t="s">
        <v>1766</v>
      </c>
      <c r="H132" s="980"/>
      <c r="I132" s="980"/>
      <c r="J132" s="980">
        <f>-6921+6921</f>
        <v>0</v>
      </c>
      <c r="K132" s="980"/>
      <c r="L132" s="980"/>
      <c r="M132" s="980"/>
      <c r="N132" s="980"/>
      <c r="O132" s="980"/>
      <c r="P132" s="981"/>
      <c r="Q132" s="1449"/>
      <c r="R132" s="980"/>
      <c r="S132" s="980"/>
      <c r="T132" s="980"/>
      <c r="U132" s="980"/>
      <c r="V132" s="980"/>
      <c r="W132" s="980"/>
      <c r="X132" s="981"/>
    </row>
    <row r="133" spans="1:24" ht="34.5" customHeight="1" x14ac:dyDescent="0.25">
      <c r="A133" s="1493" t="s">
        <v>291</v>
      </c>
      <c r="B133" s="1497" t="s">
        <v>3529</v>
      </c>
      <c r="C133" s="1491" t="s">
        <v>3530</v>
      </c>
      <c r="D133" s="978" t="s">
        <v>1821</v>
      </c>
      <c r="E133" s="1000" t="s">
        <v>162</v>
      </c>
      <c r="F133" s="1000" t="s">
        <v>90</v>
      </c>
      <c r="G133" s="1000" t="s">
        <v>1766</v>
      </c>
      <c r="H133" s="980"/>
      <c r="I133" s="980"/>
      <c r="J133" s="980">
        <f>-300000+300000</f>
        <v>0</v>
      </c>
      <c r="K133" s="980"/>
      <c r="L133" s="980"/>
      <c r="M133" s="980"/>
      <c r="N133" s="980"/>
      <c r="O133" s="980"/>
      <c r="P133" s="981"/>
      <c r="Q133" s="1449"/>
      <c r="R133" s="980"/>
      <c r="S133" s="980"/>
      <c r="T133" s="980"/>
      <c r="U133" s="980"/>
      <c r="V133" s="980"/>
      <c r="W133" s="980"/>
      <c r="X133" s="981"/>
    </row>
    <row r="134" spans="1:24" ht="33" customHeight="1" x14ac:dyDescent="0.25">
      <c r="A134" s="1493" t="s">
        <v>292</v>
      </c>
      <c r="B134" s="1497" t="s">
        <v>201</v>
      </c>
      <c r="C134" s="1491" t="s">
        <v>3537</v>
      </c>
      <c r="D134" s="978" t="s">
        <v>1821</v>
      </c>
      <c r="E134" s="1000" t="s">
        <v>162</v>
      </c>
      <c r="F134" s="1000" t="s">
        <v>90</v>
      </c>
      <c r="G134" s="1000" t="s">
        <v>1766</v>
      </c>
      <c r="H134" s="980"/>
      <c r="I134" s="980"/>
      <c r="J134" s="980">
        <v>28441</v>
      </c>
      <c r="K134" s="980"/>
      <c r="L134" s="980"/>
      <c r="M134" s="980"/>
      <c r="N134" s="980"/>
      <c r="O134" s="980"/>
      <c r="P134" s="981"/>
      <c r="Q134" s="1449"/>
      <c r="R134" s="980"/>
      <c r="S134" s="980"/>
      <c r="T134" s="980">
        <f>-11+66452-38000</f>
        <v>28441</v>
      </c>
      <c r="U134" s="980"/>
      <c r="V134" s="980"/>
      <c r="W134" s="980"/>
      <c r="X134" s="981"/>
    </row>
    <row r="135" spans="1:24" ht="15" customHeight="1" x14ac:dyDescent="0.25">
      <c r="A135" s="1432"/>
      <c r="B135" s="1431"/>
      <c r="C135" s="1425"/>
      <c r="D135" s="978"/>
      <c r="E135" s="1000"/>
      <c r="F135" s="1000"/>
      <c r="G135" s="1000"/>
      <c r="H135" s="980"/>
      <c r="I135" s="980"/>
      <c r="J135" s="980"/>
      <c r="K135" s="980"/>
      <c r="L135" s="980"/>
      <c r="M135" s="980"/>
      <c r="N135" s="980"/>
      <c r="O135" s="980"/>
      <c r="P135" s="981"/>
      <c r="Q135" s="1449"/>
      <c r="R135" s="980"/>
      <c r="S135" s="980"/>
      <c r="T135" s="980"/>
      <c r="U135" s="980"/>
      <c r="V135" s="980"/>
      <c r="W135" s="980"/>
      <c r="X135" s="981"/>
    </row>
    <row r="136" spans="1:24" ht="18.75" x14ac:dyDescent="0.3">
      <c r="A136" s="2021" t="s">
        <v>1663</v>
      </c>
      <c r="B136" s="2022"/>
      <c r="C136" s="2022"/>
      <c r="D136" s="956"/>
      <c r="E136" s="956"/>
      <c r="F136" s="956"/>
      <c r="G136" s="956"/>
      <c r="H136" s="1252">
        <f t="shared" ref="H136:X136" si="3">SUM(H113:H135)+H93</f>
        <v>5351850</v>
      </c>
      <c r="I136" s="1252">
        <f t="shared" si="3"/>
        <v>672750</v>
      </c>
      <c r="J136" s="1252">
        <f t="shared" si="3"/>
        <v>13598688</v>
      </c>
      <c r="K136" s="1252">
        <f t="shared" si="3"/>
        <v>0</v>
      </c>
      <c r="L136" s="1252">
        <f t="shared" si="3"/>
        <v>11118964</v>
      </c>
      <c r="M136" s="1252">
        <f t="shared" si="3"/>
        <v>5601804</v>
      </c>
      <c r="N136" s="1252">
        <f t="shared" si="3"/>
        <v>0</v>
      </c>
      <c r="O136" s="1252">
        <f t="shared" si="3"/>
        <v>0</v>
      </c>
      <c r="P136" s="1059">
        <f t="shared" si="3"/>
        <v>0</v>
      </c>
      <c r="Q136" s="1453">
        <f t="shared" si="3"/>
        <v>350000</v>
      </c>
      <c r="R136" s="1252">
        <f t="shared" si="3"/>
        <v>0</v>
      </c>
      <c r="S136" s="1252">
        <f t="shared" si="3"/>
        <v>0</v>
      </c>
      <c r="T136" s="1252">
        <f t="shared" si="3"/>
        <v>228441</v>
      </c>
      <c r="U136" s="1252">
        <f t="shared" si="3"/>
        <v>0</v>
      </c>
      <c r="V136" s="1252">
        <f t="shared" si="3"/>
        <v>0</v>
      </c>
      <c r="W136" s="1252">
        <f t="shared" si="3"/>
        <v>0</v>
      </c>
      <c r="X136" s="1059">
        <f t="shared" si="3"/>
        <v>35765615</v>
      </c>
    </row>
    <row r="137" spans="1:24" ht="19.5" customHeight="1" x14ac:dyDescent="0.25">
      <c r="H137" s="1018">
        <f>'2.2. sz. Hétszínvirág Óvoda'!U9-'2.2. sz. Hétszínvirág Óvoda'!T9</f>
        <v>5351850</v>
      </c>
      <c r="I137" s="1018">
        <f>'2.2. sz. Hétszínvirág Óvoda'!U10-'2.2. sz. Hétszínvirág Óvoda'!T10</f>
        <v>672750</v>
      </c>
      <c r="J137" s="1018">
        <f>'2.2. sz. Hétszínvirág Óvoda'!U11-'2.2. sz. Hétszínvirág Óvoda'!T11</f>
        <v>13598688</v>
      </c>
      <c r="K137" s="1018">
        <f>'2.2. sz. Hétszínvirág Óvoda'!U12-'2.2. sz. Hétszínvirág Óvoda'!T12</f>
        <v>0</v>
      </c>
      <c r="L137" s="1018">
        <f>'2.2. sz. Hétszínvirág Óvoda'!U13-'2.2. sz. Hétszínvirág Óvoda'!T13</f>
        <v>11118964</v>
      </c>
      <c r="M137" s="1018">
        <f>'2.2. sz. Hétszínvirág Óvoda'!U17-'2.2. sz. Hétszínvirág Óvoda'!T17</f>
        <v>5601804</v>
      </c>
      <c r="N137" s="1018">
        <f>'2.2. sz. Hétszínvirág Óvoda'!U18-'2.2. sz. Hétszínvirág Óvoda'!T18</f>
        <v>0</v>
      </c>
      <c r="O137" s="1018">
        <f>'2.2. sz. Hétszínvirág Óvoda'!U19-'2.2. sz. Hétszínvirág Óvoda'!T19</f>
        <v>0</v>
      </c>
      <c r="P137" s="1018">
        <f>'2.2. sz. Hétszínvirág Óvoda'!U22-'2.2. sz. Hétszínvirág Óvoda'!T22</f>
        <v>0</v>
      </c>
      <c r="Q137" s="1018">
        <f>'2.2. sz. Hétszínvirág Óvoda'!U31-'2.2. sz. Hétszínvirág Óvoda'!T31</f>
        <v>350000</v>
      </c>
      <c r="R137" s="1018">
        <f>'2.2. sz. Hétszínvirág Óvoda'!U32-'2.2. sz. Hétszínvirág Óvoda'!T32</f>
        <v>0</v>
      </c>
      <c r="S137" s="1018">
        <f>'2.2. sz. Hétszínvirág Óvoda'!U33-'2.2. sz. Hétszínvirág Óvoda'!T33</f>
        <v>0</v>
      </c>
      <c r="T137" s="1018">
        <f>'2.2. sz. Hétszínvirág Óvoda'!U34-'2.2. sz. Hétszínvirág Óvoda'!T34</f>
        <v>228441</v>
      </c>
      <c r="U137" s="1018">
        <f>'2.2. sz. Hétszínvirág Óvoda'!U35-'2.2. sz. Hétszínvirág Óvoda'!T35</f>
        <v>0</v>
      </c>
      <c r="V137" s="1018">
        <f>'2.2. sz. Hétszínvirág Óvoda'!U36-'2.2. sz. Hétszínvirág Óvoda'!T36</f>
        <v>0</v>
      </c>
      <c r="W137" s="1018">
        <f>'2.2. sz. Hétszínvirág Óvoda'!U37-'2.2. sz. Hétszínvirág Óvoda'!T37</f>
        <v>0</v>
      </c>
      <c r="X137" s="1018">
        <f>'2.2. sz. Hétszínvirág Óvoda'!U39-'2.2. sz. Hétszínvirág Óvoda'!T39</f>
        <v>35765615</v>
      </c>
    </row>
    <row r="138" spans="1:24" ht="18" customHeight="1" x14ac:dyDescent="0.25">
      <c r="H138" s="966">
        <f>+H137-H136</f>
        <v>0</v>
      </c>
      <c r="I138" s="966">
        <f>+I137-I136</f>
        <v>0</v>
      </c>
      <c r="J138" s="966">
        <f>+J137-J136</f>
        <v>0</v>
      </c>
      <c r="K138" s="966">
        <f>+K137-K136</f>
        <v>0</v>
      </c>
      <c r="L138" s="966">
        <f>+L137-L136</f>
        <v>0</v>
      </c>
      <c r="M138" s="966">
        <f t="shared" ref="M138:X138" si="4">+M137-M136</f>
        <v>0</v>
      </c>
      <c r="N138" s="966">
        <f t="shared" si="4"/>
        <v>0</v>
      </c>
      <c r="O138" s="966">
        <f t="shared" si="4"/>
        <v>0</v>
      </c>
      <c r="P138" s="966">
        <f t="shared" si="4"/>
        <v>0</v>
      </c>
      <c r="Q138" s="966">
        <f t="shared" si="4"/>
        <v>0</v>
      </c>
      <c r="R138" s="966">
        <f t="shared" si="4"/>
        <v>0</v>
      </c>
      <c r="S138" s="966">
        <f t="shared" si="4"/>
        <v>0</v>
      </c>
      <c r="T138" s="966">
        <f t="shared" si="4"/>
        <v>0</v>
      </c>
      <c r="U138" s="966">
        <f t="shared" si="4"/>
        <v>0</v>
      </c>
      <c r="V138" s="966">
        <f t="shared" si="4"/>
        <v>0</v>
      </c>
      <c r="W138" s="966">
        <f t="shared" si="4"/>
        <v>0</v>
      </c>
      <c r="X138" s="966">
        <f t="shared" si="4"/>
        <v>0</v>
      </c>
    </row>
    <row r="139" spans="1:24" ht="15" customHeight="1" x14ac:dyDescent="0.25">
      <c r="Q139" s="968"/>
    </row>
    <row r="140" spans="1:24" x14ac:dyDescent="0.25">
      <c r="Q140" s="968"/>
    </row>
    <row r="141" spans="1:24" ht="23.25" customHeight="1" x14ac:dyDescent="0.25">
      <c r="I141" s="2042" t="s">
        <v>1664</v>
      </c>
      <c r="J141" s="2042"/>
      <c r="K141" s="2042"/>
      <c r="L141" s="2042">
        <v>342564947</v>
      </c>
      <c r="M141" s="2042"/>
      <c r="N141" s="996"/>
      <c r="O141" s="996"/>
      <c r="P141" s="996"/>
      <c r="Q141" s="996"/>
      <c r="R141" s="2042" t="s">
        <v>1665</v>
      </c>
      <c r="S141" s="2042"/>
      <c r="T141" s="2042"/>
      <c r="U141" s="2042">
        <v>342564947</v>
      </c>
      <c r="V141" s="2042"/>
    </row>
    <row r="142" spans="1:24" ht="21" customHeight="1" x14ac:dyDescent="0.25">
      <c r="I142" s="2042" t="s">
        <v>1666</v>
      </c>
      <c r="J142" s="2042"/>
      <c r="K142" s="2042"/>
      <c r="L142" s="2042">
        <f>SUM(H136:P136)</f>
        <v>36344056</v>
      </c>
      <c r="M142" s="2042"/>
      <c r="N142" s="996"/>
      <c r="O142" s="996"/>
      <c r="P142" s="996"/>
      <c r="Q142" s="996"/>
      <c r="R142" s="2042" t="s">
        <v>1666</v>
      </c>
      <c r="S142" s="2042"/>
      <c r="T142" s="2042"/>
      <c r="U142" s="2042">
        <f>SUM(Q136:X136)</f>
        <v>36344056</v>
      </c>
      <c r="V142" s="2042"/>
    </row>
    <row r="143" spans="1:24" ht="21.75" customHeight="1" x14ac:dyDescent="0.25">
      <c r="I143" s="2042" t="s">
        <v>1512</v>
      </c>
      <c r="J143" s="2042"/>
      <c r="K143" s="2042"/>
      <c r="L143" s="2042">
        <f>+L141+L142</f>
        <v>378909003</v>
      </c>
      <c r="M143" s="2042"/>
      <c r="N143" s="996"/>
      <c r="O143" s="996"/>
      <c r="P143" s="996"/>
      <c r="Q143" s="996"/>
      <c r="R143" s="2042" t="s">
        <v>1512</v>
      </c>
      <c r="S143" s="2042"/>
      <c r="T143" s="2042"/>
      <c r="U143" s="2042">
        <f>+U141+U142</f>
        <v>378909003</v>
      </c>
      <c r="V143" s="2042"/>
    </row>
    <row r="144" spans="1:24" x14ac:dyDescent="0.25">
      <c r="Q144" s="968"/>
    </row>
    <row r="145" spans="17:17" x14ac:dyDescent="0.25">
      <c r="Q145" s="968"/>
    </row>
    <row r="146" spans="17:17" x14ac:dyDescent="0.25">
      <c r="Q146" s="968"/>
    </row>
    <row r="147" spans="17:17" x14ac:dyDescent="0.25">
      <c r="Q147" s="968"/>
    </row>
  </sheetData>
  <mergeCells count="165">
    <mergeCell ref="U98:V98"/>
    <mergeCell ref="A14:A15"/>
    <mergeCell ref="C12:C13"/>
    <mergeCell ref="B12:B13"/>
    <mergeCell ref="A12:A13"/>
    <mergeCell ref="G78:G79"/>
    <mergeCell ref="H78:O78"/>
    <mergeCell ref="Q78:X78"/>
    <mergeCell ref="A78:A79"/>
    <mergeCell ref="B78:B79"/>
    <mergeCell ref="C78:C79"/>
    <mergeCell ref="A73:X73"/>
    <mergeCell ref="A76:X76"/>
    <mergeCell ref="D78:D79"/>
    <mergeCell ref="E78:E79"/>
    <mergeCell ref="F78:F79"/>
    <mergeCell ref="C48:C49"/>
    <mergeCell ref="I32:K32"/>
    <mergeCell ref="L32:M32"/>
    <mergeCell ref="R32:T32"/>
    <mergeCell ref="U32:V32"/>
    <mergeCell ref="I31:K31"/>
    <mergeCell ref="L31:M31"/>
    <mergeCell ref="A36:X36"/>
    <mergeCell ref="A39:X39"/>
    <mergeCell ref="A1:X1"/>
    <mergeCell ref="A3:X3"/>
    <mergeCell ref="A5:A6"/>
    <mergeCell ref="B5:B6"/>
    <mergeCell ref="C5:C6"/>
    <mergeCell ref="D5:D6"/>
    <mergeCell ref="E5:E6"/>
    <mergeCell ref="F5:F6"/>
    <mergeCell ref="G5:G6"/>
    <mergeCell ref="H5:O5"/>
    <mergeCell ref="Q5:X5"/>
    <mergeCell ref="C7:C9"/>
    <mergeCell ref="B7:B9"/>
    <mergeCell ref="A7:A9"/>
    <mergeCell ref="R31:T31"/>
    <mergeCell ref="U31:V31"/>
    <mergeCell ref="A26:C26"/>
    <mergeCell ref="I30:K30"/>
    <mergeCell ref="L30:M30"/>
    <mergeCell ref="C16:C17"/>
    <mergeCell ref="B16:B17"/>
    <mergeCell ref="A16:A17"/>
    <mergeCell ref="C18:C19"/>
    <mergeCell ref="B18:B19"/>
    <mergeCell ref="A18:A19"/>
    <mergeCell ref="C20:C21"/>
    <mergeCell ref="B20:B21"/>
    <mergeCell ref="C10:C11"/>
    <mergeCell ref="B10:B11"/>
    <mergeCell ref="A10:A11"/>
    <mergeCell ref="R30:T30"/>
    <mergeCell ref="U30:V30"/>
    <mergeCell ref="A20:A21"/>
    <mergeCell ref="C14:C15"/>
    <mergeCell ref="B14:B15"/>
    <mergeCell ref="U66:V66"/>
    <mergeCell ref="C50:C51"/>
    <mergeCell ref="B50:B51"/>
    <mergeCell ref="A50:A51"/>
    <mergeCell ref="D41:D42"/>
    <mergeCell ref="E41:E42"/>
    <mergeCell ref="F41:F42"/>
    <mergeCell ref="G41:G42"/>
    <mergeCell ref="H41:O41"/>
    <mergeCell ref="Q41:X41"/>
    <mergeCell ref="A41:A42"/>
    <mergeCell ref="B41:B42"/>
    <mergeCell ref="C41:C42"/>
    <mergeCell ref="I66:K66"/>
    <mergeCell ref="L66:M66"/>
    <mergeCell ref="C55:C56"/>
    <mergeCell ref="B55:B56"/>
    <mergeCell ref="A55:A56"/>
    <mergeCell ref="C58:C59"/>
    <mergeCell ref="B58:B59"/>
    <mergeCell ref="R66:T66"/>
    <mergeCell ref="C43:C44"/>
    <mergeCell ref="B43:B44"/>
    <mergeCell ref="A43:A44"/>
    <mergeCell ref="A106:X106"/>
    <mergeCell ref="A109:X109"/>
    <mergeCell ref="A111:A112"/>
    <mergeCell ref="B111:B112"/>
    <mergeCell ref="C111:C112"/>
    <mergeCell ref="R67:T67"/>
    <mergeCell ref="U67:V67"/>
    <mergeCell ref="I68:K68"/>
    <mergeCell ref="L68:M68"/>
    <mergeCell ref="R68:T68"/>
    <mergeCell ref="U68:V68"/>
    <mergeCell ref="I67:K67"/>
    <mergeCell ref="L67:M67"/>
    <mergeCell ref="I99:K99"/>
    <mergeCell ref="L99:M99"/>
    <mergeCell ref="R99:T99"/>
    <mergeCell ref="U99:V99"/>
    <mergeCell ref="I100:K100"/>
    <mergeCell ref="L100:M100"/>
    <mergeCell ref="R100:T100"/>
    <mergeCell ref="U100:V100"/>
    <mergeCell ref="A93:C93"/>
    <mergeCell ref="R98:T98"/>
    <mergeCell ref="I98:K98"/>
    <mergeCell ref="L98:M98"/>
    <mergeCell ref="C82:C83"/>
    <mergeCell ref="B82:B83"/>
    <mergeCell ref="A82:A83"/>
    <mergeCell ref="C86:C87"/>
    <mergeCell ref="B86:B87"/>
    <mergeCell ref="A86:A87"/>
    <mergeCell ref="C88:C89"/>
    <mergeCell ref="B88:B89"/>
    <mergeCell ref="A88:A89"/>
    <mergeCell ref="C45:C47"/>
    <mergeCell ref="B45:B47"/>
    <mergeCell ref="A45:A47"/>
    <mergeCell ref="C80:C81"/>
    <mergeCell ref="B80:B81"/>
    <mergeCell ref="A80:A81"/>
    <mergeCell ref="B48:B49"/>
    <mergeCell ref="A48:A49"/>
    <mergeCell ref="A61:C61"/>
    <mergeCell ref="A58:A59"/>
    <mergeCell ref="C128:C129"/>
    <mergeCell ref="B128:B129"/>
    <mergeCell ref="A128:A129"/>
    <mergeCell ref="D111:D112"/>
    <mergeCell ref="E111:E112"/>
    <mergeCell ref="F111:F112"/>
    <mergeCell ref="G111:G112"/>
    <mergeCell ref="H111:O111"/>
    <mergeCell ref="Q111:X111"/>
    <mergeCell ref="C113:C114"/>
    <mergeCell ref="B113:B114"/>
    <mergeCell ref="A113:A114"/>
    <mergeCell ref="C118:C119"/>
    <mergeCell ref="B118:B119"/>
    <mergeCell ref="A118:A119"/>
    <mergeCell ref="C120:C121"/>
    <mergeCell ref="B120:B121"/>
    <mergeCell ref="A120:A121"/>
    <mergeCell ref="C123:C124"/>
    <mergeCell ref="B123:B124"/>
    <mergeCell ref="A123:A124"/>
    <mergeCell ref="C126:C127"/>
    <mergeCell ref="B126:B127"/>
    <mergeCell ref="A126:A127"/>
    <mergeCell ref="I142:K142"/>
    <mergeCell ref="L142:M142"/>
    <mergeCell ref="R142:T142"/>
    <mergeCell ref="U142:V142"/>
    <mergeCell ref="I143:K143"/>
    <mergeCell ref="L143:M143"/>
    <mergeCell ref="R143:T143"/>
    <mergeCell ref="U143:V143"/>
    <mergeCell ref="A136:C136"/>
    <mergeCell ref="I141:K141"/>
    <mergeCell ref="L141:M141"/>
    <mergeCell ref="R141:T141"/>
    <mergeCell ref="U141:V141"/>
  </mergeCells>
  <printOptions horizontalCentered="1" verticalCentered="1"/>
  <pageMargins left="0.11811023622047245" right="0.11811023622047245" top="0.35433070866141736" bottom="0.35433070866141736" header="0.31496062992125984" footer="0.31496062992125984"/>
  <pageSetup paperSize="9" scale="49" orientation="landscape" r:id="rId1"/>
  <headerFooter>
    <oddHeader>&amp;R&amp;A</oddHeader>
    <oddFooter>&amp;C&amp;P/&amp;N</oddFooter>
  </headerFooter>
  <rowBreaks count="4" manualBreakCount="4">
    <brk id="32" max="23" man="1"/>
    <brk id="68" max="23" man="1"/>
    <brk id="100" max="23" man="1"/>
    <brk id="129"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45"/>
  <sheetViews>
    <sheetView view="pageBreakPreview" topLeftCell="A116" zoomScale="90" zoomScaleSheetLayoutView="90" workbookViewId="0">
      <selection activeCell="G135" sqref="G135"/>
    </sheetView>
  </sheetViews>
  <sheetFormatPr defaultRowHeight="15" x14ac:dyDescent="0.25"/>
  <cols>
    <col min="1" max="1" width="5.28515625" style="968" customWidth="1"/>
    <col min="2" max="2" width="5.140625" style="968" customWidth="1"/>
    <col min="3" max="3" width="39.5703125" style="968" customWidth="1"/>
    <col min="4" max="4" width="7.42578125" style="968" customWidth="1"/>
    <col min="5" max="5" width="7.5703125" style="968" customWidth="1"/>
    <col min="6" max="6" width="5.42578125" style="968" customWidth="1"/>
    <col min="7" max="7" width="6" style="968" customWidth="1"/>
    <col min="8" max="8" width="14.28515625" style="968" customWidth="1"/>
    <col min="9" max="9" width="14" style="968" customWidth="1"/>
    <col min="10" max="10" width="13.28515625" style="968" customWidth="1"/>
    <col min="11" max="11" width="11.140625" style="968" customWidth="1"/>
    <col min="12" max="12" width="13.42578125" style="968" customWidth="1"/>
    <col min="13" max="13" width="11.7109375" style="968" customWidth="1"/>
    <col min="14" max="14" width="11.140625" style="968" customWidth="1"/>
    <col min="15" max="15" width="11.7109375" style="968" customWidth="1"/>
    <col min="16" max="16" width="11.42578125" style="968" customWidth="1"/>
    <col min="17" max="17" width="14" style="997" customWidth="1"/>
    <col min="18" max="18" width="13.7109375" style="968" customWidth="1"/>
    <col min="19" max="19" width="12" style="968" customWidth="1"/>
    <col min="20" max="20" width="12.28515625" style="968" customWidth="1"/>
    <col min="21" max="21" width="12.7109375" style="968" customWidth="1"/>
    <col min="22" max="23" width="11.85546875" style="968" customWidth="1"/>
    <col min="24" max="24" width="12.140625" style="968" customWidth="1"/>
    <col min="25" max="256" width="9.140625" style="968"/>
    <col min="257" max="258" width="5.28515625" style="968" customWidth="1"/>
    <col min="259" max="259" width="39.5703125" style="968" customWidth="1"/>
    <col min="260" max="260" width="7.42578125" style="968" customWidth="1"/>
    <col min="261" max="261" width="7.5703125" style="968" customWidth="1"/>
    <col min="262" max="262" width="5.42578125" style="968" customWidth="1"/>
    <col min="263" max="263" width="6" style="968" customWidth="1"/>
    <col min="264" max="264" width="13.5703125" style="968" customWidth="1"/>
    <col min="265" max="265" width="14.5703125" style="968" customWidth="1"/>
    <col min="266" max="266" width="13.28515625" style="968" customWidth="1"/>
    <col min="267" max="267" width="11.140625" style="968" customWidth="1"/>
    <col min="268" max="268" width="13.42578125" style="968" customWidth="1"/>
    <col min="269" max="269" width="12.28515625" style="968" customWidth="1"/>
    <col min="270" max="270" width="11.28515625" style="968" customWidth="1"/>
    <col min="271" max="271" width="11.7109375" style="968" customWidth="1"/>
    <col min="272" max="272" width="11.5703125" style="968" customWidth="1"/>
    <col min="273" max="273" width="14.5703125" style="968" customWidth="1"/>
    <col min="274" max="274" width="13.7109375" style="968" customWidth="1"/>
    <col min="275" max="275" width="12.140625" style="968" customWidth="1"/>
    <col min="276" max="277" width="13.28515625" style="968" customWidth="1"/>
    <col min="278" max="278" width="12.42578125" style="968" customWidth="1"/>
    <col min="279" max="279" width="13.85546875" style="968" customWidth="1"/>
    <col min="280" max="280" width="13" style="968" customWidth="1"/>
    <col min="281" max="512" width="9.140625" style="968"/>
    <col min="513" max="514" width="5.28515625" style="968" customWidth="1"/>
    <col min="515" max="515" width="39.5703125" style="968" customWidth="1"/>
    <col min="516" max="516" width="7.42578125" style="968" customWidth="1"/>
    <col min="517" max="517" width="7.5703125" style="968" customWidth="1"/>
    <col min="518" max="518" width="5.42578125" style="968" customWidth="1"/>
    <col min="519" max="519" width="6" style="968" customWidth="1"/>
    <col min="520" max="520" width="13.5703125" style="968" customWidth="1"/>
    <col min="521" max="521" width="14.5703125" style="968" customWidth="1"/>
    <col min="522" max="522" width="13.28515625" style="968" customWidth="1"/>
    <col min="523" max="523" width="11.140625" style="968" customWidth="1"/>
    <col min="524" max="524" width="13.42578125" style="968" customWidth="1"/>
    <col min="525" max="525" width="12.28515625" style="968" customWidth="1"/>
    <col min="526" max="526" width="11.28515625" style="968" customWidth="1"/>
    <col min="527" max="527" width="11.7109375" style="968" customWidth="1"/>
    <col min="528" max="528" width="11.5703125" style="968" customWidth="1"/>
    <col min="529" max="529" width="14.5703125" style="968" customWidth="1"/>
    <col min="530" max="530" width="13.7109375" style="968" customWidth="1"/>
    <col min="531" max="531" width="12.140625" style="968" customWidth="1"/>
    <col min="532" max="533" width="13.28515625" style="968" customWidth="1"/>
    <col min="534" max="534" width="12.42578125" style="968" customWidth="1"/>
    <col min="535" max="535" width="13.85546875" style="968" customWidth="1"/>
    <col min="536" max="536" width="13" style="968" customWidth="1"/>
    <col min="537" max="768" width="9.140625" style="968"/>
    <col min="769" max="770" width="5.28515625" style="968" customWidth="1"/>
    <col min="771" max="771" width="39.5703125" style="968" customWidth="1"/>
    <col min="772" max="772" width="7.42578125" style="968" customWidth="1"/>
    <col min="773" max="773" width="7.5703125" style="968" customWidth="1"/>
    <col min="774" max="774" width="5.42578125" style="968" customWidth="1"/>
    <col min="775" max="775" width="6" style="968" customWidth="1"/>
    <col min="776" max="776" width="13.5703125" style="968" customWidth="1"/>
    <col min="777" max="777" width="14.5703125" style="968" customWidth="1"/>
    <col min="778" max="778" width="13.28515625" style="968" customWidth="1"/>
    <col min="779" max="779" width="11.140625" style="968" customWidth="1"/>
    <col min="780" max="780" width="13.42578125" style="968" customWidth="1"/>
    <col min="781" max="781" width="12.28515625" style="968" customWidth="1"/>
    <col min="782" max="782" width="11.28515625" style="968" customWidth="1"/>
    <col min="783" max="783" width="11.7109375" style="968" customWidth="1"/>
    <col min="784" max="784" width="11.5703125" style="968" customWidth="1"/>
    <col min="785" max="785" width="14.5703125" style="968" customWidth="1"/>
    <col min="786" max="786" width="13.7109375" style="968" customWidth="1"/>
    <col min="787" max="787" width="12.140625" style="968" customWidth="1"/>
    <col min="788" max="789" width="13.28515625" style="968" customWidth="1"/>
    <col min="790" max="790" width="12.42578125" style="968" customWidth="1"/>
    <col min="791" max="791" width="13.85546875" style="968" customWidth="1"/>
    <col min="792" max="792" width="13" style="968" customWidth="1"/>
    <col min="793" max="1024" width="9.140625" style="968"/>
    <col min="1025" max="1026" width="5.28515625" style="968" customWidth="1"/>
    <col min="1027" max="1027" width="39.5703125" style="968" customWidth="1"/>
    <col min="1028" max="1028" width="7.42578125" style="968" customWidth="1"/>
    <col min="1029" max="1029" width="7.5703125" style="968" customWidth="1"/>
    <col min="1030" max="1030" width="5.42578125" style="968" customWidth="1"/>
    <col min="1031" max="1031" width="6" style="968" customWidth="1"/>
    <col min="1032" max="1032" width="13.5703125" style="968" customWidth="1"/>
    <col min="1033" max="1033" width="14.5703125" style="968" customWidth="1"/>
    <col min="1034" max="1034" width="13.28515625" style="968" customWidth="1"/>
    <col min="1035" max="1035" width="11.140625" style="968" customWidth="1"/>
    <col min="1036" max="1036" width="13.42578125" style="968" customWidth="1"/>
    <col min="1037" max="1037" width="12.28515625" style="968" customWidth="1"/>
    <col min="1038" max="1038" width="11.28515625" style="968" customWidth="1"/>
    <col min="1039" max="1039" width="11.7109375" style="968" customWidth="1"/>
    <col min="1040" max="1040" width="11.5703125" style="968" customWidth="1"/>
    <col min="1041" max="1041" width="14.5703125" style="968" customWidth="1"/>
    <col min="1042" max="1042" width="13.7109375" style="968" customWidth="1"/>
    <col min="1043" max="1043" width="12.140625" style="968" customWidth="1"/>
    <col min="1044" max="1045" width="13.28515625" style="968" customWidth="1"/>
    <col min="1046" max="1046" width="12.42578125" style="968" customWidth="1"/>
    <col min="1047" max="1047" width="13.85546875" style="968" customWidth="1"/>
    <col min="1048" max="1048" width="13" style="968" customWidth="1"/>
    <col min="1049" max="1280" width="9.140625" style="968"/>
    <col min="1281" max="1282" width="5.28515625" style="968" customWidth="1"/>
    <col min="1283" max="1283" width="39.5703125" style="968" customWidth="1"/>
    <col min="1284" max="1284" width="7.42578125" style="968" customWidth="1"/>
    <col min="1285" max="1285" width="7.5703125" style="968" customWidth="1"/>
    <col min="1286" max="1286" width="5.42578125" style="968" customWidth="1"/>
    <col min="1287" max="1287" width="6" style="968" customWidth="1"/>
    <col min="1288" max="1288" width="13.5703125" style="968" customWidth="1"/>
    <col min="1289" max="1289" width="14.5703125" style="968" customWidth="1"/>
    <col min="1290" max="1290" width="13.28515625" style="968" customWidth="1"/>
    <col min="1291" max="1291" width="11.140625" style="968" customWidth="1"/>
    <col min="1292" max="1292" width="13.42578125" style="968" customWidth="1"/>
    <col min="1293" max="1293" width="12.28515625" style="968" customWidth="1"/>
    <col min="1294" max="1294" width="11.28515625" style="968" customWidth="1"/>
    <col min="1295" max="1295" width="11.7109375" style="968" customWidth="1"/>
    <col min="1296" max="1296" width="11.5703125" style="968" customWidth="1"/>
    <col min="1297" max="1297" width="14.5703125" style="968" customWidth="1"/>
    <col min="1298" max="1298" width="13.7109375" style="968" customWidth="1"/>
    <col min="1299" max="1299" width="12.140625" style="968" customWidth="1"/>
    <col min="1300" max="1301" width="13.28515625" style="968" customWidth="1"/>
    <col min="1302" max="1302" width="12.42578125" style="968" customWidth="1"/>
    <col min="1303" max="1303" width="13.85546875" style="968" customWidth="1"/>
    <col min="1304" max="1304" width="13" style="968" customWidth="1"/>
    <col min="1305" max="1536" width="9.140625" style="968"/>
    <col min="1537" max="1538" width="5.28515625" style="968" customWidth="1"/>
    <col min="1539" max="1539" width="39.5703125" style="968" customWidth="1"/>
    <col min="1540" max="1540" width="7.42578125" style="968" customWidth="1"/>
    <col min="1541" max="1541" width="7.5703125" style="968" customWidth="1"/>
    <col min="1542" max="1542" width="5.42578125" style="968" customWidth="1"/>
    <col min="1543" max="1543" width="6" style="968" customWidth="1"/>
    <col min="1544" max="1544" width="13.5703125" style="968" customWidth="1"/>
    <col min="1545" max="1545" width="14.5703125" style="968" customWidth="1"/>
    <col min="1546" max="1546" width="13.28515625" style="968" customWidth="1"/>
    <col min="1547" max="1547" width="11.140625" style="968" customWidth="1"/>
    <col min="1548" max="1548" width="13.42578125" style="968" customWidth="1"/>
    <col min="1549" max="1549" width="12.28515625" style="968" customWidth="1"/>
    <col min="1550" max="1550" width="11.28515625" style="968" customWidth="1"/>
    <col min="1551" max="1551" width="11.7109375" style="968" customWidth="1"/>
    <col min="1552" max="1552" width="11.5703125" style="968" customWidth="1"/>
    <col min="1553" max="1553" width="14.5703125" style="968" customWidth="1"/>
    <col min="1554" max="1554" width="13.7109375" style="968" customWidth="1"/>
    <col min="1555" max="1555" width="12.140625" style="968" customWidth="1"/>
    <col min="1556" max="1557" width="13.28515625" style="968" customWidth="1"/>
    <col min="1558" max="1558" width="12.42578125" style="968" customWidth="1"/>
    <col min="1559" max="1559" width="13.85546875" style="968" customWidth="1"/>
    <col min="1560" max="1560" width="13" style="968" customWidth="1"/>
    <col min="1561" max="1792" width="9.140625" style="968"/>
    <col min="1793" max="1794" width="5.28515625" style="968" customWidth="1"/>
    <col min="1795" max="1795" width="39.5703125" style="968" customWidth="1"/>
    <col min="1796" max="1796" width="7.42578125" style="968" customWidth="1"/>
    <col min="1797" max="1797" width="7.5703125" style="968" customWidth="1"/>
    <col min="1798" max="1798" width="5.42578125" style="968" customWidth="1"/>
    <col min="1799" max="1799" width="6" style="968" customWidth="1"/>
    <col min="1800" max="1800" width="13.5703125" style="968" customWidth="1"/>
    <col min="1801" max="1801" width="14.5703125" style="968" customWidth="1"/>
    <col min="1802" max="1802" width="13.28515625" style="968" customWidth="1"/>
    <col min="1803" max="1803" width="11.140625" style="968" customWidth="1"/>
    <col min="1804" max="1804" width="13.42578125" style="968" customWidth="1"/>
    <col min="1805" max="1805" width="12.28515625" style="968" customWidth="1"/>
    <col min="1806" max="1806" width="11.28515625" style="968" customWidth="1"/>
    <col min="1807" max="1807" width="11.7109375" style="968" customWidth="1"/>
    <col min="1808" max="1808" width="11.5703125" style="968" customWidth="1"/>
    <col min="1809" max="1809" width="14.5703125" style="968" customWidth="1"/>
    <col min="1810" max="1810" width="13.7109375" style="968" customWidth="1"/>
    <col min="1811" max="1811" width="12.140625" style="968" customWidth="1"/>
    <col min="1812" max="1813" width="13.28515625" style="968" customWidth="1"/>
    <col min="1814" max="1814" width="12.42578125" style="968" customWidth="1"/>
    <col min="1815" max="1815" width="13.85546875" style="968" customWidth="1"/>
    <col min="1816" max="1816" width="13" style="968" customWidth="1"/>
    <col min="1817" max="2048" width="9.140625" style="968"/>
    <col min="2049" max="2050" width="5.28515625" style="968" customWidth="1"/>
    <col min="2051" max="2051" width="39.5703125" style="968" customWidth="1"/>
    <col min="2052" max="2052" width="7.42578125" style="968" customWidth="1"/>
    <col min="2053" max="2053" width="7.5703125" style="968" customWidth="1"/>
    <col min="2054" max="2054" width="5.42578125" style="968" customWidth="1"/>
    <col min="2055" max="2055" width="6" style="968" customWidth="1"/>
    <col min="2056" max="2056" width="13.5703125" style="968" customWidth="1"/>
    <col min="2057" max="2057" width="14.5703125" style="968" customWidth="1"/>
    <col min="2058" max="2058" width="13.28515625" style="968" customWidth="1"/>
    <col min="2059" max="2059" width="11.140625" style="968" customWidth="1"/>
    <col min="2060" max="2060" width="13.42578125" style="968" customWidth="1"/>
    <col min="2061" max="2061" width="12.28515625" style="968" customWidth="1"/>
    <col min="2062" max="2062" width="11.28515625" style="968" customWidth="1"/>
    <col min="2063" max="2063" width="11.7109375" style="968" customWidth="1"/>
    <col min="2064" max="2064" width="11.5703125" style="968" customWidth="1"/>
    <col min="2065" max="2065" width="14.5703125" style="968" customWidth="1"/>
    <col min="2066" max="2066" width="13.7109375" style="968" customWidth="1"/>
    <col min="2067" max="2067" width="12.140625" style="968" customWidth="1"/>
    <col min="2068" max="2069" width="13.28515625" style="968" customWidth="1"/>
    <col min="2070" max="2070" width="12.42578125" style="968" customWidth="1"/>
    <col min="2071" max="2071" width="13.85546875" style="968" customWidth="1"/>
    <col min="2072" max="2072" width="13" style="968" customWidth="1"/>
    <col min="2073" max="2304" width="9.140625" style="968"/>
    <col min="2305" max="2306" width="5.28515625" style="968" customWidth="1"/>
    <col min="2307" max="2307" width="39.5703125" style="968" customWidth="1"/>
    <col min="2308" max="2308" width="7.42578125" style="968" customWidth="1"/>
    <col min="2309" max="2309" width="7.5703125" style="968" customWidth="1"/>
    <col min="2310" max="2310" width="5.42578125" style="968" customWidth="1"/>
    <col min="2311" max="2311" width="6" style="968" customWidth="1"/>
    <col min="2312" max="2312" width="13.5703125" style="968" customWidth="1"/>
    <col min="2313" max="2313" width="14.5703125" style="968" customWidth="1"/>
    <col min="2314" max="2314" width="13.28515625" style="968" customWidth="1"/>
    <col min="2315" max="2315" width="11.140625" style="968" customWidth="1"/>
    <col min="2316" max="2316" width="13.42578125" style="968" customWidth="1"/>
    <col min="2317" max="2317" width="12.28515625" style="968" customWidth="1"/>
    <col min="2318" max="2318" width="11.28515625" style="968" customWidth="1"/>
    <col min="2319" max="2319" width="11.7109375" style="968" customWidth="1"/>
    <col min="2320" max="2320" width="11.5703125" style="968" customWidth="1"/>
    <col min="2321" max="2321" width="14.5703125" style="968" customWidth="1"/>
    <col min="2322" max="2322" width="13.7109375" style="968" customWidth="1"/>
    <col min="2323" max="2323" width="12.140625" style="968" customWidth="1"/>
    <col min="2324" max="2325" width="13.28515625" style="968" customWidth="1"/>
    <col min="2326" max="2326" width="12.42578125" style="968" customWidth="1"/>
    <col min="2327" max="2327" width="13.85546875" style="968" customWidth="1"/>
    <col min="2328" max="2328" width="13" style="968" customWidth="1"/>
    <col min="2329" max="2560" width="9.140625" style="968"/>
    <col min="2561" max="2562" width="5.28515625" style="968" customWidth="1"/>
    <col min="2563" max="2563" width="39.5703125" style="968" customWidth="1"/>
    <col min="2564" max="2564" width="7.42578125" style="968" customWidth="1"/>
    <col min="2565" max="2565" width="7.5703125" style="968" customWidth="1"/>
    <col min="2566" max="2566" width="5.42578125" style="968" customWidth="1"/>
    <col min="2567" max="2567" width="6" style="968" customWidth="1"/>
    <col min="2568" max="2568" width="13.5703125" style="968" customWidth="1"/>
    <col min="2569" max="2569" width="14.5703125" style="968" customWidth="1"/>
    <col min="2570" max="2570" width="13.28515625" style="968" customWidth="1"/>
    <col min="2571" max="2571" width="11.140625" style="968" customWidth="1"/>
    <col min="2572" max="2572" width="13.42578125" style="968" customWidth="1"/>
    <col min="2573" max="2573" width="12.28515625" style="968" customWidth="1"/>
    <col min="2574" max="2574" width="11.28515625" style="968" customWidth="1"/>
    <col min="2575" max="2575" width="11.7109375" style="968" customWidth="1"/>
    <col min="2576" max="2576" width="11.5703125" style="968" customWidth="1"/>
    <col min="2577" max="2577" width="14.5703125" style="968" customWidth="1"/>
    <col min="2578" max="2578" width="13.7109375" style="968" customWidth="1"/>
    <col min="2579" max="2579" width="12.140625" style="968" customWidth="1"/>
    <col min="2580" max="2581" width="13.28515625" style="968" customWidth="1"/>
    <col min="2582" max="2582" width="12.42578125" style="968" customWidth="1"/>
    <col min="2583" max="2583" width="13.85546875" style="968" customWidth="1"/>
    <col min="2584" max="2584" width="13" style="968" customWidth="1"/>
    <col min="2585" max="2816" width="9.140625" style="968"/>
    <col min="2817" max="2818" width="5.28515625" style="968" customWidth="1"/>
    <col min="2819" max="2819" width="39.5703125" style="968" customWidth="1"/>
    <col min="2820" max="2820" width="7.42578125" style="968" customWidth="1"/>
    <col min="2821" max="2821" width="7.5703125" style="968" customWidth="1"/>
    <col min="2822" max="2822" width="5.42578125" style="968" customWidth="1"/>
    <col min="2823" max="2823" width="6" style="968" customWidth="1"/>
    <col min="2824" max="2824" width="13.5703125" style="968" customWidth="1"/>
    <col min="2825" max="2825" width="14.5703125" style="968" customWidth="1"/>
    <col min="2826" max="2826" width="13.28515625" style="968" customWidth="1"/>
    <col min="2827" max="2827" width="11.140625" style="968" customWidth="1"/>
    <col min="2828" max="2828" width="13.42578125" style="968" customWidth="1"/>
    <col min="2829" max="2829" width="12.28515625" style="968" customWidth="1"/>
    <col min="2830" max="2830" width="11.28515625" style="968" customWidth="1"/>
    <col min="2831" max="2831" width="11.7109375" style="968" customWidth="1"/>
    <col min="2832" max="2832" width="11.5703125" style="968" customWidth="1"/>
    <col min="2833" max="2833" width="14.5703125" style="968" customWidth="1"/>
    <col min="2834" max="2834" width="13.7109375" style="968" customWidth="1"/>
    <col min="2835" max="2835" width="12.140625" style="968" customWidth="1"/>
    <col min="2836" max="2837" width="13.28515625" style="968" customWidth="1"/>
    <col min="2838" max="2838" width="12.42578125" style="968" customWidth="1"/>
    <col min="2839" max="2839" width="13.85546875" style="968" customWidth="1"/>
    <col min="2840" max="2840" width="13" style="968" customWidth="1"/>
    <col min="2841" max="3072" width="9.140625" style="968"/>
    <col min="3073" max="3074" width="5.28515625" style="968" customWidth="1"/>
    <col min="3075" max="3075" width="39.5703125" style="968" customWidth="1"/>
    <col min="3076" max="3076" width="7.42578125" style="968" customWidth="1"/>
    <col min="3077" max="3077" width="7.5703125" style="968" customWidth="1"/>
    <col min="3078" max="3078" width="5.42578125" style="968" customWidth="1"/>
    <col min="3079" max="3079" width="6" style="968" customWidth="1"/>
    <col min="3080" max="3080" width="13.5703125" style="968" customWidth="1"/>
    <col min="3081" max="3081" width="14.5703125" style="968" customWidth="1"/>
    <col min="3082" max="3082" width="13.28515625" style="968" customWidth="1"/>
    <col min="3083" max="3083" width="11.140625" style="968" customWidth="1"/>
    <col min="3084" max="3084" width="13.42578125" style="968" customWidth="1"/>
    <col min="3085" max="3085" width="12.28515625" style="968" customWidth="1"/>
    <col min="3086" max="3086" width="11.28515625" style="968" customWidth="1"/>
    <col min="3087" max="3087" width="11.7109375" style="968" customWidth="1"/>
    <col min="3088" max="3088" width="11.5703125" style="968" customWidth="1"/>
    <col min="3089" max="3089" width="14.5703125" style="968" customWidth="1"/>
    <col min="3090" max="3090" width="13.7109375" style="968" customWidth="1"/>
    <col min="3091" max="3091" width="12.140625" style="968" customWidth="1"/>
    <col min="3092" max="3093" width="13.28515625" style="968" customWidth="1"/>
    <col min="3094" max="3094" width="12.42578125" style="968" customWidth="1"/>
    <col min="3095" max="3095" width="13.85546875" style="968" customWidth="1"/>
    <col min="3096" max="3096" width="13" style="968" customWidth="1"/>
    <col min="3097" max="3328" width="9.140625" style="968"/>
    <col min="3329" max="3330" width="5.28515625" style="968" customWidth="1"/>
    <col min="3331" max="3331" width="39.5703125" style="968" customWidth="1"/>
    <col min="3332" max="3332" width="7.42578125" style="968" customWidth="1"/>
    <col min="3333" max="3333" width="7.5703125" style="968" customWidth="1"/>
    <col min="3334" max="3334" width="5.42578125" style="968" customWidth="1"/>
    <col min="3335" max="3335" width="6" style="968" customWidth="1"/>
    <col min="3336" max="3336" width="13.5703125" style="968" customWidth="1"/>
    <col min="3337" max="3337" width="14.5703125" style="968" customWidth="1"/>
    <col min="3338" max="3338" width="13.28515625" style="968" customWidth="1"/>
    <col min="3339" max="3339" width="11.140625" style="968" customWidth="1"/>
    <col min="3340" max="3340" width="13.42578125" style="968" customWidth="1"/>
    <col min="3341" max="3341" width="12.28515625" style="968" customWidth="1"/>
    <col min="3342" max="3342" width="11.28515625" style="968" customWidth="1"/>
    <col min="3343" max="3343" width="11.7109375" style="968" customWidth="1"/>
    <col min="3344" max="3344" width="11.5703125" style="968" customWidth="1"/>
    <col min="3345" max="3345" width="14.5703125" style="968" customWidth="1"/>
    <col min="3346" max="3346" width="13.7109375" style="968" customWidth="1"/>
    <col min="3347" max="3347" width="12.140625" style="968" customWidth="1"/>
    <col min="3348" max="3349" width="13.28515625" style="968" customWidth="1"/>
    <col min="3350" max="3350" width="12.42578125" style="968" customWidth="1"/>
    <col min="3351" max="3351" width="13.85546875" style="968" customWidth="1"/>
    <col min="3352" max="3352" width="13" style="968" customWidth="1"/>
    <col min="3353" max="3584" width="9.140625" style="968"/>
    <col min="3585" max="3586" width="5.28515625" style="968" customWidth="1"/>
    <col min="3587" max="3587" width="39.5703125" style="968" customWidth="1"/>
    <col min="3588" max="3588" width="7.42578125" style="968" customWidth="1"/>
    <col min="3589" max="3589" width="7.5703125" style="968" customWidth="1"/>
    <col min="3590" max="3590" width="5.42578125" style="968" customWidth="1"/>
    <col min="3591" max="3591" width="6" style="968" customWidth="1"/>
    <col min="3592" max="3592" width="13.5703125" style="968" customWidth="1"/>
    <col min="3593" max="3593" width="14.5703125" style="968" customWidth="1"/>
    <col min="3594" max="3594" width="13.28515625" style="968" customWidth="1"/>
    <col min="3595" max="3595" width="11.140625" style="968" customWidth="1"/>
    <col min="3596" max="3596" width="13.42578125" style="968" customWidth="1"/>
    <col min="3597" max="3597" width="12.28515625" style="968" customWidth="1"/>
    <col min="3598" max="3598" width="11.28515625" style="968" customWidth="1"/>
    <col min="3599" max="3599" width="11.7109375" style="968" customWidth="1"/>
    <col min="3600" max="3600" width="11.5703125" style="968" customWidth="1"/>
    <col min="3601" max="3601" width="14.5703125" style="968" customWidth="1"/>
    <col min="3602" max="3602" width="13.7109375" style="968" customWidth="1"/>
    <col min="3603" max="3603" width="12.140625" style="968" customWidth="1"/>
    <col min="3604" max="3605" width="13.28515625" style="968" customWidth="1"/>
    <col min="3606" max="3606" width="12.42578125" style="968" customWidth="1"/>
    <col min="3607" max="3607" width="13.85546875" style="968" customWidth="1"/>
    <col min="3608" max="3608" width="13" style="968" customWidth="1"/>
    <col min="3609" max="3840" width="9.140625" style="968"/>
    <col min="3841" max="3842" width="5.28515625" style="968" customWidth="1"/>
    <col min="3843" max="3843" width="39.5703125" style="968" customWidth="1"/>
    <col min="3844" max="3844" width="7.42578125" style="968" customWidth="1"/>
    <col min="3845" max="3845" width="7.5703125" style="968" customWidth="1"/>
    <col min="3846" max="3846" width="5.42578125" style="968" customWidth="1"/>
    <col min="3847" max="3847" width="6" style="968" customWidth="1"/>
    <col min="3848" max="3848" width="13.5703125" style="968" customWidth="1"/>
    <col min="3849" max="3849" width="14.5703125" style="968" customWidth="1"/>
    <col min="3850" max="3850" width="13.28515625" style="968" customWidth="1"/>
    <col min="3851" max="3851" width="11.140625" style="968" customWidth="1"/>
    <col min="3852" max="3852" width="13.42578125" style="968" customWidth="1"/>
    <col min="3853" max="3853" width="12.28515625" style="968" customWidth="1"/>
    <col min="3854" max="3854" width="11.28515625" style="968" customWidth="1"/>
    <col min="3855" max="3855" width="11.7109375" style="968" customWidth="1"/>
    <col min="3856" max="3856" width="11.5703125" style="968" customWidth="1"/>
    <col min="3857" max="3857" width="14.5703125" style="968" customWidth="1"/>
    <col min="3858" max="3858" width="13.7109375" style="968" customWidth="1"/>
    <col min="3859" max="3859" width="12.140625" style="968" customWidth="1"/>
    <col min="3860" max="3861" width="13.28515625" style="968" customWidth="1"/>
    <col min="3862" max="3862" width="12.42578125" style="968" customWidth="1"/>
    <col min="3863" max="3863" width="13.85546875" style="968" customWidth="1"/>
    <col min="3864" max="3864" width="13" style="968" customWidth="1"/>
    <col min="3865" max="4096" width="9.140625" style="968"/>
    <col min="4097" max="4098" width="5.28515625" style="968" customWidth="1"/>
    <col min="4099" max="4099" width="39.5703125" style="968" customWidth="1"/>
    <col min="4100" max="4100" width="7.42578125" style="968" customWidth="1"/>
    <col min="4101" max="4101" width="7.5703125" style="968" customWidth="1"/>
    <col min="4102" max="4102" width="5.42578125" style="968" customWidth="1"/>
    <col min="4103" max="4103" width="6" style="968" customWidth="1"/>
    <col min="4104" max="4104" width="13.5703125" style="968" customWidth="1"/>
    <col min="4105" max="4105" width="14.5703125" style="968" customWidth="1"/>
    <col min="4106" max="4106" width="13.28515625" style="968" customWidth="1"/>
    <col min="4107" max="4107" width="11.140625" style="968" customWidth="1"/>
    <col min="4108" max="4108" width="13.42578125" style="968" customWidth="1"/>
    <col min="4109" max="4109" width="12.28515625" style="968" customWidth="1"/>
    <col min="4110" max="4110" width="11.28515625" style="968" customWidth="1"/>
    <col min="4111" max="4111" width="11.7109375" style="968" customWidth="1"/>
    <col min="4112" max="4112" width="11.5703125" style="968" customWidth="1"/>
    <col min="4113" max="4113" width="14.5703125" style="968" customWidth="1"/>
    <col min="4114" max="4114" width="13.7109375" style="968" customWidth="1"/>
    <col min="4115" max="4115" width="12.140625" style="968" customWidth="1"/>
    <col min="4116" max="4117" width="13.28515625" style="968" customWidth="1"/>
    <col min="4118" max="4118" width="12.42578125" style="968" customWidth="1"/>
    <col min="4119" max="4119" width="13.85546875" style="968" customWidth="1"/>
    <col min="4120" max="4120" width="13" style="968" customWidth="1"/>
    <col min="4121" max="4352" width="9.140625" style="968"/>
    <col min="4353" max="4354" width="5.28515625" style="968" customWidth="1"/>
    <col min="4355" max="4355" width="39.5703125" style="968" customWidth="1"/>
    <col min="4356" max="4356" width="7.42578125" style="968" customWidth="1"/>
    <col min="4357" max="4357" width="7.5703125" style="968" customWidth="1"/>
    <col min="4358" max="4358" width="5.42578125" style="968" customWidth="1"/>
    <col min="4359" max="4359" width="6" style="968" customWidth="1"/>
    <col min="4360" max="4360" width="13.5703125" style="968" customWidth="1"/>
    <col min="4361" max="4361" width="14.5703125" style="968" customWidth="1"/>
    <col min="4362" max="4362" width="13.28515625" style="968" customWidth="1"/>
    <col min="4363" max="4363" width="11.140625" style="968" customWidth="1"/>
    <col min="4364" max="4364" width="13.42578125" style="968" customWidth="1"/>
    <col min="4365" max="4365" width="12.28515625" style="968" customWidth="1"/>
    <col min="4366" max="4366" width="11.28515625" style="968" customWidth="1"/>
    <col min="4367" max="4367" width="11.7109375" style="968" customWidth="1"/>
    <col min="4368" max="4368" width="11.5703125" style="968" customWidth="1"/>
    <col min="4369" max="4369" width="14.5703125" style="968" customWidth="1"/>
    <col min="4370" max="4370" width="13.7109375" style="968" customWidth="1"/>
    <col min="4371" max="4371" width="12.140625" style="968" customWidth="1"/>
    <col min="4372" max="4373" width="13.28515625" style="968" customWidth="1"/>
    <col min="4374" max="4374" width="12.42578125" style="968" customWidth="1"/>
    <col min="4375" max="4375" width="13.85546875" style="968" customWidth="1"/>
    <col min="4376" max="4376" width="13" style="968" customWidth="1"/>
    <col min="4377" max="4608" width="9.140625" style="968"/>
    <col min="4609" max="4610" width="5.28515625" style="968" customWidth="1"/>
    <col min="4611" max="4611" width="39.5703125" style="968" customWidth="1"/>
    <col min="4612" max="4612" width="7.42578125" style="968" customWidth="1"/>
    <col min="4613" max="4613" width="7.5703125" style="968" customWidth="1"/>
    <col min="4614" max="4614" width="5.42578125" style="968" customWidth="1"/>
    <col min="4615" max="4615" width="6" style="968" customWidth="1"/>
    <col min="4616" max="4616" width="13.5703125" style="968" customWidth="1"/>
    <col min="4617" max="4617" width="14.5703125" style="968" customWidth="1"/>
    <col min="4618" max="4618" width="13.28515625" style="968" customWidth="1"/>
    <col min="4619" max="4619" width="11.140625" style="968" customWidth="1"/>
    <col min="4620" max="4620" width="13.42578125" style="968" customWidth="1"/>
    <col min="4621" max="4621" width="12.28515625" style="968" customWidth="1"/>
    <col min="4622" max="4622" width="11.28515625" style="968" customWidth="1"/>
    <col min="4623" max="4623" width="11.7109375" style="968" customWidth="1"/>
    <col min="4624" max="4624" width="11.5703125" style="968" customWidth="1"/>
    <col min="4625" max="4625" width="14.5703125" style="968" customWidth="1"/>
    <col min="4626" max="4626" width="13.7109375" style="968" customWidth="1"/>
    <col min="4627" max="4627" width="12.140625" style="968" customWidth="1"/>
    <col min="4628" max="4629" width="13.28515625" style="968" customWidth="1"/>
    <col min="4630" max="4630" width="12.42578125" style="968" customWidth="1"/>
    <col min="4631" max="4631" width="13.85546875" style="968" customWidth="1"/>
    <col min="4632" max="4632" width="13" style="968" customWidth="1"/>
    <col min="4633" max="4864" width="9.140625" style="968"/>
    <col min="4865" max="4866" width="5.28515625" style="968" customWidth="1"/>
    <col min="4867" max="4867" width="39.5703125" style="968" customWidth="1"/>
    <col min="4868" max="4868" width="7.42578125" style="968" customWidth="1"/>
    <col min="4869" max="4869" width="7.5703125" style="968" customWidth="1"/>
    <col min="4870" max="4870" width="5.42578125" style="968" customWidth="1"/>
    <col min="4871" max="4871" width="6" style="968" customWidth="1"/>
    <col min="4872" max="4872" width="13.5703125" style="968" customWidth="1"/>
    <col min="4873" max="4873" width="14.5703125" style="968" customWidth="1"/>
    <col min="4874" max="4874" width="13.28515625" style="968" customWidth="1"/>
    <col min="4875" max="4875" width="11.140625" style="968" customWidth="1"/>
    <col min="4876" max="4876" width="13.42578125" style="968" customWidth="1"/>
    <col min="4877" max="4877" width="12.28515625" style="968" customWidth="1"/>
    <col min="4878" max="4878" width="11.28515625" style="968" customWidth="1"/>
    <col min="4879" max="4879" width="11.7109375" style="968" customWidth="1"/>
    <col min="4880" max="4880" width="11.5703125" style="968" customWidth="1"/>
    <col min="4881" max="4881" width="14.5703125" style="968" customWidth="1"/>
    <col min="4882" max="4882" width="13.7109375" style="968" customWidth="1"/>
    <col min="4883" max="4883" width="12.140625" style="968" customWidth="1"/>
    <col min="4884" max="4885" width="13.28515625" style="968" customWidth="1"/>
    <col min="4886" max="4886" width="12.42578125" style="968" customWidth="1"/>
    <col min="4887" max="4887" width="13.85546875" style="968" customWidth="1"/>
    <col min="4888" max="4888" width="13" style="968" customWidth="1"/>
    <col min="4889" max="5120" width="9.140625" style="968"/>
    <col min="5121" max="5122" width="5.28515625" style="968" customWidth="1"/>
    <col min="5123" max="5123" width="39.5703125" style="968" customWidth="1"/>
    <col min="5124" max="5124" width="7.42578125" style="968" customWidth="1"/>
    <col min="5125" max="5125" width="7.5703125" style="968" customWidth="1"/>
    <col min="5126" max="5126" width="5.42578125" style="968" customWidth="1"/>
    <col min="5127" max="5127" width="6" style="968" customWidth="1"/>
    <col min="5128" max="5128" width="13.5703125" style="968" customWidth="1"/>
    <col min="5129" max="5129" width="14.5703125" style="968" customWidth="1"/>
    <col min="5130" max="5130" width="13.28515625" style="968" customWidth="1"/>
    <col min="5131" max="5131" width="11.140625" style="968" customWidth="1"/>
    <col min="5132" max="5132" width="13.42578125" style="968" customWidth="1"/>
    <col min="5133" max="5133" width="12.28515625" style="968" customWidth="1"/>
    <col min="5134" max="5134" width="11.28515625" style="968" customWidth="1"/>
    <col min="5135" max="5135" width="11.7109375" style="968" customWidth="1"/>
    <col min="5136" max="5136" width="11.5703125" style="968" customWidth="1"/>
    <col min="5137" max="5137" width="14.5703125" style="968" customWidth="1"/>
    <col min="5138" max="5138" width="13.7109375" style="968" customWidth="1"/>
    <col min="5139" max="5139" width="12.140625" style="968" customWidth="1"/>
    <col min="5140" max="5141" width="13.28515625" style="968" customWidth="1"/>
    <col min="5142" max="5142" width="12.42578125" style="968" customWidth="1"/>
    <col min="5143" max="5143" width="13.85546875" style="968" customWidth="1"/>
    <col min="5144" max="5144" width="13" style="968" customWidth="1"/>
    <col min="5145" max="5376" width="9.140625" style="968"/>
    <col min="5377" max="5378" width="5.28515625" style="968" customWidth="1"/>
    <col min="5379" max="5379" width="39.5703125" style="968" customWidth="1"/>
    <col min="5380" max="5380" width="7.42578125" style="968" customWidth="1"/>
    <col min="5381" max="5381" width="7.5703125" style="968" customWidth="1"/>
    <col min="5382" max="5382" width="5.42578125" style="968" customWidth="1"/>
    <col min="5383" max="5383" width="6" style="968" customWidth="1"/>
    <col min="5384" max="5384" width="13.5703125" style="968" customWidth="1"/>
    <col min="5385" max="5385" width="14.5703125" style="968" customWidth="1"/>
    <col min="5386" max="5386" width="13.28515625" style="968" customWidth="1"/>
    <col min="5387" max="5387" width="11.140625" style="968" customWidth="1"/>
    <col min="5388" max="5388" width="13.42578125" style="968" customWidth="1"/>
    <col min="5389" max="5389" width="12.28515625" style="968" customWidth="1"/>
    <col min="5390" max="5390" width="11.28515625" style="968" customWidth="1"/>
    <col min="5391" max="5391" width="11.7109375" style="968" customWidth="1"/>
    <col min="5392" max="5392" width="11.5703125" style="968" customWidth="1"/>
    <col min="5393" max="5393" width="14.5703125" style="968" customWidth="1"/>
    <col min="5394" max="5394" width="13.7109375" style="968" customWidth="1"/>
    <col min="5395" max="5395" width="12.140625" style="968" customWidth="1"/>
    <col min="5396" max="5397" width="13.28515625" style="968" customWidth="1"/>
    <col min="5398" max="5398" width="12.42578125" style="968" customWidth="1"/>
    <col min="5399" max="5399" width="13.85546875" style="968" customWidth="1"/>
    <col min="5400" max="5400" width="13" style="968" customWidth="1"/>
    <col min="5401" max="5632" width="9.140625" style="968"/>
    <col min="5633" max="5634" width="5.28515625" style="968" customWidth="1"/>
    <col min="5635" max="5635" width="39.5703125" style="968" customWidth="1"/>
    <col min="5636" max="5636" width="7.42578125" style="968" customWidth="1"/>
    <col min="5637" max="5637" width="7.5703125" style="968" customWidth="1"/>
    <col min="5638" max="5638" width="5.42578125" style="968" customWidth="1"/>
    <col min="5639" max="5639" width="6" style="968" customWidth="1"/>
    <col min="5640" max="5640" width="13.5703125" style="968" customWidth="1"/>
    <col min="5641" max="5641" width="14.5703125" style="968" customWidth="1"/>
    <col min="5642" max="5642" width="13.28515625" style="968" customWidth="1"/>
    <col min="5643" max="5643" width="11.140625" style="968" customWidth="1"/>
    <col min="5644" max="5644" width="13.42578125" style="968" customWidth="1"/>
    <col min="5645" max="5645" width="12.28515625" style="968" customWidth="1"/>
    <col min="5646" max="5646" width="11.28515625" style="968" customWidth="1"/>
    <col min="5647" max="5647" width="11.7109375" style="968" customWidth="1"/>
    <col min="5648" max="5648" width="11.5703125" style="968" customWidth="1"/>
    <col min="5649" max="5649" width="14.5703125" style="968" customWidth="1"/>
    <col min="5650" max="5650" width="13.7109375" style="968" customWidth="1"/>
    <col min="5651" max="5651" width="12.140625" style="968" customWidth="1"/>
    <col min="5652" max="5653" width="13.28515625" style="968" customWidth="1"/>
    <col min="5654" max="5654" width="12.42578125" style="968" customWidth="1"/>
    <col min="5655" max="5655" width="13.85546875" style="968" customWidth="1"/>
    <col min="5656" max="5656" width="13" style="968" customWidth="1"/>
    <col min="5657" max="5888" width="9.140625" style="968"/>
    <col min="5889" max="5890" width="5.28515625" style="968" customWidth="1"/>
    <col min="5891" max="5891" width="39.5703125" style="968" customWidth="1"/>
    <col min="5892" max="5892" width="7.42578125" style="968" customWidth="1"/>
    <col min="5893" max="5893" width="7.5703125" style="968" customWidth="1"/>
    <col min="5894" max="5894" width="5.42578125" style="968" customWidth="1"/>
    <col min="5895" max="5895" width="6" style="968" customWidth="1"/>
    <col min="5896" max="5896" width="13.5703125" style="968" customWidth="1"/>
    <col min="5897" max="5897" width="14.5703125" style="968" customWidth="1"/>
    <col min="5898" max="5898" width="13.28515625" style="968" customWidth="1"/>
    <col min="5899" max="5899" width="11.140625" style="968" customWidth="1"/>
    <col min="5900" max="5900" width="13.42578125" style="968" customWidth="1"/>
    <col min="5901" max="5901" width="12.28515625" style="968" customWidth="1"/>
    <col min="5902" max="5902" width="11.28515625" style="968" customWidth="1"/>
    <col min="5903" max="5903" width="11.7109375" style="968" customWidth="1"/>
    <col min="5904" max="5904" width="11.5703125" style="968" customWidth="1"/>
    <col min="5905" max="5905" width="14.5703125" style="968" customWidth="1"/>
    <col min="5906" max="5906" width="13.7109375" style="968" customWidth="1"/>
    <col min="5907" max="5907" width="12.140625" style="968" customWidth="1"/>
    <col min="5908" max="5909" width="13.28515625" style="968" customWidth="1"/>
    <col min="5910" max="5910" width="12.42578125" style="968" customWidth="1"/>
    <col min="5911" max="5911" width="13.85546875" style="968" customWidth="1"/>
    <col min="5912" max="5912" width="13" style="968" customWidth="1"/>
    <col min="5913" max="6144" width="9.140625" style="968"/>
    <col min="6145" max="6146" width="5.28515625" style="968" customWidth="1"/>
    <col min="6147" max="6147" width="39.5703125" style="968" customWidth="1"/>
    <col min="6148" max="6148" width="7.42578125" style="968" customWidth="1"/>
    <col min="6149" max="6149" width="7.5703125" style="968" customWidth="1"/>
    <col min="6150" max="6150" width="5.42578125" style="968" customWidth="1"/>
    <col min="6151" max="6151" width="6" style="968" customWidth="1"/>
    <col min="6152" max="6152" width="13.5703125" style="968" customWidth="1"/>
    <col min="6153" max="6153" width="14.5703125" style="968" customWidth="1"/>
    <col min="6154" max="6154" width="13.28515625" style="968" customWidth="1"/>
    <col min="6155" max="6155" width="11.140625" style="968" customWidth="1"/>
    <col min="6156" max="6156" width="13.42578125" style="968" customWidth="1"/>
    <col min="6157" max="6157" width="12.28515625" style="968" customWidth="1"/>
    <col min="6158" max="6158" width="11.28515625" style="968" customWidth="1"/>
    <col min="6159" max="6159" width="11.7109375" style="968" customWidth="1"/>
    <col min="6160" max="6160" width="11.5703125" style="968" customWidth="1"/>
    <col min="6161" max="6161" width="14.5703125" style="968" customWidth="1"/>
    <col min="6162" max="6162" width="13.7109375" style="968" customWidth="1"/>
    <col min="6163" max="6163" width="12.140625" style="968" customWidth="1"/>
    <col min="6164" max="6165" width="13.28515625" style="968" customWidth="1"/>
    <col min="6166" max="6166" width="12.42578125" style="968" customWidth="1"/>
    <col min="6167" max="6167" width="13.85546875" style="968" customWidth="1"/>
    <col min="6168" max="6168" width="13" style="968" customWidth="1"/>
    <col min="6169" max="6400" width="9.140625" style="968"/>
    <col min="6401" max="6402" width="5.28515625" style="968" customWidth="1"/>
    <col min="6403" max="6403" width="39.5703125" style="968" customWidth="1"/>
    <col min="6404" max="6404" width="7.42578125" style="968" customWidth="1"/>
    <col min="6405" max="6405" width="7.5703125" style="968" customWidth="1"/>
    <col min="6406" max="6406" width="5.42578125" style="968" customWidth="1"/>
    <col min="6407" max="6407" width="6" style="968" customWidth="1"/>
    <col min="6408" max="6408" width="13.5703125" style="968" customWidth="1"/>
    <col min="6409" max="6409" width="14.5703125" style="968" customWidth="1"/>
    <col min="6410" max="6410" width="13.28515625" style="968" customWidth="1"/>
    <col min="6411" max="6411" width="11.140625" style="968" customWidth="1"/>
    <col min="6412" max="6412" width="13.42578125" style="968" customWidth="1"/>
    <col min="6413" max="6413" width="12.28515625" style="968" customWidth="1"/>
    <col min="6414" max="6414" width="11.28515625" style="968" customWidth="1"/>
    <col min="6415" max="6415" width="11.7109375" style="968" customWidth="1"/>
    <col min="6416" max="6416" width="11.5703125" style="968" customWidth="1"/>
    <col min="6417" max="6417" width="14.5703125" style="968" customWidth="1"/>
    <col min="6418" max="6418" width="13.7109375" style="968" customWidth="1"/>
    <col min="6419" max="6419" width="12.140625" style="968" customWidth="1"/>
    <col min="6420" max="6421" width="13.28515625" style="968" customWidth="1"/>
    <col min="6422" max="6422" width="12.42578125" style="968" customWidth="1"/>
    <col min="6423" max="6423" width="13.85546875" style="968" customWidth="1"/>
    <col min="6424" max="6424" width="13" style="968" customWidth="1"/>
    <col min="6425" max="6656" width="9.140625" style="968"/>
    <col min="6657" max="6658" width="5.28515625" style="968" customWidth="1"/>
    <col min="6659" max="6659" width="39.5703125" style="968" customWidth="1"/>
    <col min="6660" max="6660" width="7.42578125" style="968" customWidth="1"/>
    <col min="6661" max="6661" width="7.5703125" style="968" customWidth="1"/>
    <col min="6662" max="6662" width="5.42578125" style="968" customWidth="1"/>
    <col min="6663" max="6663" width="6" style="968" customWidth="1"/>
    <col min="6664" max="6664" width="13.5703125" style="968" customWidth="1"/>
    <col min="6665" max="6665" width="14.5703125" style="968" customWidth="1"/>
    <col min="6666" max="6666" width="13.28515625" style="968" customWidth="1"/>
    <col min="6667" max="6667" width="11.140625" style="968" customWidth="1"/>
    <col min="6668" max="6668" width="13.42578125" style="968" customWidth="1"/>
    <col min="6669" max="6669" width="12.28515625" style="968" customWidth="1"/>
    <col min="6670" max="6670" width="11.28515625" style="968" customWidth="1"/>
    <col min="6671" max="6671" width="11.7109375" style="968" customWidth="1"/>
    <col min="6672" max="6672" width="11.5703125" style="968" customWidth="1"/>
    <col min="6673" max="6673" width="14.5703125" style="968" customWidth="1"/>
    <col min="6674" max="6674" width="13.7109375" style="968" customWidth="1"/>
    <col min="6675" max="6675" width="12.140625" style="968" customWidth="1"/>
    <col min="6676" max="6677" width="13.28515625" style="968" customWidth="1"/>
    <col min="6678" max="6678" width="12.42578125" style="968" customWidth="1"/>
    <col min="6679" max="6679" width="13.85546875" style="968" customWidth="1"/>
    <col min="6680" max="6680" width="13" style="968" customWidth="1"/>
    <col min="6681" max="6912" width="9.140625" style="968"/>
    <col min="6913" max="6914" width="5.28515625" style="968" customWidth="1"/>
    <col min="6915" max="6915" width="39.5703125" style="968" customWidth="1"/>
    <col min="6916" max="6916" width="7.42578125" style="968" customWidth="1"/>
    <col min="6917" max="6917" width="7.5703125" style="968" customWidth="1"/>
    <col min="6918" max="6918" width="5.42578125" style="968" customWidth="1"/>
    <col min="6919" max="6919" width="6" style="968" customWidth="1"/>
    <col min="6920" max="6920" width="13.5703125" style="968" customWidth="1"/>
    <col min="6921" max="6921" width="14.5703125" style="968" customWidth="1"/>
    <col min="6922" max="6922" width="13.28515625" style="968" customWidth="1"/>
    <col min="6923" max="6923" width="11.140625" style="968" customWidth="1"/>
    <col min="6924" max="6924" width="13.42578125" style="968" customWidth="1"/>
    <col min="6925" max="6925" width="12.28515625" style="968" customWidth="1"/>
    <col min="6926" max="6926" width="11.28515625" style="968" customWidth="1"/>
    <col min="6927" max="6927" width="11.7109375" style="968" customWidth="1"/>
    <col min="6928" max="6928" width="11.5703125" style="968" customWidth="1"/>
    <col min="6929" max="6929" width="14.5703125" style="968" customWidth="1"/>
    <col min="6930" max="6930" width="13.7109375" style="968" customWidth="1"/>
    <col min="6931" max="6931" width="12.140625" style="968" customWidth="1"/>
    <col min="6932" max="6933" width="13.28515625" style="968" customWidth="1"/>
    <col min="6934" max="6934" width="12.42578125" style="968" customWidth="1"/>
    <col min="6935" max="6935" width="13.85546875" style="968" customWidth="1"/>
    <col min="6936" max="6936" width="13" style="968" customWidth="1"/>
    <col min="6937" max="7168" width="9.140625" style="968"/>
    <col min="7169" max="7170" width="5.28515625" style="968" customWidth="1"/>
    <col min="7171" max="7171" width="39.5703125" style="968" customWidth="1"/>
    <col min="7172" max="7172" width="7.42578125" style="968" customWidth="1"/>
    <col min="7173" max="7173" width="7.5703125" style="968" customWidth="1"/>
    <col min="7174" max="7174" width="5.42578125" style="968" customWidth="1"/>
    <col min="7175" max="7175" width="6" style="968" customWidth="1"/>
    <col min="7176" max="7176" width="13.5703125" style="968" customWidth="1"/>
    <col min="7177" max="7177" width="14.5703125" style="968" customWidth="1"/>
    <col min="7178" max="7178" width="13.28515625" style="968" customWidth="1"/>
    <col min="7179" max="7179" width="11.140625" style="968" customWidth="1"/>
    <col min="7180" max="7180" width="13.42578125" style="968" customWidth="1"/>
    <col min="7181" max="7181" width="12.28515625" style="968" customWidth="1"/>
    <col min="7182" max="7182" width="11.28515625" style="968" customWidth="1"/>
    <col min="7183" max="7183" width="11.7109375" style="968" customWidth="1"/>
    <col min="7184" max="7184" width="11.5703125" style="968" customWidth="1"/>
    <col min="7185" max="7185" width="14.5703125" style="968" customWidth="1"/>
    <col min="7186" max="7186" width="13.7109375" style="968" customWidth="1"/>
    <col min="7187" max="7187" width="12.140625" style="968" customWidth="1"/>
    <col min="7188" max="7189" width="13.28515625" style="968" customWidth="1"/>
    <col min="7190" max="7190" width="12.42578125" style="968" customWidth="1"/>
    <col min="7191" max="7191" width="13.85546875" style="968" customWidth="1"/>
    <col min="7192" max="7192" width="13" style="968" customWidth="1"/>
    <col min="7193" max="7424" width="9.140625" style="968"/>
    <col min="7425" max="7426" width="5.28515625" style="968" customWidth="1"/>
    <col min="7427" max="7427" width="39.5703125" style="968" customWidth="1"/>
    <col min="7428" max="7428" width="7.42578125" style="968" customWidth="1"/>
    <col min="7429" max="7429" width="7.5703125" style="968" customWidth="1"/>
    <col min="7430" max="7430" width="5.42578125" style="968" customWidth="1"/>
    <col min="7431" max="7431" width="6" style="968" customWidth="1"/>
    <col min="7432" max="7432" width="13.5703125" style="968" customWidth="1"/>
    <col min="7433" max="7433" width="14.5703125" style="968" customWidth="1"/>
    <col min="7434" max="7434" width="13.28515625" style="968" customWidth="1"/>
    <col min="7435" max="7435" width="11.140625" style="968" customWidth="1"/>
    <col min="7436" max="7436" width="13.42578125" style="968" customWidth="1"/>
    <col min="7437" max="7437" width="12.28515625" style="968" customWidth="1"/>
    <col min="7438" max="7438" width="11.28515625" style="968" customWidth="1"/>
    <col min="7439" max="7439" width="11.7109375" style="968" customWidth="1"/>
    <col min="7440" max="7440" width="11.5703125" style="968" customWidth="1"/>
    <col min="7441" max="7441" width="14.5703125" style="968" customWidth="1"/>
    <col min="7442" max="7442" width="13.7109375" style="968" customWidth="1"/>
    <col min="7443" max="7443" width="12.140625" style="968" customWidth="1"/>
    <col min="7444" max="7445" width="13.28515625" style="968" customWidth="1"/>
    <col min="7446" max="7446" width="12.42578125" style="968" customWidth="1"/>
    <col min="7447" max="7447" width="13.85546875" style="968" customWidth="1"/>
    <col min="7448" max="7448" width="13" style="968" customWidth="1"/>
    <col min="7449" max="7680" width="9.140625" style="968"/>
    <col min="7681" max="7682" width="5.28515625" style="968" customWidth="1"/>
    <col min="7683" max="7683" width="39.5703125" style="968" customWidth="1"/>
    <col min="7684" max="7684" width="7.42578125" style="968" customWidth="1"/>
    <col min="7685" max="7685" width="7.5703125" style="968" customWidth="1"/>
    <col min="7686" max="7686" width="5.42578125" style="968" customWidth="1"/>
    <col min="7687" max="7687" width="6" style="968" customWidth="1"/>
    <col min="7688" max="7688" width="13.5703125" style="968" customWidth="1"/>
    <col min="7689" max="7689" width="14.5703125" style="968" customWidth="1"/>
    <col min="7690" max="7690" width="13.28515625" style="968" customWidth="1"/>
    <col min="7691" max="7691" width="11.140625" style="968" customWidth="1"/>
    <col min="7692" max="7692" width="13.42578125" style="968" customWidth="1"/>
    <col min="7693" max="7693" width="12.28515625" style="968" customWidth="1"/>
    <col min="7694" max="7694" width="11.28515625" style="968" customWidth="1"/>
    <col min="7695" max="7695" width="11.7109375" style="968" customWidth="1"/>
    <col min="7696" max="7696" width="11.5703125" style="968" customWidth="1"/>
    <col min="7697" max="7697" width="14.5703125" style="968" customWidth="1"/>
    <col min="7698" max="7698" width="13.7109375" style="968" customWidth="1"/>
    <col min="7699" max="7699" width="12.140625" style="968" customWidth="1"/>
    <col min="7700" max="7701" width="13.28515625" style="968" customWidth="1"/>
    <col min="7702" max="7702" width="12.42578125" style="968" customWidth="1"/>
    <col min="7703" max="7703" width="13.85546875" style="968" customWidth="1"/>
    <col min="7704" max="7704" width="13" style="968" customWidth="1"/>
    <col min="7705" max="7936" width="9.140625" style="968"/>
    <col min="7937" max="7938" width="5.28515625" style="968" customWidth="1"/>
    <col min="7939" max="7939" width="39.5703125" style="968" customWidth="1"/>
    <col min="7940" max="7940" width="7.42578125" style="968" customWidth="1"/>
    <col min="7941" max="7941" width="7.5703125" style="968" customWidth="1"/>
    <col min="7942" max="7942" width="5.42578125" style="968" customWidth="1"/>
    <col min="7943" max="7943" width="6" style="968" customWidth="1"/>
    <col min="7944" max="7944" width="13.5703125" style="968" customWidth="1"/>
    <col min="7945" max="7945" width="14.5703125" style="968" customWidth="1"/>
    <col min="7946" max="7946" width="13.28515625" style="968" customWidth="1"/>
    <col min="7947" max="7947" width="11.140625" style="968" customWidth="1"/>
    <col min="7948" max="7948" width="13.42578125" style="968" customWidth="1"/>
    <col min="7949" max="7949" width="12.28515625" style="968" customWidth="1"/>
    <col min="7950" max="7950" width="11.28515625" style="968" customWidth="1"/>
    <col min="7951" max="7951" width="11.7109375" style="968" customWidth="1"/>
    <col min="7952" max="7952" width="11.5703125" style="968" customWidth="1"/>
    <col min="7953" max="7953" width="14.5703125" style="968" customWidth="1"/>
    <col min="7954" max="7954" width="13.7109375" style="968" customWidth="1"/>
    <col min="7955" max="7955" width="12.140625" style="968" customWidth="1"/>
    <col min="7956" max="7957" width="13.28515625" style="968" customWidth="1"/>
    <col min="7958" max="7958" width="12.42578125" style="968" customWidth="1"/>
    <col min="7959" max="7959" width="13.85546875" style="968" customWidth="1"/>
    <col min="7960" max="7960" width="13" style="968" customWidth="1"/>
    <col min="7961" max="8192" width="9.140625" style="968"/>
    <col min="8193" max="8194" width="5.28515625" style="968" customWidth="1"/>
    <col min="8195" max="8195" width="39.5703125" style="968" customWidth="1"/>
    <col min="8196" max="8196" width="7.42578125" style="968" customWidth="1"/>
    <col min="8197" max="8197" width="7.5703125" style="968" customWidth="1"/>
    <col min="8198" max="8198" width="5.42578125" style="968" customWidth="1"/>
    <col min="8199" max="8199" width="6" style="968" customWidth="1"/>
    <col min="8200" max="8200" width="13.5703125" style="968" customWidth="1"/>
    <col min="8201" max="8201" width="14.5703125" style="968" customWidth="1"/>
    <col min="8202" max="8202" width="13.28515625" style="968" customWidth="1"/>
    <col min="8203" max="8203" width="11.140625" style="968" customWidth="1"/>
    <col min="8204" max="8204" width="13.42578125" style="968" customWidth="1"/>
    <col min="8205" max="8205" width="12.28515625" style="968" customWidth="1"/>
    <col min="8206" max="8206" width="11.28515625" style="968" customWidth="1"/>
    <col min="8207" max="8207" width="11.7109375" style="968" customWidth="1"/>
    <col min="8208" max="8208" width="11.5703125" style="968" customWidth="1"/>
    <col min="8209" max="8209" width="14.5703125" style="968" customWidth="1"/>
    <col min="8210" max="8210" width="13.7109375" style="968" customWidth="1"/>
    <col min="8211" max="8211" width="12.140625" style="968" customWidth="1"/>
    <col min="8212" max="8213" width="13.28515625" style="968" customWidth="1"/>
    <col min="8214" max="8214" width="12.42578125" style="968" customWidth="1"/>
    <col min="8215" max="8215" width="13.85546875" style="968" customWidth="1"/>
    <col min="8216" max="8216" width="13" style="968" customWidth="1"/>
    <col min="8217" max="8448" width="9.140625" style="968"/>
    <col min="8449" max="8450" width="5.28515625" style="968" customWidth="1"/>
    <col min="8451" max="8451" width="39.5703125" style="968" customWidth="1"/>
    <col min="8452" max="8452" width="7.42578125" style="968" customWidth="1"/>
    <col min="8453" max="8453" width="7.5703125" style="968" customWidth="1"/>
    <col min="8454" max="8454" width="5.42578125" style="968" customWidth="1"/>
    <col min="8455" max="8455" width="6" style="968" customWidth="1"/>
    <col min="8456" max="8456" width="13.5703125" style="968" customWidth="1"/>
    <col min="8457" max="8457" width="14.5703125" style="968" customWidth="1"/>
    <col min="8458" max="8458" width="13.28515625" style="968" customWidth="1"/>
    <col min="8459" max="8459" width="11.140625" style="968" customWidth="1"/>
    <col min="8460" max="8460" width="13.42578125" style="968" customWidth="1"/>
    <col min="8461" max="8461" width="12.28515625" style="968" customWidth="1"/>
    <col min="8462" max="8462" width="11.28515625" style="968" customWidth="1"/>
    <col min="8463" max="8463" width="11.7109375" style="968" customWidth="1"/>
    <col min="8464" max="8464" width="11.5703125" style="968" customWidth="1"/>
    <col min="8465" max="8465" width="14.5703125" style="968" customWidth="1"/>
    <col min="8466" max="8466" width="13.7109375" style="968" customWidth="1"/>
    <col min="8467" max="8467" width="12.140625" style="968" customWidth="1"/>
    <col min="8468" max="8469" width="13.28515625" style="968" customWidth="1"/>
    <col min="8470" max="8470" width="12.42578125" style="968" customWidth="1"/>
    <col min="8471" max="8471" width="13.85546875" style="968" customWidth="1"/>
    <col min="8472" max="8472" width="13" style="968" customWidth="1"/>
    <col min="8473" max="8704" width="9.140625" style="968"/>
    <col min="8705" max="8706" width="5.28515625" style="968" customWidth="1"/>
    <col min="8707" max="8707" width="39.5703125" style="968" customWidth="1"/>
    <col min="8708" max="8708" width="7.42578125" style="968" customWidth="1"/>
    <col min="8709" max="8709" width="7.5703125" style="968" customWidth="1"/>
    <col min="8710" max="8710" width="5.42578125" style="968" customWidth="1"/>
    <col min="8711" max="8711" width="6" style="968" customWidth="1"/>
    <col min="8712" max="8712" width="13.5703125" style="968" customWidth="1"/>
    <col min="8713" max="8713" width="14.5703125" style="968" customWidth="1"/>
    <col min="8714" max="8714" width="13.28515625" style="968" customWidth="1"/>
    <col min="8715" max="8715" width="11.140625" style="968" customWidth="1"/>
    <col min="8716" max="8716" width="13.42578125" style="968" customWidth="1"/>
    <col min="8717" max="8717" width="12.28515625" style="968" customWidth="1"/>
    <col min="8718" max="8718" width="11.28515625" style="968" customWidth="1"/>
    <col min="8719" max="8719" width="11.7109375" style="968" customWidth="1"/>
    <col min="8720" max="8720" width="11.5703125" style="968" customWidth="1"/>
    <col min="8721" max="8721" width="14.5703125" style="968" customWidth="1"/>
    <col min="8722" max="8722" width="13.7109375" style="968" customWidth="1"/>
    <col min="8723" max="8723" width="12.140625" style="968" customWidth="1"/>
    <col min="8724" max="8725" width="13.28515625" style="968" customWidth="1"/>
    <col min="8726" max="8726" width="12.42578125" style="968" customWidth="1"/>
    <col min="8727" max="8727" width="13.85546875" style="968" customWidth="1"/>
    <col min="8728" max="8728" width="13" style="968" customWidth="1"/>
    <col min="8729" max="8960" width="9.140625" style="968"/>
    <col min="8961" max="8962" width="5.28515625" style="968" customWidth="1"/>
    <col min="8963" max="8963" width="39.5703125" style="968" customWidth="1"/>
    <col min="8964" max="8964" width="7.42578125" style="968" customWidth="1"/>
    <col min="8965" max="8965" width="7.5703125" style="968" customWidth="1"/>
    <col min="8966" max="8966" width="5.42578125" style="968" customWidth="1"/>
    <col min="8967" max="8967" width="6" style="968" customWidth="1"/>
    <col min="8968" max="8968" width="13.5703125" style="968" customWidth="1"/>
    <col min="8969" max="8969" width="14.5703125" style="968" customWidth="1"/>
    <col min="8970" max="8970" width="13.28515625" style="968" customWidth="1"/>
    <col min="8971" max="8971" width="11.140625" style="968" customWidth="1"/>
    <col min="8972" max="8972" width="13.42578125" style="968" customWidth="1"/>
    <col min="8973" max="8973" width="12.28515625" style="968" customWidth="1"/>
    <col min="8974" max="8974" width="11.28515625" style="968" customWidth="1"/>
    <col min="8975" max="8975" width="11.7109375" style="968" customWidth="1"/>
    <col min="8976" max="8976" width="11.5703125" style="968" customWidth="1"/>
    <col min="8977" max="8977" width="14.5703125" style="968" customWidth="1"/>
    <col min="8978" max="8978" width="13.7109375" style="968" customWidth="1"/>
    <col min="8979" max="8979" width="12.140625" style="968" customWidth="1"/>
    <col min="8980" max="8981" width="13.28515625" style="968" customWidth="1"/>
    <col min="8982" max="8982" width="12.42578125" style="968" customWidth="1"/>
    <col min="8983" max="8983" width="13.85546875" style="968" customWidth="1"/>
    <col min="8984" max="8984" width="13" style="968" customWidth="1"/>
    <col min="8985" max="9216" width="9.140625" style="968"/>
    <col min="9217" max="9218" width="5.28515625" style="968" customWidth="1"/>
    <col min="9219" max="9219" width="39.5703125" style="968" customWidth="1"/>
    <col min="9220" max="9220" width="7.42578125" style="968" customWidth="1"/>
    <col min="9221" max="9221" width="7.5703125" style="968" customWidth="1"/>
    <col min="9222" max="9222" width="5.42578125" style="968" customWidth="1"/>
    <col min="9223" max="9223" width="6" style="968" customWidth="1"/>
    <col min="9224" max="9224" width="13.5703125" style="968" customWidth="1"/>
    <col min="9225" max="9225" width="14.5703125" style="968" customWidth="1"/>
    <col min="9226" max="9226" width="13.28515625" style="968" customWidth="1"/>
    <col min="9227" max="9227" width="11.140625" style="968" customWidth="1"/>
    <col min="9228" max="9228" width="13.42578125" style="968" customWidth="1"/>
    <col min="9229" max="9229" width="12.28515625" style="968" customWidth="1"/>
    <col min="9230" max="9230" width="11.28515625" style="968" customWidth="1"/>
    <col min="9231" max="9231" width="11.7109375" style="968" customWidth="1"/>
    <col min="9232" max="9232" width="11.5703125" style="968" customWidth="1"/>
    <col min="9233" max="9233" width="14.5703125" style="968" customWidth="1"/>
    <col min="9234" max="9234" width="13.7109375" style="968" customWidth="1"/>
    <col min="9235" max="9235" width="12.140625" style="968" customWidth="1"/>
    <col min="9236" max="9237" width="13.28515625" style="968" customWidth="1"/>
    <col min="9238" max="9238" width="12.42578125" style="968" customWidth="1"/>
    <col min="9239" max="9239" width="13.85546875" style="968" customWidth="1"/>
    <col min="9240" max="9240" width="13" style="968" customWidth="1"/>
    <col min="9241" max="9472" width="9.140625" style="968"/>
    <col min="9473" max="9474" width="5.28515625" style="968" customWidth="1"/>
    <col min="9475" max="9475" width="39.5703125" style="968" customWidth="1"/>
    <col min="9476" max="9476" width="7.42578125" style="968" customWidth="1"/>
    <col min="9477" max="9477" width="7.5703125" style="968" customWidth="1"/>
    <col min="9478" max="9478" width="5.42578125" style="968" customWidth="1"/>
    <col min="9479" max="9479" width="6" style="968" customWidth="1"/>
    <col min="9480" max="9480" width="13.5703125" style="968" customWidth="1"/>
    <col min="9481" max="9481" width="14.5703125" style="968" customWidth="1"/>
    <col min="9482" max="9482" width="13.28515625" style="968" customWidth="1"/>
    <col min="9483" max="9483" width="11.140625" style="968" customWidth="1"/>
    <col min="9484" max="9484" width="13.42578125" style="968" customWidth="1"/>
    <col min="9485" max="9485" width="12.28515625" style="968" customWidth="1"/>
    <col min="9486" max="9486" width="11.28515625" style="968" customWidth="1"/>
    <col min="9487" max="9487" width="11.7109375" style="968" customWidth="1"/>
    <col min="9488" max="9488" width="11.5703125" style="968" customWidth="1"/>
    <col min="9489" max="9489" width="14.5703125" style="968" customWidth="1"/>
    <col min="9490" max="9490" width="13.7109375" style="968" customWidth="1"/>
    <col min="9491" max="9491" width="12.140625" style="968" customWidth="1"/>
    <col min="9492" max="9493" width="13.28515625" style="968" customWidth="1"/>
    <col min="9494" max="9494" width="12.42578125" style="968" customWidth="1"/>
    <col min="9495" max="9495" width="13.85546875" style="968" customWidth="1"/>
    <col min="9496" max="9496" width="13" style="968" customWidth="1"/>
    <col min="9497" max="9728" width="9.140625" style="968"/>
    <col min="9729" max="9730" width="5.28515625" style="968" customWidth="1"/>
    <col min="9731" max="9731" width="39.5703125" style="968" customWidth="1"/>
    <col min="9732" max="9732" width="7.42578125" style="968" customWidth="1"/>
    <col min="9733" max="9733" width="7.5703125" style="968" customWidth="1"/>
    <col min="9734" max="9734" width="5.42578125" style="968" customWidth="1"/>
    <col min="9735" max="9735" width="6" style="968" customWidth="1"/>
    <col min="9736" max="9736" width="13.5703125" style="968" customWidth="1"/>
    <col min="9737" max="9737" width="14.5703125" style="968" customWidth="1"/>
    <col min="9738" max="9738" width="13.28515625" style="968" customWidth="1"/>
    <col min="9739" max="9739" width="11.140625" style="968" customWidth="1"/>
    <col min="9740" max="9740" width="13.42578125" style="968" customWidth="1"/>
    <col min="9741" max="9741" width="12.28515625" style="968" customWidth="1"/>
    <col min="9742" max="9742" width="11.28515625" style="968" customWidth="1"/>
    <col min="9743" max="9743" width="11.7109375" style="968" customWidth="1"/>
    <col min="9744" max="9744" width="11.5703125" style="968" customWidth="1"/>
    <col min="9745" max="9745" width="14.5703125" style="968" customWidth="1"/>
    <col min="9746" max="9746" width="13.7109375" style="968" customWidth="1"/>
    <col min="9747" max="9747" width="12.140625" style="968" customWidth="1"/>
    <col min="9748" max="9749" width="13.28515625" style="968" customWidth="1"/>
    <col min="9750" max="9750" width="12.42578125" style="968" customWidth="1"/>
    <col min="9751" max="9751" width="13.85546875" style="968" customWidth="1"/>
    <col min="9752" max="9752" width="13" style="968" customWidth="1"/>
    <col min="9753" max="9984" width="9.140625" style="968"/>
    <col min="9985" max="9986" width="5.28515625" style="968" customWidth="1"/>
    <col min="9987" max="9987" width="39.5703125" style="968" customWidth="1"/>
    <col min="9988" max="9988" width="7.42578125" style="968" customWidth="1"/>
    <col min="9989" max="9989" width="7.5703125" style="968" customWidth="1"/>
    <col min="9990" max="9990" width="5.42578125" style="968" customWidth="1"/>
    <col min="9991" max="9991" width="6" style="968" customWidth="1"/>
    <col min="9992" max="9992" width="13.5703125" style="968" customWidth="1"/>
    <col min="9993" max="9993" width="14.5703125" style="968" customWidth="1"/>
    <col min="9994" max="9994" width="13.28515625" style="968" customWidth="1"/>
    <col min="9995" max="9995" width="11.140625" style="968" customWidth="1"/>
    <col min="9996" max="9996" width="13.42578125" style="968" customWidth="1"/>
    <col min="9997" max="9997" width="12.28515625" style="968" customWidth="1"/>
    <col min="9998" max="9998" width="11.28515625" style="968" customWidth="1"/>
    <col min="9999" max="9999" width="11.7109375" style="968" customWidth="1"/>
    <col min="10000" max="10000" width="11.5703125" style="968" customWidth="1"/>
    <col min="10001" max="10001" width="14.5703125" style="968" customWidth="1"/>
    <col min="10002" max="10002" width="13.7109375" style="968" customWidth="1"/>
    <col min="10003" max="10003" width="12.140625" style="968" customWidth="1"/>
    <col min="10004" max="10005" width="13.28515625" style="968" customWidth="1"/>
    <col min="10006" max="10006" width="12.42578125" style="968" customWidth="1"/>
    <col min="10007" max="10007" width="13.85546875" style="968" customWidth="1"/>
    <col min="10008" max="10008" width="13" style="968" customWidth="1"/>
    <col min="10009" max="10240" width="9.140625" style="968"/>
    <col min="10241" max="10242" width="5.28515625" style="968" customWidth="1"/>
    <col min="10243" max="10243" width="39.5703125" style="968" customWidth="1"/>
    <col min="10244" max="10244" width="7.42578125" style="968" customWidth="1"/>
    <col min="10245" max="10245" width="7.5703125" style="968" customWidth="1"/>
    <col min="10246" max="10246" width="5.42578125" style="968" customWidth="1"/>
    <col min="10247" max="10247" width="6" style="968" customWidth="1"/>
    <col min="10248" max="10248" width="13.5703125" style="968" customWidth="1"/>
    <col min="10249" max="10249" width="14.5703125" style="968" customWidth="1"/>
    <col min="10250" max="10250" width="13.28515625" style="968" customWidth="1"/>
    <col min="10251" max="10251" width="11.140625" style="968" customWidth="1"/>
    <col min="10252" max="10252" width="13.42578125" style="968" customWidth="1"/>
    <col min="10253" max="10253" width="12.28515625" style="968" customWidth="1"/>
    <col min="10254" max="10254" width="11.28515625" style="968" customWidth="1"/>
    <col min="10255" max="10255" width="11.7109375" style="968" customWidth="1"/>
    <col min="10256" max="10256" width="11.5703125" style="968" customWidth="1"/>
    <col min="10257" max="10257" width="14.5703125" style="968" customWidth="1"/>
    <col min="10258" max="10258" width="13.7109375" style="968" customWidth="1"/>
    <col min="10259" max="10259" width="12.140625" style="968" customWidth="1"/>
    <col min="10260" max="10261" width="13.28515625" style="968" customWidth="1"/>
    <col min="10262" max="10262" width="12.42578125" style="968" customWidth="1"/>
    <col min="10263" max="10263" width="13.85546875" style="968" customWidth="1"/>
    <col min="10264" max="10264" width="13" style="968" customWidth="1"/>
    <col min="10265" max="10496" width="9.140625" style="968"/>
    <col min="10497" max="10498" width="5.28515625" style="968" customWidth="1"/>
    <col min="10499" max="10499" width="39.5703125" style="968" customWidth="1"/>
    <col min="10500" max="10500" width="7.42578125" style="968" customWidth="1"/>
    <col min="10501" max="10501" width="7.5703125" style="968" customWidth="1"/>
    <col min="10502" max="10502" width="5.42578125" style="968" customWidth="1"/>
    <col min="10503" max="10503" width="6" style="968" customWidth="1"/>
    <col min="10504" max="10504" width="13.5703125" style="968" customWidth="1"/>
    <col min="10505" max="10505" width="14.5703125" style="968" customWidth="1"/>
    <col min="10506" max="10506" width="13.28515625" style="968" customWidth="1"/>
    <col min="10507" max="10507" width="11.140625" style="968" customWidth="1"/>
    <col min="10508" max="10508" width="13.42578125" style="968" customWidth="1"/>
    <col min="10509" max="10509" width="12.28515625" style="968" customWidth="1"/>
    <col min="10510" max="10510" width="11.28515625" style="968" customWidth="1"/>
    <col min="10511" max="10511" width="11.7109375" style="968" customWidth="1"/>
    <col min="10512" max="10512" width="11.5703125" style="968" customWidth="1"/>
    <col min="10513" max="10513" width="14.5703125" style="968" customWidth="1"/>
    <col min="10514" max="10514" width="13.7109375" style="968" customWidth="1"/>
    <col min="10515" max="10515" width="12.140625" style="968" customWidth="1"/>
    <col min="10516" max="10517" width="13.28515625" style="968" customWidth="1"/>
    <col min="10518" max="10518" width="12.42578125" style="968" customWidth="1"/>
    <col min="10519" max="10519" width="13.85546875" style="968" customWidth="1"/>
    <col min="10520" max="10520" width="13" style="968" customWidth="1"/>
    <col min="10521" max="10752" width="9.140625" style="968"/>
    <col min="10753" max="10754" width="5.28515625" style="968" customWidth="1"/>
    <col min="10755" max="10755" width="39.5703125" style="968" customWidth="1"/>
    <col min="10756" max="10756" width="7.42578125" style="968" customWidth="1"/>
    <col min="10757" max="10757" width="7.5703125" style="968" customWidth="1"/>
    <col min="10758" max="10758" width="5.42578125" style="968" customWidth="1"/>
    <col min="10759" max="10759" width="6" style="968" customWidth="1"/>
    <col min="10760" max="10760" width="13.5703125" style="968" customWidth="1"/>
    <col min="10761" max="10761" width="14.5703125" style="968" customWidth="1"/>
    <col min="10762" max="10762" width="13.28515625" style="968" customWidth="1"/>
    <col min="10763" max="10763" width="11.140625" style="968" customWidth="1"/>
    <col min="10764" max="10764" width="13.42578125" style="968" customWidth="1"/>
    <col min="10765" max="10765" width="12.28515625" style="968" customWidth="1"/>
    <col min="10766" max="10766" width="11.28515625" style="968" customWidth="1"/>
    <col min="10767" max="10767" width="11.7109375" style="968" customWidth="1"/>
    <col min="10768" max="10768" width="11.5703125" style="968" customWidth="1"/>
    <col min="10769" max="10769" width="14.5703125" style="968" customWidth="1"/>
    <col min="10770" max="10770" width="13.7109375" style="968" customWidth="1"/>
    <col min="10771" max="10771" width="12.140625" style="968" customWidth="1"/>
    <col min="10772" max="10773" width="13.28515625" style="968" customWidth="1"/>
    <col min="10774" max="10774" width="12.42578125" style="968" customWidth="1"/>
    <col min="10775" max="10775" width="13.85546875" style="968" customWidth="1"/>
    <col min="10776" max="10776" width="13" style="968" customWidth="1"/>
    <col min="10777" max="11008" width="9.140625" style="968"/>
    <col min="11009" max="11010" width="5.28515625" style="968" customWidth="1"/>
    <col min="11011" max="11011" width="39.5703125" style="968" customWidth="1"/>
    <col min="11012" max="11012" width="7.42578125" style="968" customWidth="1"/>
    <col min="11013" max="11013" width="7.5703125" style="968" customWidth="1"/>
    <col min="11014" max="11014" width="5.42578125" style="968" customWidth="1"/>
    <col min="11015" max="11015" width="6" style="968" customWidth="1"/>
    <col min="11016" max="11016" width="13.5703125" style="968" customWidth="1"/>
    <col min="11017" max="11017" width="14.5703125" style="968" customWidth="1"/>
    <col min="11018" max="11018" width="13.28515625" style="968" customWidth="1"/>
    <col min="11019" max="11019" width="11.140625" style="968" customWidth="1"/>
    <col min="11020" max="11020" width="13.42578125" style="968" customWidth="1"/>
    <col min="11021" max="11021" width="12.28515625" style="968" customWidth="1"/>
    <col min="11022" max="11022" width="11.28515625" style="968" customWidth="1"/>
    <col min="11023" max="11023" width="11.7109375" style="968" customWidth="1"/>
    <col min="11024" max="11024" width="11.5703125" style="968" customWidth="1"/>
    <col min="11025" max="11025" width="14.5703125" style="968" customWidth="1"/>
    <col min="11026" max="11026" width="13.7109375" style="968" customWidth="1"/>
    <col min="11027" max="11027" width="12.140625" style="968" customWidth="1"/>
    <col min="11028" max="11029" width="13.28515625" style="968" customWidth="1"/>
    <col min="11030" max="11030" width="12.42578125" style="968" customWidth="1"/>
    <col min="11031" max="11031" width="13.85546875" style="968" customWidth="1"/>
    <col min="11032" max="11032" width="13" style="968" customWidth="1"/>
    <col min="11033" max="11264" width="9.140625" style="968"/>
    <col min="11265" max="11266" width="5.28515625" style="968" customWidth="1"/>
    <col min="11267" max="11267" width="39.5703125" style="968" customWidth="1"/>
    <col min="11268" max="11268" width="7.42578125" style="968" customWidth="1"/>
    <col min="11269" max="11269" width="7.5703125" style="968" customWidth="1"/>
    <col min="11270" max="11270" width="5.42578125" style="968" customWidth="1"/>
    <col min="11271" max="11271" width="6" style="968" customWidth="1"/>
    <col min="11272" max="11272" width="13.5703125" style="968" customWidth="1"/>
    <col min="11273" max="11273" width="14.5703125" style="968" customWidth="1"/>
    <col min="11274" max="11274" width="13.28515625" style="968" customWidth="1"/>
    <col min="11275" max="11275" width="11.140625" style="968" customWidth="1"/>
    <col min="11276" max="11276" width="13.42578125" style="968" customWidth="1"/>
    <col min="11277" max="11277" width="12.28515625" style="968" customWidth="1"/>
    <col min="11278" max="11278" width="11.28515625" style="968" customWidth="1"/>
    <col min="11279" max="11279" width="11.7109375" style="968" customWidth="1"/>
    <col min="11280" max="11280" width="11.5703125" style="968" customWidth="1"/>
    <col min="11281" max="11281" width="14.5703125" style="968" customWidth="1"/>
    <col min="11282" max="11282" width="13.7109375" style="968" customWidth="1"/>
    <col min="11283" max="11283" width="12.140625" style="968" customWidth="1"/>
    <col min="11284" max="11285" width="13.28515625" style="968" customWidth="1"/>
    <col min="11286" max="11286" width="12.42578125" style="968" customWidth="1"/>
    <col min="11287" max="11287" width="13.85546875" style="968" customWidth="1"/>
    <col min="11288" max="11288" width="13" style="968" customWidth="1"/>
    <col min="11289" max="11520" width="9.140625" style="968"/>
    <col min="11521" max="11522" width="5.28515625" style="968" customWidth="1"/>
    <col min="11523" max="11523" width="39.5703125" style="968" customWidth="1"/>
    <col min="11524" max="11524" width="7.42578125" style="968" customWidth="1"/>
    <col min="11525" max="11525" width="7.5703125" style="968" customWidth="1"/>
    <col min="11526" max="11526" width="5.42578125" style="968" customWidth="1"/>
    <col min="11527" max="11527" width="6" style="968" customWidth="1"/>
    <col min="11528" max="11528" width="13.5703125" style="968" customWidth="1"/>
    <col min="11529" max="11529" width="14.5703125" style="968" customWidth="1"/>
    <col min="11530" max="11530" width="13.28515625" style="968" customWidth="1"/>
    <col min="11531" max="11531" width="11.140625" style="968" customWidth="1"/>
    <col min="11532" max="11532" width="13.42578125" style="968" customWidth="1"/>
    <col min="11533" max="11533" width="12.28515625" style="968" customWidth="1"/>
    <col min="11534" max="11534" width="11.28515625" style="968" customWidth="1"/>
    <col min="11535" max="11535" width="11.7109375" style="968" customWidth="1"/>
    <col min="11536" max="11536" width="11.5703125" style="968" customWidth="1"/>
    <col min="11537" max="11537" width="14.5703125" style="968" customWidth="1"/>
    <col min="11538" max="11538" width="13.7109375" style="968" customWidth="1"/>
    <col min="11539" max="11539" width="12.140625" style="968" customWidth="1"/>
    <col min="11540" max="11541" width="13.28515625" style="968" customWidth="1"/>
    <col min="11542" max="11542" width="12.42578125" style="968" customWidth="1"/>
    <col min="11543" max="11543" width="13.85546875" style="968" customWidth="1"/>
    <col min="11544" max="11544" width="13" style="968" customWidth="1"/>
    <col min="11545" max="11776" width="9.140625" style="968"/>
    <col min="11777" max="11778" width="5.28515625" style="968" customWidth="1"/>
    <col min="11779" max="11779" width="39.5703125" style="968" customWidth="1"/>
    <col min="11780" max="11780" width="7.42578125" style="968" customWidth="1"/>
    <col min="11781" max="11781" width="7.5703125" style="968" customWidth="1"/>
    <col min="11782" max="11782" width="5.42578125" style="968" customWidth="1"/>
    <col min="11783" max="11783" width="6" style="968" customWidth="1"/>
    <col min="11784" max="11784" width="13.5703125" style="968" customWidth="1"/>
    <col min="11785" max="11785" width="14.5703125" style="968" customWidth="1"/>
    <col min="11786" max="11786" width="13.28515625" style="968" customWidth="1"/>
    <col min="11787" max="11787" width="11.140625" style="968" customWidth="1"/>
    <col min="11788" max="11788" width="13.42578125" style="968" customWidth="1"/>
    <col min="11789" max="11789" width="12.28515625" style="968" customWidth="1"/>
    <col min="11790" max="11790" width="11.28515625" style="968" customWidth="1"/>
    <col min="11791" max="11791" width="11.7109375" style="968" customWidth="1"/>
    <col min="11792" max="11792" width="11.5703125" style="968" customWidth="1"/>
    <col min="11793" max="11793" width="14.5703125" style="968" customWidth="1"/>
    <col min="11794" max="11794" width="13.7109375" style="968" customWidth="1"/>
    <col min="11795" max="11795" width="12.140625" style="968" customWidth="1"/>
    <col min="11796" max="11797" width="13.28515625" style="968" customWidth="1"/>
    <col min="11798" max="11798" width="12.42578125" style="968" customWidth="1"/>
    <col min="11799" max="11799" width="13.85546875" style="968" customWidth="1"/>
    <col min="11800" max="11800" width="13" style="968" customWidth="1"/>
    <col min="11801" max="12032" width="9.140625" style="968"/>
    <col min="12033" max="12034" width="5.28515625" style="968" customWidth="1"/>
    <col min="12035" max="12035" width="39.5703125" style="968" customWidth="1"/>
    <col min="12036" max="12036" width="7.42578125" style="968" customWidth="1"/>
    <col min="12037" max="12037" width="7.5703125" style="968" customWidth="1"/>
    <col min="12038" max="12038" width="5.42578125" style="968" customWidth="1"/>
    <col min="12039" max="12039" width="6" style="968" customWidth="1"/>
    <col min="12040" max="12040" width="13.5703125" style="968" customWidth="1"/>
    <col min="12041" max="12041" width="14.5703125" style="968" customWidth="1"/>
    <col min="12042" max="12042" width="13.28515625" style="968" customWidth="1"/>
    <col min="12043" max="12043" width="11.140625" style="968" customWidth="1"/>
    <col min="12044" max="12044" width="13.42578125" style="968" customWidth="1"/>
    <col min="12045" max="12045" width="12.28515625" style="968" customWidth="1"/>
    <col min="12046" max="12046" width="11.28515625" style="968" customWidth="1"/>
    <col min="12047" max="12047" width="11.7109375" style="968" customWidth="1"/>
    <col min="12048" max="12048" width="11.5703125" style="968" customWidth="1"/>
    <col min="12049" max="12049" width="14.5703125" style="968" customWidth="1"/>
    <col min="12050" max="12050" width="13.7109375" style="968" customWidth="1"/>
    <col min="12051" max="12051" width="12.140625" style="968" customWidth="1"/>
    <col min="12052" max="12053" width="13.28515625" style="968" customWidth="1"/>
    <col min="12054" max="12054" width="12.42578125" style="968" customWidth="1"/>
    <col min="12055" max="12055" width="13.85546875" style="968" customWidth="1"/>
    <col min="12056" max="12056" width="13" style="968" customWidth="1"/>
    <col min="12057" max="12288" width="9.140625" style="968"/>
    <col min="12289" max="12290" width="5.28515625" style="968" customWidth="1"/>
    <col min="12291" max="12291" width="39.5703125" style="968" customWidth="1"/>
    <col min="12292" max="12292" width="7.42578125" style="968" customWidth="1"/>
    <col min="12293" max="12293" width="7.5703125" style="968" customWidth="1"/>
    <col min="12294" max="12294" width="5.42578125" style="968" customWidth="1"/>
    <col min="12295" max="12295" width="6" style="968" customWidth="1"/>
    <col min="12296" max="12296" width="13.5703125" style="968" customWidth="1"/>
    <col min="12297" max="12297" width="14.5703125" style="968" customWidth="1"/>
    <col min="12298" max="12298" width="13.28515625" style="968" customWidth="1"/>
    <col min="12299" max="12299" width="11.140625" style="968" customWidth="1"/>
    <col min="12300" max="12300" width="13.42578125" style="968" customWidth="1"/>
    <col min="12301" max="12301" width="12.28515625" style="968" customWidth="1"/>
    <col min="12302" max="12302" width="11.28515625" style="968" customWidth="1"/>
    <col min="12303" max="12303" width="11.7109375" style="968" customWidth="1"/>
    <col min="12304" max="12304" width="11.5703125" style="968" customWidth="1"/>
    <col min="12305" max="12305" width="14.5703125" style="968" customWidth="1"/>
    <col min="12306" max="12306" width="13.7109375" style="968" customWidth="1"/>
    <col min="12307" max="12307" width="12.140625" style="968" customWidth="1"/>
    <col min="12308" max="12309" width="13.28515625" style="968" customWidth="1"/>
    <col min="12310" max="12310" width="12.42578125" style="968" customWidth="1"/>
    <col min="12311" max="12311" width="13.85546875" style="968" customWidth="1"/>
    <col min="12312" max="12312" width="13" style="968" customWidth="1"/>
    <col min="12313" max="12544" width="9.140625" style="968"/>
    <col min="12545" max="12546" width="5.28515625" style="968" customWidth="1"/>
    <col min="12547" max="12547" width="39.5703125" style="968" customWidth="1"/>
    <col min="12548" max="12548" width="7.42578125" style="968" customWidth="1"/>
    <col min="12549" max="12549" width="7.5703125" style="968" customWidth="1"/>
    <col min="12550" max="12550" width="5.42578125" style="968" customWidth="1"/>
    <col min="12551" max="12551" width="6" style="968" customWidth="1"/>
    <col min="12552" max="12552" width="13.5703125" style="968" customWidth="1"/>
    <col min="12553" max="12553" width="14.5703125" style="968" customWidth="1"/>
    <col min="12554" max="12554" width="13.28515625" style="968" customWidth="1"/>
    <col min="12555" max="12555" width="11.140625" style="968" customWidth="1"/>
    <col min="12556" max="12556" width="13.42578125" style="968" customWidth="1"/>
    <col min="12557" max="12557" width="12.28515625" style="968" customWidth="1"/>
    <col min="12558" max="12558" width="11.28515625" style="968" customWidth="1"/>
    <col min="12559" max="12559" width="11.7109375" style="968" customWidth="1"/>
    <col min="12560" max="12560" width="11.5703125" style="968" customWidth="1"/>
    <col min="12561" max="12561" width="14.5703125" style="968" customWidth="1"/>
    <col min="12562" max="12562" width="13.7109375" style="968" customWidth="1"/>
    <col min="12563" max="12563" width="12.140625" style="968" customWidth="1"/>
    <col min="12564" max="12565" width="13.28515625" style="968" customWidth="1"/>
    <col min="12566" max="12566" width="12.42578125" style="968" customWidth="1"/>
    <col min="12567" max="12567" width="13.85546875" style="968" customWidth="1"/>
    <col min="12568" max="12568" width="13" style="968" customWidth="1"/>
    <col min="12569" max="12800" width="9.140625" style="968"/>
    <col min="12801" max="12802" width="5.28515625" style="968" customWidth="1"/>
    <col min="12803" max="12803" width="39.5703125" style="968" customWidth="1"/>
    <col min="12804" max="12804" width="7.42578125" style="968" customWidth="1"/>
    <col min="12805" max="12805" width="7.5703125" style="968" customWidth="1"/>
    <col min="12806" max="12806" width="5.42578125" style="968" customWidth="1"/>
    <col min="12807" max="12807" width="6" style="968" customWidth="1"/>
    <col min="12808" max="12808" width="13.5703125" style="968" customWidth="1"/>
    <col min="12809" max="12809" width="14.5703125" style="968" customWidth="1"/>
    <col min="12810" max="12810" width="13.28515625" style="968" customWidth="1"/>
    <col min="12811" max="12811" width="11.140625" style="968" customWidth="1"/>
    <col min="12812" max="12812" width="13.42578125" style="968" customWidth="1"/>
    <col min="12813" max="12813" width="12.28515625" style="968" customWidth="1"/>
    <col min="12814" max="12814" width="11.28515625" style="968" customWidth="1"/>
    <col min="12815" max="12815" width="11.7109375" style="968" customWidth="1"/>
    <col min="12816" max="12816" width="11.5703125" style="968" customWidth="1"/>
    <col min="12817" max="12817" width="14.5703125" style="968" customWidth="1"/>
    <col min="12818" max="12818" width="13.7109375" style="968" customWidth="1"/>
    <col min="12819" max="12819" width="12.140625" style="968" customWidth="1"/>
    <col min="12820" max="12821" width="13.28515625" style="968" customWidth="1"/>
    <col min="12822" max="12822" width="12.42578125" style="968" customWidth="1"/>
    <col min="12823" max="12823" width="13.85546875" style="968" customWidth="1"/>
    <col min="12824" max="12824" width="13" style="968" customWidth="1"/>
    <col min="12825" max="13056" width="9.140625" style="968"/>
    <col min="13057" max="13058" width="5.28515625" style="968" customWidth="1"/>
    <col min="13059" max="13059" width="39.5703125" style="968" customWidth="1"/>
    <col min="13060" max="13060" width="7.42578125" style="968" customWidth="1"/>
    <col min="13061" max="13061" width="7.5703125" style="968" customWidth="1"/>
    <col min="13062" max="13062" width="5.42578125" style="968" customWidth="1"/>
    <col min="13063" max="13063" width="6" style="968" customWidth="1"/>
    <col min="13064" max="13064" width="13.5703125" style="968" customWidth="1"/>
    <col min="13065" max="13065" width="14.5703125" style="968" customWidth="1"/>
    <col min="13066" max="13066" width="13.28515625" style="968" customWidth="1"/>
    <col min="13067" max="13067" width="11.140625" style="968" customWidth="1"/>
    <col min="13068" max="13068" width="13.42578125" style="968" customWidth="1"/>
    <col min="13069" max="13069" width="12.28515625" style="968" customWidth="1"/>
    <col min="13070" max="13070" width="11.28515625" style="968" customWidth="1"/>
    <col min="13071" max="13071" width="11.7109375" style="968" customWidth="1"/>
    <col min="13072" max="13072" width="11.5703125" style="968" customWidth="1"/>
    <col min="13073" max="13073" width="14.5703125" style="968" customWidth="1"/>
    <col min="13074" max="13074" width="13.7109375" style="968" customWidth="1"/>
    <col min="13075" max="13075" width="12.140625" style="968" customWidth="1"/>
    <col min="13076" max="13077" width="13.28515625" style="968" customWidth="1"/>
    <col min="13078" max="13078" width="12.42578125" style="968" customWidth="1"/>
    <col min="13079" max="13079" width="13.85546875" style="968" customWidth="1"/>
    <col min="13080" max="13080" width="13" style="968" customWidth="1"/>
    <col min="13081" max="13312" width="9.140625" style="968"/>
    <col min="13313" max="13314" width="5.28515625" style="968" customWidth="1"/>
    <col min="13315" max="13315" width="39.5703125" style="968" customWidth="1"/>
    <col min="13316" max="13316" width="7.42578125" style="968" customWidth="1"/>
    <col min="13317" max="13317" width="7.5703125" style="968" customWidth="1"/>
    <col min="13318" max="13318" width="5.42578125" style="968" customWidth="1"/>
    <col min="13319" max="13319" width="6" style="968" customWidth="1"/>
    <col min="13320" max="13320" width="13.5703125" style="968" customWidth="1"/>
    <col min="13321" max="13321" width="14.5703125" style="968" customWidth="1"/>
    <col min="13322" max="13322" width="13.28515625" style="968" customWidth="1"/>
    <col min="13323" max="13323" width="11.140625" style="968" customWidth="1"/>
    <col min="13324" max="13324" width="13.42578125" style="968" customWidth="1"/>
    <col min="13325" max="13325" width="12.28515625" style="968" customWidth="1"/>
    <col min="13326" max="13326" width="11.28515625" style="968" customWidth="1"/>
    <col min="13327" max="13327" width="11.7109375" style="968" customWidth="1"/>
    <col min="13328" max="13328" width="11.5703125" style="968" customWidth="1"/>
    <col min="13329" max="13329" width="14.5703125" style="968" customWidth="1"/>
    <col min="13330" max="13330" width="13.7109375" style="968" customWidth="1"/>
    <col min="13331" max="13331" width="12.140625" style="968" customWidth="1"/>
    <col min="13332" max="13333" width="13.28515625" style="968" customWidth="1"/>
    <col min="13334" max="13334" width="12.42578125" style="968" customWidth="1"/>
    <col min="13335" max="13335" width="13.85546875" style="968" customWidth="1"/>
    <col min="13336" max="13336" width="13" style="968" customWidth="1"/>
    <col min="13337" max="13568" width="9.140625" style="968"/>
    <col min="13569" max="13570" width="5.28515625" style="968" customWidth="1"/>
    <col min="13571" max="13571" width="39.5703125" style="968" customWidth="1"/>
    <col min="13572" max="13572" width="7.42578125" style="968" customWidth="1"/>
    <col min="13573" max="13573" width="7.5703125" style="968" customWidth="1"/>
    <col min="13574" max="13574" width="5.42578125" style="968" customWidth="1"/>
    <col min="13575" max="13575" width="6" style="968" customWidth="1"/>
    <col min="13576" max="13576" width="13.5703125" style="968" customWidth="1"/>
    <col min="13577" max="13577" width="14.5703125" style="968" customWidth="1"/>
    <col min="13578" max="13578" width="13.28515625" style="968" customWidth="1"/>
    <col min="13579" max="13579" width="11.140625" style="968" customWidth="1"/>
    <col min="13580" max="13580" width="13.42578125" style="968" customWidth="1"/>
    <col min="13581" max="13581" width="12.28515625" style="968" customWidth="1"/>
    <col min="13582" max="13582" width="11.28515625" style="968" customWidth="1"/>
    <col min="13583" max="13583" width="11.7109375" style="968" customWidth="1"/>
    <col min="13584" max="13584" width="11.5703125" style="968" customWidth="1"/>
    <col min="13585" max="13585" width="14.5703125" style="968" customWidth="1"/>
    <col min="13586" max="13586" width="13.7109375" style="968" customWidth="1"/>
    <col min="13587" max="13587" width="12.140625" style="968" customWidth="1"/>
    <col min="13588" max="13589" width="13.28515625" style="968" customWidth="1"/>
    <col min="13590" max="13590" width="12.42578125" style="968" customWidth="1"/>
    <col min="13591" max="13591" width="13.85546875" style="968" customWidth="1"/>
    <col min="13592" max="13592" width="13" style="968" customWidth="1"/>
    <col min="13593" max="13824" width="9.140625" style="968"/>
    <col min="13825" max="13826" width="5.28515625" style="968" customWidth="1"/>
    <col min="13827" max="13827" width="39.5703125" style="968" customWidth="1"/>
    <col min="13828" max="13828" width="7.42578125" style="968" customWidth="1"/>
    <col min="13829" max="13829" width="7.5703125" style="968" customWidth="1"/>
    <col min="13830" max="13830" width="5.42578125" style="968" customWidth="1"/>
    <col min="13831" max="13831" width="6" style="968" customWidth="1"/>
    <col min="13832" max="13832" width="13.5703125" style="968" customWidth="1"/>
    <col min="13833" max="13833" width="14.5703125" style="968" customWidth="1"/>
    <col min="13834" max="13834" width="13.28515625" style="968" customWidth="1"/>
    <col min="13835" max="13835" width="11.140625" style="968" customWidth="1"/>
    <col min="13836" max="13836" width="13.42578125" style="968" customWidth="1"/>
    <col min="13837" max="13837" width="12.28515625" style="968" customWidth="1"/>
    <col min="13838" max="13838" width="11.28515625" style="968" customWidth="1"/>
    <col min="13839" max="13839" width="11.7109375" style="968" customWidth="1"/>
    <col min="13840" max="13840" width="11.5703125" style="968" customWidth="1"/>
    <col min="13841" max="13841" width="14.5703125" style="968" customWidth="1"/>
    <col min="13842" max="13842" width="13.7109375" style="968" customWidth="1"/>
    <col min="13843" max="13843" width="12.140625" style="968" customWidth="1"/>
    <col min="13844" max="13845" width="13.28515625" style="968" customWidth="1"/>
    <col min="13846" max="13846" width="12.42578125" style="968" customWidth="1"/>
    <col min="13847" max="13847" width="13.85546875" style="968" customWidth="1"/>
    <col min="13848" max="13848" width="13" style="968" customWidth="1"/>
    <col min="13849" max="14080" width="9.140625" style="968"/>
    <col min="14081" max="14082" width="5.28515625" style="968" customWidth="1"/>
    <col min="14083" max="14083" width="39.5703125" style="968" customWidth="1"/>
    <col min="14084" max="14084" width="7.42578125" style="968" customWidth="1"/>
    <col min="14085" max="14085" width="7.5703125" style="968" customWidth="1"/>
    <col min="14086" max="14086" width="5.42578125" style="968" customWidth="1"/>
    <col min="14087" max="14087" width="6" style="968" customWidth="1"/>
    <col min="14088" max="14088" width="13.5703125" style="968" customWidth="1"/>
    <col min="14089" max="14089" width="14.5703125" style="968" customWidth="1"/>
    <col min="14090" max="14090" width="13.28515625" style="968" customWidth="1"/>
    <col min="14091" max="14091" width="11.140625" style="968" customWidth="1"/>
    <col min="14092" max="14092" width="13.42578125" style="968" customWidth="1"/>
    <col min="14093" max="14093" width="12.28515625" style="968" customWidth="1"/>
    <col min="14094" max="14094" width="11.28515625" style="968" customWidth="1"/>
    <col min="14095" max="14095" width="11.7109375" style="968" customWidth="1"/>
    <col min="14096" max="14096" width="11.5703125" style="968" customWidth="1"/>
    <col min="14097" max="14097" width="14.5703125" style="968" customWidth="1"/>
    <col min="14098" max="14098" width="13.7109375" style="968" customWidth="1"/>
    <col min="14099" max="14099" width="12.140625" style="968" customWidth="1"/>
    <col min="14100" max="14101" width="13.28515625" style="968" customWidth="1"/>
    <col min="14102" max="14102" width="12.42578125" style="968" customWidth="1"/>
    <col min="14103" max="14103" width="13.85546875" style="968" customWidth="1"/>
    <col min="14104" max="14104" width="13" style="968" customWidth="1"/>
    <col min="14105" max="14336" width="9.140625" style="968"/>
    <col min="14337" max="14338" width="5.28515625" style="968" customWidth="1"/>
    <col min="14339" max="14339" width="39.5703125" style="968" customWidth="1"/>
    <col min="14340" max="14340" width="7.42578125" style="968" customWidth="1"/>
    <col min="14341" max="14341" width="7.5703125" style="968" customWidth="1"/>
    <col min="14342" max="14342" width="5.42578125" style="968" customWidth="1"/>
    <col min="14343" max="14343" width="6" style="968" customWidth="1"/>
    <col min="14344" max="14344" width="13.5703125" style="968" customWidth="1"/>
    <col min="14345" max="14345" width="14.5703125" style="968" customWidth="1"/>
    <col min="14346" max="14346" width="13.28515625" style="968" customWidth="1"/>
    <col min="14347" max="14347" width="11.140625" style="968" customWidth="1"/>
    <col min="14348" max="14348" width="13.42578125" style="968" customWidth="1"/>
    <col min="14349" max="14349" width="12.28515625" style="968" customWidth="1"/>
    <col min="14350" max="14350" width="11.28515625" style="968" customWidth="1"/>
    <col min="14351" max="14351" width="11.7109375" style="968" customWidth="1"/>
    <col min="14352" max="14352" width="11.5703125" style="968" customWidth="1"/>
    <col min="14353" max="14353" width="14.5703125" style="968" customWidth="1"/>
    <col min="14354" max="14354" width="13.7109375" style="968" customWidth="1"/>
    <col min="14355" max="14355" width="12.140625" style="968" customWidth="1"/>
    <col min="14356" max="14357" width="13.28515625" style="968" customWidth="1"/>
    <col min="14358" max="14358" width="12.42578125" style="968" customWidth="1"/>
    <col min="14359" max="14359" width="13.85546875" style="968" customWidth="1"/>
    <col min="14360" max="14360" width="13" style="968" customWidth="1"/>
    <col min="14361" max="14592" width="9.140625" style="968"/>
    <col min="14593" max="14594" width="5.28515625" style="968" customWidth="1"/>
    <col min="14595" max="14595" width="39.5703125" style="968" customWidth="1"/>
    <col min="14596" max="14596" width="7.42578125" style="968" customWidth="1"/>
    <col min="14597" max="14597" width="7.5703125" style="968" customWidth="1"/>
    <col min="14598" max="14598" width="5.42578125" style="968" customWidth="1"/>
    <col min="14599" max="14599" width="6" style="968" customWidth="1"/>
    <col min="14600" max="14600" width="13.5703125" style="968" customWidth="1"/>
    <col min="14601" max="14601" width="14.5703125" style="968" customWidth="1"/>
    <col min="14602" max="14602" width="13.28515625" style="968" customWidth="1"/>
    <col min="14603" max="14603" width="11.140625" style="968" customWidth="1"/>
    <col min="14604" max="14604" width="13.42578125" style="968" customWidth="1"/>
    <col min="14605" max="14605" width="12.28515625" style="968" customWidth="1"/>
    <col min="14606" max="14606" width="11.28515625" style="968" customWidth="1"/>
    <col min="14607" max="14607" width="11.7109375" style="968" customWidth="1"/>
    <col min="14608" max="14608" width="11.5703125" style="968" customWidth="1"/>
    <col min="14609" max="14609" width="14.5703125" style="968" customWidth="1"/>
    <col min="14610" max="14610" width="13.7109375" style="968" customWidth="1"/>
    <col min="14611" max="14611" width="12.140625" style="968" customWidth="1"/>
    <col min="14612" max="14613" width="13.28515625" style="968" customWidth="1"/>
    <col min="14614" max="14614" width="12.42578125" style="968" customWidth="1"/>
    <col min="14615" max="14615" width="13.85546875" style="968" customWidth="1"/>
    <col min="14616" max="14616" width="13" style="968" customWidth="1"/>
    <col min="14617" max="14848" width="9.140625" style="968"/>
    <col min="14849" max="14850" width="5.28515625" style="968" customWidth="1"/>
    <col min="14851" max="14851" width="39.5703125" style="968" customWidth="1"/>
    <col min="14852" max="14852" width="7.42578125" style="968" customWidth="1"/>
    <col min="14853" max="14853" width="7.5703125" style="968" customWidth="1"/>
    <col min="14854" max="14854" width="5.42578125" style="968" customWidth="1"/>
    <col min="14855" max="14855" width="6" style="968" customWidth="1"/>
    <col min="14856" max="14856" width="13.5703125" style="968" customWidth="1"/>
    <col min="14857" max="14857" width="14.5703125" style="968" customWidth="1"/>
    <col min="14858" max="14858" width="13.28515625" style="968" customWidth="1"/>
    <col min="14859" max="14859" width="11.140625" style="968" customWidth="1"/>
    <col min="14860" max="14860" width="13.42578125" style="968" customWidth="1"/>
    <col min="14861" max="14861" width="12.28515625" style="968" customWidth="1"/>
    <col min="14862" max="14862" width="11.28515625" style="968" customWidth="1"/>
    <col min="14863" max="14863" width="11.7109375" style="968" customWidth="1"/>
    <col min="14864" max="14864" width="11.5703125" style="968" customWidth="1"/>
    <col min="14865" max="14865" width="14.5703125" style="968" customWidth="1"/>
    <col min="14866" max="14866" width="13.7109375" style="968" customWidth="1"/>
    <col min="14867" max="14867" width="12.140625" style="968" customWidth="1"/>
    <col min="14868" max="14869" width="13.28515625" style="968" customWidth="1"/>
    <col min="14870" max="14870" width="12.42578125" style="968" customWidth="1"/>
    <col min="14871" max="14871" width="13.85546875" style="968" customWidth="1"/>
    <col min="14872" max="14872" width="13" style="968" customWidth="1"/>
    <col min="14873" max="15104" width="9.140625" style="968"/>
    <col min="15105" max="15106" width="5.28515625" style="968" customWidth="1"/>
    <col min="15107" max="15107" width="39.5703125" style="968" customWidth="1"/>
    <col min="15108" max="15108" width="7.42578125" style="968" customWidth="1"/>
    <col min="15109" max="15109" width="7.5703125" style="968" customWidth="1"/>
    <col min="15110" max="15110" width="5.42578125" style="968" customWidth="1"/>
    <col min="15111" max="15111" width="6" style="968" customWidth="1"/>
    <col min="15112" max="15112" width="13.5703125" style="968" customWidth="1"/>
    <col min="15113" max="15113" width="14.5703125" style="968" customWidth="1"/>
    <col min="15114" max="15114" width="13.28515625" style="968" customWidth="1"/>
    <col min="15115" max="15115" width="11.140625" style="968" customWidth="1"/>
    <col min="15116" max="15116" width="13.42578125" style="968" customWidth="1"/>
    <col min="15117" max="15117" width="12.28515625" style="968" customWidth="1"/>
    <col min="15118" max="15118" width="11.28515625" style="968" customWidth="1"/>
    <col min="15119" max="15119" width="11.7109375" style="968" customWidth="1"/>
    <col min="15120" max="15120" width="11.5703125" style="968" customWidth="1"/>
    <col min="15121" max="15121" width="14.5703125" style="968" customWidth="1"/>
    <col min="15122" max="15122" width="13.7109375" style="968" customWidth="1"/>
    <col min="15123" max="15123" width="12.140625" style="968" customWidth="1"/>
    <col min="15124" max="15125" width="13.28515625" style="968" customWidth="1"/>
    <col min="15126" max="15126" width="12.42578125" style="968" customWidth="1"/>
    <col min="15127" max="15127" width="13.85546875" style="968" customWidth="1"/>
    <col min="15128" max="15128" width="13" style="968" customWidth="1"/>
    <col min="15129" max="15360" width="9.140625" style="968"/>
    <col min="15361" max="15362" width="5.28515625" style="968" customWidth="1"/>
    <col min="15363" max="15363" width="39.5703125" style="968" customWidth="1"/>
    <col min="15364" max="15364" width="7.42578125" style="968" customWidth="1"/>
    <col min="15365" max="15365" width="7.5703125" style="968" customWidth="1"/>
    <col min="15366" max="15366" width="5.42578125" style="968" customWidth="1"/>
    <col min="15367" max="15367" width="6" style="968" customWidth="1"/>
    <col min="15368" max="15368" width="13.5703125" style="968" customWidth="1"/>
    <col min="15369" max="15369" width="14.5703125" style="968" customWidth="1"/>
    <col min="15370" max="15370" width="13.28515625" style="968" customWidth="1"/>
    <col min="15371" max="15371" width="11.140625" style="968" customWidth="1"/>
    <col min="15372" max="15372" width="13.42578125" style="968" customWidth="1"/>
    <col min="15373" max="15373" width="12.28515625" style="968" customWidth="1"/>
    <col min="15374" max="15374" width="11.28515625" style="968" customWidth="1"/>
    <col min="15375" max="15375" width="11.7109375" style="968" customWidth="1"/>
    <col min="15376" max="15376" width="11.5703125" style="968" customWidth="1"/>
    <col min="15377" max="15377" width="14.5703125" style="968" customWidth="1"/>
    <col min="15378" max="15378" width="13.7109375" style="968" customWidth="1"/>
    <col min="15379" max="15379" width="12.140625" style="968" customWidth="1"/>
    <col min="15380" max="15381" width="13.28515625" style="968" customWidth="1"/>
    <col min="15382" max="15382" width="12.42578125" style="968" customWidth="1"/>
    <col min="15383" max="15383" width="13.85546875" style="968" customWidth="1"/>
    <col min="15384" max="15384" width="13" style="968" customWidth="1"/>
    <col min="15385" max="15616" width="9.140625" style="968"/>
    <col min="15617" max="15618" width="5.28515625" style="968" customWidth="1"/>
    <col min="15619" max="15619" width="39.5703125" style="968" customWidth="1"/>
    <col min="15620" max="15620" width="7.42578125" style="968" customWidth="1"/>
    <col min="15621" max="15621" width="7.5703125" style="968" customWidth="1"/>
    <col min="15622" max="15622" width="5.42578125" style="968" customWidth="1"/>
    <col min="15623" max="15623" width="6" style="968" customWidth="1"/>
    <col min="15624" max="15624" width="13.5703125" style="968" customWidth="1"/>
    <col min="15625" max="15625" width="14.5703125" style="968" customWidth="1"/>
    <col min="15626" max="15626" width="13.28515625" style="968" customWidth="1"/>
    <col min="15627" max="15627" width="11.140625" style="968" customWidth="1"/>
    <col min="15628" max="15628" width="13.42578125" style="968" customWidth="1"/>
    <col min="15629" max="15629" width="12.28515625" style="968" customWidth="1"/>
    <col min="15630" max="15630" width="11.28515625" style="968" customWidth="1"/>
    <col min="15631" max="15631" width="11.7109375" style="968" customWidth="1"/>
    <col min="15632" max="15632" width="11.5703125" style="968" customWidth="1"/>
    <col min="15633" max="15633" width="14.5703125" style="968" customWidth="1"/>
    <col min="15634" max="15634" width="13.7109375" style="968" customWidth="1"/>
    <col min="15635" max="15635" width="12.140625" style="968" customWidth="1"/>
    <col min="15636" max="15637" width="13.28515625" style="968" customWidth="1"/>
    <col min="15638" max="15638" width="12.42578125" style="968" customWidth="1"/>
    <col min="15639" max="15639" width="13.85546875" style="968" customWidth="1"/>
    <col min="15640" max="15640" width="13" style="968" customWidth="1"/>
    <col min="15641" max="15872" width="9.140625" style="968"/>
    <col min="15873" max="15874" width="5.28515625" style="968" customWidth="1"/>
    <col min="15875" max="15875" width="39.5703125" style="968" customWidth="1"/>
    <col min="15876" max="15876" width="7.42578125" style="968" customWidth="1"/>
    <col min="15877" max="15877" width="7.5703125" style="968" customWidth="1"/>
    <col min="15878" max="15878" width="5.42578125" style="968" customWidth="1"/>
    <col min="15879" max="15879" width="6" style="968" customWidth="1"/>
    <col min="15880" max="15880" width="13.5703125" style="968" customWidth="1"/>
    <col min="15881" max="15881" width="14.5703125" style="968" customWidth="1"/>
    <col min="15882" max="15882" width="13.28515625" style="968" customWidth="1"/>
    <col min="15883" max="15883" width="11.140625" style="968" customWidth="1"/>
    <col min="15884" max="15884" width="13.42578125" style="968" customWidth="1"/>
    <col min="15885" max="15885" width="12.28515625" style="968" customWidth="1"/>
    <col min="15886" max="15886" width="11.28515625" style="968" customWidth="1"/>
    <col min="15887" max="15887" width="11.7109375" style="968" customWidth="1"/>
    <col min="15888" max="15888" width="11.5703125" style="968" customWidth="1"/>
    <col min="15889" max="15889" width="14.5703125" style="968" customWidth="1"/>
    <col min="15890" max="15890" width="13.7109375" style="968" customWidth="1"/>
    <col min="15891" max="15891" width="12.140625" style="968" customWidth="1"/>
    <col min="15892" max="15893" width="13.28515625" style="968" customWidth="1"/>
    <col min="15894" max="15894" width="12.42578125" style="968" customWidth="1"/>
    <col min="15895" max="15895" width="13.85546875" style="968" customWidth="1"/>
    <col min="15896" max="15896" width="13" style="968" customWidth="1"/>
    <col min="15897" max="16128" width="9.140625" style="968"/>
    <col min="16129" max="16130" width="5.28515625" style="968" customWidth="1"/>
    <col min="16131" max="16131" width="39.5703125" style="968" customWidth="1"/>
    <col min="16132" max="16132" width="7.42578125" style="968" customWidth="1"/>
    <col min="16133" max="16133" width="7.5703125" style="968" customWidth="1"/>
    <col min="16134" max="16134" width="5.42578125" style="968" customWidth="1"/>
    <col min="16135" max="16135" width="6" style="968" customWidth="1"/>
    <col min="16136" max="16136" width="13.5703125" style="968" customWidth="1"/>
    <col min="16137" max="16137" width="14.5703125" style="968" customWidth="1"/>
    <col min="16138" max="16138" width="13.28515625" style="968" customWidth="1"/>
    <col min="16139" max="16139" width="11.140625" style="968" customWidth="1"/>
    <col min="16140" max="16140" width="13.42578125" style="968" customWidth="1"/>
    <col min="16141" max="16141" width="12.28515625" style="968" customWidth="1"/>
    <col min="16142" max="16142" width="11.28515625" style="968" customWidth="1"/>
    <col min="16143" max="16143" width="11.7109375" style="968" customWidth="1"/>
    <col min="16144" max="16144" width="11.5703125" style="968" customWidth="1"/>
    <col min="16145" max="16145" width="14.5703125" style="968" customWidth="1"/>
    <col min="16146" max="16146" width="13.7109375" style="968" customWidth="1"/>
    <col min="16147" max="16147" width="12.140625" style="968" customWidth="1"/>
    <col min="16148" max="16149" width="13.28515625" style="968" customWidth="1"/>
    <col min="16150" max="16150" width="12.42578125" style="968" customWidth="1"/>
    <col min="16151" max="16151" width="13.85546875" style="968" customWidth="1"/>
    <col min="16152" max="16152" width="13" style="968" customWidth="1"/>
    <col min="16153" max="16384" width="9.140625" style="968"/>
  </cols>
  <sheetData>
    <row r="1" spans="1:24" ht="26.25" customHeight="1" x14ac:dyDescent="0.25">
      <c r="A1" s="2010" t="s">
        <v>2549</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4" ht="15" customHeight="1" x14ac:dyDescent="0.25">
      <c r="A2" s="970"/>
      <c r="B2" s="970"/>
      <c r="C2" s="970"/>
      <c r="D2" s="970"/>
      <c r="E2" s="970"/>
      <c r="F2" s="970"/>
      <c r="G2" s="970"/>
      <c r="H2" s="970"/>
      <c r="I2" s="970"/>
      <c r="J2" s="970"/>
      <c r="K2" s="970"/>
      <c r="L2" s="970"/>
      <c r="M2" s="970"/>
      <c r="N2" s="970"/>
      <c r="O2" s="970"/>
      <c r="P2" s="970"/>
      <c r="Q2" s="970"/>
      <c r="R2" s="970"/>
      <c r="S2" s="970"/>
      <c r="T2" s="970"/>
      <c r="U2" s="970"/>
      <c r="V2" s="970"/>
      <c r="W2" s="970"/>
      <c r="X2" s="970"/>
    </row>
    <row r="3" spans="1:24" ht="26.25" customHeight="1" x14ac:dyDescent="0.25">
      <c r="A3" s="2055" t="s">
        <v>87</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24" x14ac:dyDescent="0.25">
      <c r="Q4" s="972"/>
    </row>
    <row r="5" spans="1:24" ht="15" customHeight="1" x14ac:dyDescent="0.25">
      <c r="A5" s="2052" t="s">
        <v>37</v>
      </c>
      <c r="B5" s="1773" t="s">
        <v>1640</v>
      </c>
      <c r="C5" s="2051" t="s">
        <v>2</v>
      </c>
      <c r="D5" s="2077" t="s">
        <v>1641</v>
      </c>
      <c r="E5" s="2077" t="s">
        <v>116</v>
      </c>
      <c r="F5" s="2077" t="s">
        <v>1642</v>
      </c>
      <c r="G5" s="2077" t="s">
        <v>1643</v>
      </c>
      <c r="H5" s="2066" t="s">
        <v>1644</v>
      </c>
      <c r="I5" s="2079"/>
      <c r="J5" s="2079"/>
      <c r="K5" s="2079"/>
      <c r="L5" s="2079"/>
      <c r="M5" s="2079"/>
      <c r="N5" s="2079"/>
      <c r="O5" s="2079"/>
      <c r="P5" s="1433"/>
      <c r="Q5" s="2083" t="s">
        <v>1645</v>
      </c>
      <c r="R5" s="2079"/>
      <c r="S5" s="2079"/>
      <c r="T5" s="2079"/>
      <c r="U5" s="2079"/>
      <c r="V5" s="2079"/>
      <c r="W5" s="2079"/>
      <c r="X5" s="2080"/>
    </row>
    <row r="6" spans="1:24" ht="87" customHeight="1" x14ac:dyDescent="0.25">
      <c r="A6" s="2082"/>
      <c r="B6" s="1774"/>
      <c r="C6" s="2081"/>
      <c r="D6" s="2078"/>
      <c r="E6" s="2078"/>
      <c r="F6" s="2078"/>
      <c r="G6" s="2078"/>
      <c r="H6" s="941" t="s">
        <v>1702</v>
      </c>
      <c r="I6" s="941" t="s">
        <v>1703</v>
      </c>
      <c r="J6" s="941" t="s">
        <v>1704</v>
      </c>
      <c r="K6" s="941" t="s">
        <v>1705</v>
      </c>
      <c r="L6" s="941" t="s">
        <v>1706</v>
      </c>
      <c r="M6" s="941" t="s">
        <v>1672</v>
      </c>
      <c r="N6" s="941" t="s">
        <v>1673</v>
      </c>
      <c r="O6" s="941" t="s">
        <v>1653</v>
      </c>
      <c r="P6" s="944" t="s">
        <v>1654</v>
      </c>
      <c r="Q6" s="943" t="s">
        <v>1655</v>
      </c>
      <c r="R6" s="941" t="s">
        <v>1656</v>
      </c>
      <c r="S6" s="941" t="s">
        <v>1685</v>
      </c>
      <c r="T6" s="941" t="s">
        <v>1676</v>
      </c>
      <c r="U6" s="941" t="s">
        <v>1659</v>
      </c>
      <c r="V6" s="941" t="s">
        <v>1660</v>
      </c>
      <c r="W6" s="941" t="s">
        <v>1661</v>
      </c>
      <c r="X6" s="944" t="s">
        <v>1707</v>
      </c>
    </row>
    <row r="7" spans="1:24" ht="19.5" customHeight="1" x14ac:dyDescent="0.25">
      <c r="A7" s="2056" t="s">
        <v>194</v>
      </c>
      <c r="B7" s="2058" t="s">
        <v>200</v>
      </c>
      <c r="C7" s="2060" t="s">
        <v>1751</v>
      </c>
      <c r="D7" s="974" t="s">
        <v>1823</v>
      </c>
      <c r="E7" s="1011" t="s">
        <v>162</v>
      </c>
      <c r="F7" s="1011" t="s">
        <v>151</v>
      </c>
      <c r="G7" s="1011" t="s">
        <v>1752</v>
      </c>
      <c r="H7" s="1019"/>
      <c r="I7" s="1019"/>
      <c r="J7" s="1019"/>
      <c r="K7" s="1019"/>
      <c r="L7" s="1019"/>
      <c r="M7" s="1019"/>
      <c r="N7" s="1019"/>
      <c r="O7" s="1019"/>
      <c r="P7" s="1020"/>
      <c r="Q7" s="1320"/>
      <c r="R7" s="1019"/>
      <c r="S7" s="1019"/>
      <c r="T7" s="1019">
        <v>-49000</v>
      </c>
      <c r="U7" s="1019"/>
      <c r="V7" s="1019"/>
      <c r="W7" s="1019"/>
      <c r="X7" s="1020"/>
    </row>
    <row r="8" spans="1:24" ht="19.5" customHeight="1" x14ac:dyDescent="0.25">
      <c r="A8" s="2062"/>
      <c r="B8" s="2061"/>
      <c r="C8" s="2028"/>
      <c r="D8" s="978" t="s">
        <v>1823</v>
      </c>
      <c r="E8" s="1000" t="s">
        <v>162</v>
      </c>
      <c r="F8" s="1000" t="s">
        <v>90</v>
      </c>
      <c r="G8" s="1000" t="s">
        <v>1754</v>
      </c>
      <c r="H8" s="1001"/>
      <c r="I8" s="1001"/>
      <c r="J8" s="1001">
        <v>49000</v>
      </c>
      <c r="K8" s="1001"/>
      <c r="L8" s="1001"/>
      <c r="M8" s="1001"/>
      <c r="N8" s="1001"/>
      <c r="O8" s="1001"/>
      <c r="P8" s="1002"/>
      <c r="Q8" s="1321"/>
      <c r="R8" s="1001"/>
      <c r="S8" s="1001"/>
      <c r="T8" s="1001">
        <v>49000</v>
      </c>
      <c r="U8" s="1001"/>
      <c r="V8" s="1001"/>
      <c r="W8" s="1001"/>
      <c r="X8" s="1002"/>
    </row>
    <row r="9" spans="1:24" ht="19.5" customHeight="1" x14ac:dyDescent="0.25">
      <c r="A9" s="2062"/>
      <c r="B9" s="2061"/>
      <c r="C9" s="2028"/>
      <c r="D9" s="978" t="s">
        <v>1823</v>
      </c>
      <c r="E9" s="1000" t="s">
        <v>1297</v>
      </c>
      <c r="F9" s="1000" t="s">
        <v>127</v>
      </c>
      <c r="G9" s="1000" t="s">
        <v>1752</v>
      </c>
      <c r="H9" s="1001"/>
      <c r="I9" s="1001"/>
      <c r="J9" s="1001">
        <v>-49000</v>
      </c>
      <c r="K9" s="1001"/>
      <c r="L9" s="1001"/>
      <c r="M9" s="1001"/>
      <c r="N9" s="1001"/>
      <c r="O9" s="1001"/>
      <c r="P9" s="1002"/>
      <c r="Q9" s="1321"/>
      <c r="R9" s="1001"/>
      <c r="S9" s="1001"/>
      <c r="T9" s="1001"/>
      <c r="U9" s="1001"/>
      <c r="V9" s="1001"/>
      <c r="W9" s="1001"/>
      <c r="X9" s="1002"/>
    </row>
    <row r="10" spans="1:24" ht="28.5" customHeight="1" x14ac:dyDescent="0.25">
      <c r="A10" s="1432" t="s">
        <v>195</v>
      </c>
      <c r="B10" s="1431" t="s">
        <v>201</v>
      </c>
      <c r="C10" s="977" t="s">
        <v>1920</v>
      </c>
      <c r="D10" s="978" t="s">
        <v>1823</v>
      </c>
      <c r="E10" s="1000" t="s">
        <v>162</v>
      </c>
      <c r="F10" s="1000" t="s">
        <v>90</v>
      </c>
      <c r="G10" s="1000" t="s">
        <v>1754</v>
      </c>
      <c r="H10" s="1001"/>
      <c r="I10" s="1001"/>
      <c r="J10" s="1001">
        <f>984499+265815</f>
        <v>1250314</v>
      </c>
      <c r="K10" s="1001"/>
      <c r="L10" s="1001"/>
      <c r="M10" s="1001"/>
      <c r="N10" s="1001"/>
      <c r="O10" s="1001"/>
      <c r="P10" s="1002"/>
      <c r="Q10" s="1321"/>
      <c r="R10" s="1001"/>
      <c r="S10" s="1001"/>
      <c r="T10" s="1001">
        <v>1250314</v>
      </c>
      <c r="U10" s="1001"/>
      <c r="V10" s="1001"/>
      <c r="W10" s="1001"/>
      <c r="X10" s="1002"/>
    </row>
    <row r="11" spans="1:24" ht="27" customHeight="1" x14ac:dyDescent="0.25">
      <c r="A11" s="1432" t="s">
        <v>196</v>
      </c>
      <c r="B11" s="1431" t="s">
        <v>202</v>
      </c>
      <c r="C11" s="977" t="s">
        <v>1870</v>
      </c>
      <c r="D11" s="978" t="s">
        <v>1823</v>
      </c>
      <c r="E11" s="1000" t="s">
        <v>162</v>
      </c>
      <c r="F11" s="1000" t="s">
        <v>90</v>
      </c>
      <c r="G11" s="1000" t="s">
        <v>1766</v>
      </c>
      <c r="H11" s="1001"/>
      <c r="I11" s="1001"/>
      <c r="J11" s="1001">
        <v>-360000</v>
      </c>
      <c r="K11" s="1001"/>
      <c r="L11" s="1001"/>
      <c r="M11" s="1001">
        <v>360000</v>
      </c>
      <c r="N11" s="1001"/>
      <c r="O11" s="1001"/>
      <c r="P11" s="1002"/>
      <c r="Q11" s="1321"/>
      <c r="R11" s="1001"/>
      <c r="S11" s="1001"/>
      <c r="T11" s="1001"/>
      <c r="U11" s="1001"/>
      <c r="V11" s="1001"/>
      <c r="W11" s="1001"/>
      <c r="X11" s="1002"/>
    </row>
    <row r="12" spans="1:24" ht="27.75" customHeight="1" x14ac:dyDescent="0.25">
      <c r="A12" s="2062" t="s">
        <v>197</v>
      </c>
      <c r="B12" s="2061" t="s">
        <v>203</v>
      </c>
      <c r="C12" s="2028" t="s">
        <v>2539</v>
      </c>
      <c r="D12" s="978" t="s">
        <v>1823</v>
      </c>
      <c r="E12" s="1000" t="s">
        <v>1297</v>
      </c>
      <c r="F12" s="1000" t="s">
        <v>127</v>
      </c>
      <c r="G12" s="1000" t="s">
        <v>1754</v>
      </c>
      <c r="H12" s="1001"/>
      <c r="I12" s="1001"/>
      <c r="J12" s="1001"/>
      <c r="K12" s="1001"/>
      <c r="L12" s="1001"/>
      <c r="M12" s="1001"/>
      <c r="N12" s="1001"/>
      <c r="O12" s="1001"/>
      <c r="P12" s="1002"/>
      <c r="Q12" s="1321"/>
      <c r="R12" s="1001"/>
      <c r="S12" s="1001"/>
      <c r="T12" s="1001"/>
      <c r="U12" s="1001"/>
      <c r="V12" s="1001"/>
      <c r="W12" s="1001"/>
      <c r="X12" s="1002">
        <v>250000</v>
      </c>
    </row>
    <row r="13" spans="1:24" ht="27" customHeight="1" x14ac:dyDescent="0.25">
      <c r="A13" s="2062"/>
      <c r="B13" s="2061"/>
      <c r="C13" s="2028"/>
      <c r="D13" s="978" t="s">
        <v>1823</v>
      </c>
      <c r="E13" s="1000" t="s">
        <v>162</v>
      </c>
      <c r="F13" s="1000" t="s">
        <v>132</v>
      </c>
      <c r="G13" s="1000" t="s">
        <v>1754</v>
      </c>
      <c r="H13" s="1001"/>
      <c r="I13" s="1001"/>
      <c r="J13" s="1001">
        <f>196850+53150</f>
        <v>250000</v>
      </c>
      <c r="K13" s="1001"/>
      <c r="L13" s="1001"/>
      <c r="M13" s="1001"/>
      <c r="N13" s="1001"/>
      <c r="O13" s="1001"/>
      <c r="P13" s="1002"/>
      <c r="Q13" s="1321"/>
      <c r="R13" s="1001"/>
      <c r="S13" s="1001"/>
      <c r="T13" s="1001"/>
      <c r="U13" s="1001"/>
      <c r="V13" s="1001"/>
      <c r="W13" s="1001"/>
      <c r="X13" s="1002"/>
    </row>
    <row r="14" spans="1:24" ht="16.5" customHeight="1" x14ac:dyDescent="0.25">
      <c r="A14" s="2062" t="s">
        <v>198</v>
      </c>
      <c r="B14" s="2061" t="s">
        <v>204</v>
      </c>
      <c r="C14" s="2028" t="s">
        <v>2040</v>
      </c>
      <c r="D14" s="978" t="s">
        <v>1823</v>
      </c>
      <c r="E14" s="1000" t="s">
        <v>1297</v>
      </c>
      <c r="F14" s="1000" t="s">
        <v>127</v>
      </c>
      <c r="G14" s="1000" t="s">
        <v>1754</v>
      </c>
      <c r="H14" s="1001"/>
      <c r="I14" s="1001"/>
      <c r="J14" s="1001"/>
      <c r="K14" s="1001"/>
      <c r="L14" s="1001"/>
      <c r="M14" s="1001"/>
      <c r="N14" s="1001"/>
      <c r="O14" s="1001"/>
      <c r="P14" s="1002"/>
      <c r="Q14" s="1321"/>
      <c r="R14" s="1001"/>
      <c r="S14" s="1001"/>
      <c r="T14" s="1001"/>
      <c r="U14" s="1001"/>
      <c r="V14" s="1001"/>
      <c r="W14" s="1001"/>
      <c r="X14" s="1002">
        <v>7320280</v>
      </c>
    </row>
    <row r="15" spans="1:24" ht="16.5" customHeight="1" x14ac:dyDescent="0.25">
      <c r="A15" s="2062"/>
      <c r="B15" s="2061"/>
      <c r="C15" s="2028"/>
      <c r="D15" s="978" t="s">
        <v>1823</v>
      </c>
      <c r="E15" s="1000" t="s">
        <v>162</v>
      </c>
      <c r="F15" s="1000" t="s">
        <v>90</v>
      </c>
      <c r="G15" s="1000" t="s">
        <v>1754</v>
      </c>
      <c r="H15" s="1001"/>
      <c r="I15" s="1001"/>
      <c r="J15" s="1001">
        <f>5500000+1485000</f>
        <v>6985000</v>
      </c>
      <c r="K15" s="1001"/>
      <c r="L15" s="1001"/>
      <c r="M15" s="1001"/>
      <c r="N15" s="1001"/>
      <c r="O15" s="1001"/>
      <c r="P15" s="1002"/>
      <c r="Q15" s="1321"/>
      <c r="R15" s="1001"/>
      <c r="S15" s="1001"/>
      <c r="T15" s="1001"/>
      <c r="U15" s="1001"/>
      <c r="V15" s="1001"/>
      <c r="W15" s="1001"/>
      <c r="X15" s="1002"/>
    </row>
    <row r="16" spans="1:24" ht="16.5" customHeight="1" x14ac:dyDescent="0.25">
      <c r="A16" s="2062"/>
      <c r="B16" s="2061"/>
      <c r="C16" s="2028"/>
      <c r="D16" s="978" t="s">
        <v>1823</v>
      </c>
      <c r="E16" s="1000" t="s">
        <v>162</v>
      </c>
      <c r="F16" s="1000" t="s">
        <v>131</v>
      </c>
      <c r="G16" s="1000" t="s">
        <v>1754</v>
      </c>
      <c r="H16" s="1001"/>
      <c r="I16" s="1001"/>
      <c r="J16" s="1001">
        <f>264000+71280</f>
        <v>335280</v>
      </c>
      <c r="K16" s="1001"/>
      <c r="L16" s="1001"/>
      <c r="M16" s="1001"/>
      <c r="N16" s="1001"/>
      <c r="O16" s="1001"/>
      <c r="P16" s="1002"/>
      <c r="Q16" s="1321"/>
      <c r="R16" s="1001"/>
      <c r="S16" s="1001"/>
      <c r="T16" s="1001"/>
      <c r="U16" s="1001"/>
      <c r="V16" s="1001"/>
      <c r="W16" s="1001"/>
      <c r="X16" s="1002"/>
    </row>
    <row r="17" spans="1:24" ht="18.75" customHeight="1" x14ac:dyDescent="0.25">
      <c r="A17" s="2062" t="s">
        <v>199</v>
      </c>
      <c r="B17" s="2061" t="s">
        <v>231</v>
      </c>
      <c r="C17" s="2028" t="s">
        <v>2078</v>
      </c>
      <c r="D17" s="978" t="s">
        <v>1823</v>
      </c>
      <c r="E17" s="1000" t="s">
        <v>1297</v>
      </c>
      <c r="F17" s="1000" t="s">
        <v>127</v>
      </c>
      <c r="G17" s="1000" t="s">
        <v>1754</v>
      </c>
      <c r="H17" s="1001"/>
      <c r="I17" s="1001"/>
      <c r="J17" s="1001"/>
      <c r="K17" s="1001"/>
      <c r="L17" s="1001"/>
      <c r="M17" s="1001"/>
      <c r="N17" s="1001"/>
      <c r="O17" s="1001"/>
      <c r="P17" s="1002"/>
      <c r="Q17" s="1321"/>
      <c r="R17" s="1001"/>
      <c r="S17" s="1001"/>
      <c r="T17" s="1001"/>
      <c r="U17" s="1001"/>
      <c r="V17" s="1001"/>
      <c r="W17" s="1001"/>
      <c r="X17" s="1002">
        <v>477520</v>
      </c>
    </row>
    <row r="18" spans="1:24" ht="18.75" customHeight="1" x14ac:dyDescent="0.25">
      <c r="A18" s="2062"/>
      <c r="B18" s="2061"/>
      <c r="C18" s="2028"/>
      <c r="D18" s="978" t="s">
        <v>1823</v>
      </c>
      <c r="E18" s="1000" t="s">
        <v>162</v>
      </c>
      <c r="F18" s="1000" t="s">
        <v>131</v>
      </c>
      <c r="G18" s="1000" t="s">
        <v>1754</v>
      </c>
      <c r="H18" s="1001"/>
      <c r="I18" s="1001"/>
      <c r="J18" s="1001">
        <f>376000+101520</f>
        <v>477520</v>
      </c>
      <c r="K18" s="1001"/>
      <c r="L18" s="1001"/>
      <c r="M18" s="1001"/>
      <c r="N18" s="1001"/>
      <c r="O18" s="1001"/>
      <c r="P18" s="1002"/>
      <c r="Q18" s="1321"/>
      <c r="R18" s="1001"/>
      <c r="S18" s="1001"/>
      <c r="T18" s="1001"/>
      <c r="U18" s="1001"/>
      <c r="V18" s="1001"/>
      <c r="W18" s="1001"/>
      <c r="X18" s="1002"/>
    </row>
    <row r="19" spans="1:24" ht="21.75" customHeight="1" x14ac:dyDescent="0.25">
      <c r="A19" s="1429"/>
      <c r="B19" s="1430"/>
      <c r="C19" s="1022"/>
      <c r="D19" s="1023"/>
      <c r="E19" s="1024"/>
      <c r="F19" s="1024"/>
      <c r="G19" s="1025"/>
      <c r="H19" s="1026"/>
      <c r="I19" s="1026"/>
      <c r="J19" s="1026"/>
      <c r="K19" s="1026"/>
      <c r="L19" s="1026"/>
      <c r="M19" s="1026"/>
      <c r="N19" s="1026"/>
      <c r="O19" s="1026"/>
      <c r="P19" s="1027"/>
      <c r="Q19" s="1323"/>
      <c r="R19" s="1026"/>
      <c r="S19" s="1026"/>
      <c r="T19" s="1026"/>
      <c r="U19" s="1026"/>
      <c r="V19" s="1026"/>
      <c r="W19" s="1026"/>
      <c r="X19" s="1027"/>
    </row>
    <row r="20" spans="1:24" ht="18.75" x14ac:dyDescent="0.3">
      <c r="A20" s="2021" t="s">
        <v>1663</v>
      </c>
      <c r="B20" s="2022"/>
      <c r="C20" s="2022"/>
      <c r="D20" s="956"/>
      <c r="E20" s="956"/>
      <c r="F20" s="956"/>
      <c r="G20" s="956"/>
      <c r="H20" s="1595">
        <f t="shared" ref="H20:X20" si="0">SUM(H7:H19)</f>
        <v>0</v>
      </c>
      <c r="I20" s="1595">
        <f t="shared" si="0"/>
        <v>0</v>
      </c>
      <c r="J20" s="1595">
        <f t="shared" si="0"/>
        <v>8938114</v>
      </c>
      <c r="K20" s="1595">
        <f t="shared" si="0"/>
        <v>0</v>
      </c>
      <c r="L20" s="1595">
        <f t="shared" si="0"/>
        <v>0</v>
      </c>
      <c r="M20" s="1595">
        <f t="shared" si="0"/>
        <v>360000</v>
      </c>
      <c r="N20" s="1595">
        <f t="shared" si="0"/>
        <v>0</v>
      </c>
      <c r="O20" s="1595">
        <f t="shared" si="0"/>
        <v>0</v>
      </c>
      <c r="P20" s="1596">
        <f t="shared" si="0"/>
        <v>0</v>
      </c>
      <c r="Q20" s="1599">
        <f t="shared" si="0"/>
        <v>0</v>
      </c>
      <c r="R20" s="1600">
        <f t="shared" si="0"/>
        <v>0</v>
      </c>
      <c r="S20" s="1600">
        <f t="shared" si="0"/>
        <v>0</v>
      </c>
      <c r="T20" s="1600">
        <f t="shared" si="0"/>
        <v>1250314</v>
      </c>
      <c r="U20" s="1600">
        <f t="shared" si="0"/>
        <v>0</v>
      </c>
      <c r="V20" s="1600">
        <f t="shared" si="0"/>
        <v>0</v>
      </c>
      <c r="W20" s="1600">
        <f t="shared" si="0"/>
        <v>0</v>
      </c>
      <c r="X20" s="1601">
        <f t="shared" si="0"/>
        <v>8047800</v>
      </c>
    </row>
    <row r="21" spans="1:24" ht="18.75" x14ac:dyDescent="0.3">
      <c r="A21" s="988"/>
      <c r="B21" s="988"/>
      <c r="C21" s="1028"/>
      <c r="D21" s="937"/>
      <c r="E21" s="937"/>
      <c r="F21" s="937"/>
      <c r="G21" s="937"/>
      <c r="H21" s="1018"/>
      <c r="I21" s="1018"/>
      <c r="J21" s="1018"/>
      <c r="K21" s="1018"/>
      <c r="L21" s="1018"/>
      <c r="M21" s="1018"/>
      <c r="N21" s="1018"/>
      <c r="O21" s="1018"/>
      <c r="P21" s="1018"/>
      <c r="Q21" s="1018"/>
      <c r="R21" s="1018"/>
      <c r="S21" s="1018"/>
      <c r="T21" s="1018"/>
      <c r="U21" s="1018"/>
      <c r="V21" s="1018"/>
      <c r="W21" s="1018"/>
      <c r="X21" s="1018"/>
    </row>
    <row r="22" spans="1:24" ht="18.75" x14ac:dyDescent="0.3">
      <c r="A22" s="988"/>
      <c r="B22" s="988"/>
      <c r="C22" s="1028"/>
      <c r="D22" s="937"/>
      <c r="E22" s="937"/>
      <c r="F22" s="937"/>
      <c r="G22" s="937"/>
      <c r="H22" s="966"/>
      <c r="I22" s="966"/>
      <c r="J22" s="966"/>
      <c r="K22" s="966"/>
      <c r="L22" s="966"/>
      <c r="M22" s="966"/>
      <c r="N22" s="966"/>
      <c r="O22" s="966"/>
      <c r="P22" s="966"/>
      <c r="Q22" s="966"/>
      <c r="R22" s="966"/>
      <c r="S22" s="966"/>
      <c r="T22" s="966"/>
      <c r="U22" s="966"/>
      <c r="V22" s="966"/>
      <c r="W22" s="966"/>
      <c r="X22" s="966"/>
    </row>
    <row r="23" spans="1:24" x14ac:dyDescent="0.25">
      <c r="A23" s="1028"/>
      <c r="B23" s="1028"/>
      <c r="C23" s="1028"/>
      <c r="D23" s="937"/>
      <c r="E23" s="937"/>
      <c r="F23" s="937"/>
      <c r="G23" s="937"/>
      <c r="H23" s="966"/>
      <c r="I23" s="966"/>
      <c r="J23" s="966"/>
      <c r="K23" s="966"/>
      <c r="L23" s="966"/>
      <c r="M23" s="966"/>
      <c r="N23" s="966"/>
      <c r="O23" s="966"/>
      <c r="P23" s="966"/>
      <c r="Q23" s="966"/>
      <c r="R23" s="966"/>
      <c r="S23" s="966"/>
      <c r="T23" s="966"/>
      <c r="U23" s="966"/>
      <c r="V23" s="966"/>
      <c r="W23" s="966"/>
      <c r="X23" s="966"/>
    </row>
    <row r="24" spans="1:24" ht="22.5" customHeight="1" x14ac:dyDescent="0.25">
      <c r="A24" s="1028"/>
      <c r="B24" s="1028"/>
      <c r="H24" s="995"/>
      <c r="I24" s="2074" t="s">
        <v>1664</v>
      </c>
      <c r="J24" s="2075"/>
      <c r="K24" s="2076"/>
      <c r="L24" s="2074">
        <v>516426202</v>
      </c>
      <c r="M24" s="2076"/>
      <c r="N24" s="996"/>
      <c r="O24" s="996"/>
      <c r="P24" s="996"/>
      <c r="Q24" s="996"/>
      <c r="R24" s="2074" t="s">
        <v>1665</v>
      </c>
      <c r="S24" s="2075"/>
      <c r="T24" s="2076"/>
      <c r="U24" s="2074">
        <v>516426202</v>
      </c>
      <c r="V24" s="2076"/>
      <c r="W24" s="995"/>
      <c r="X24" s="995"/>
    </row>
    <row r="25" spans="1:24" ht="22.5" customHeight="1" x14ac:dyDescent="0.25">
      <c r="H25" s="995"/>
      <c r="I25" s="2074" t="s">
        <v>1666</v>
      </c>
      <c r="J25" s="2075"/>
      <c r="K25" s="2076"/>
      <c r="L25" s="2074">
        <f>SUM(H20:P20)</f>
        <v>9298114</v>
      </c>
      <c r="M25" s="2076"/>
      <c r="N25" s="996"/>
      <c r="O25" s="996"/>
      <c r="P25" s="996"/>
      <c r="Q25" s="996"/>
      <c r="R25" s="2074" t="s">
        <v>1666</v>
      </c>
      <c r="S25" s="2075"/>
      <c r="T25" s="2076"/>
      <c r="U25" s="2074">
        <f>SUM(Q20:X20)</f>
        <v>9298114</v>
      </c>
      <c r="V25" s="2076"/>
      <c r="W25" s="995"/>
      <c r="X25" s="995"/>
    </row>
    <row r="26" spans="1:24" ht="22.5" customHeight="1" x14ac:dyDescent="0.25">
      <c r="H26" s="995"/>
      <c r="I26" s="2074" t="s">
        <v>1512</v>
      </c>
      <c r="J26" s="2075"/>
      <c r="K26" s="2076"/>
      <c r="L26" s="2074">
        <f>+L24+L25</f>
        <v>525724316</v>
      </c>
      <c r="M26" s="2076"/>
      <c r="N26" s="996"/>
      <c r="O26" s="996"/>
      <c r="P26" s="996"/>
      <c r="Q26" s="996"/>
      <c r="R26" s="2074" t="s">
        <v>1512</v>
      </c>
      <c r="S26" s="2075"/>
      <c r="T26" s="2076"/>
      <c r="U26" s="2074">
        <f>+U24+U25</f>
        <v>525724316</v>
      </c>
      <c r="V26" s="2076"/>
      <c r="W26" s="995"/>
      <c r="X26" s="995"/>
    </row>
    <row r="27" spans="1:24" x14ac:dyDescent="0.25">
      <c r="Q27" s="968"/>
    </row>
    <row r="28" spans="1:24" x14ac:dyDescent="0.25">
      <c r="Q28" s="968"/>
    </row>
    <row r="29" spans="1:24" x14ac:dyDescent="0.25">
      <c r="Q29" s="968"/>
    </row>
    <row r="30" spans="1:24" x14ac:dyDescent="0.25">
      <c r="Q30" s="968"/>
    </row>
    <row r="31" spans="1:24" ht="15.75" x14ac:dyDescent="0.25">
      <c r="A31" s="2010" t="s">
        <v>2556</v>
      </c>
      <c r="B31" s="2010"/>
      <c r="C31" s="2010"/>
      <c r="D31" s="2010"/>
      <c r="E31" s="2010"/>
      <c r="F31" s="2010"/>
      <c r="G31" s="2010"/>
      <c r="H31" s="2010"/>
      <c r="I31" s="2010"/>
      <c r="J31" s="2010"/>
      <c r="K31" s="2010"/>
      <c r="L31" s="2010"/>
      <c r="M31" s="2010"/>
      <c r="N31" s="2010"/>
      <c r="O31" s="2010"/>
      <c r="P31" s="2010"/>
      <c r="Q31" s="2010"/>
      <c r="R31" s="2010"/>
      <c r="S31" s="2010"/>
      <c r="T31" s="2010"/>
      <c r="U31" s="2010"/>
      <c r="V31" s="2010"/>
      <c r="W31" s="2010"/>
      <c r="X31" s="2010"/>
    </row>
    <row r="32" spans="1:24" ht="15.75" x14ac:dyDescent="0.25">
      <c r="A32" s="1246"/>
      <c r="B32" s="1246"/>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row>
    <row r="33" spans="1:24" x14ac:dyDescent="0.25">
      <c r="A33" s="970"/>
      <c r="B33" s="970"/>
      <c r="C33" s="970"/>
      <c r="D33" s="970"/>
      <c r="E33" s="970"/>
      <c r="F33" s="970"/>
      <c r="G33" s="970"/>
      <c r="H33" s="970"/>
      <c r="I33" s="970"/>
      <c r="J33" s="970"/>
      <c r="K33" s="970"/>
      <c r="L33" s="970"/>
      <c r="M33" s="970"/>
      <c r="N33" s="970"/>
      <c r="O33" s="970"/>
      <c r="P33" s="970"/>
      <c r="Q33" s="970"/>
      <c r="R33" s="970"/>
      <c r="S33" s="970"/>
      <c r="T33" s="970"/>
      <c r="U33" s="970"/>
      <c r="V33" s="970"/>
      <c r="W33" s="970"/>
      <c r="X33" s="970"/>
    </row>
    <row r="34" spans="1:24" x14ac:dyDescent="0.25">
      <c r="A34" s="2055" t="s">
        <v>87</v>
      </c>
      <c r="B34" s="2055"/>
      <c r="C34" s="2055"/>
      <c r="D34" s="2055"/>
      <c r="E34" s="2055"/>
      <c r="F34" s="2055"/>
      <c r="G34" s="2055"/>
      <c r="H34" s="2055"/>
      <c r="I34" s="2055"/>
      <c r="J34" s="2055"/>
      <c r="K34" s="2055"/>
      <c r="L34" s="2055"/>
      <c r="M34" s="2055"/>
      <c r="N34" s="2055"/>
      <c r="O34" s="2055"/>
      <c r="P34" s="2055"/>
      <c r="Q34" s="2055"/>
      <c r="R34" s="2055"/>
      <c r="S34" s="2055"/>
      <c r="T34" s="2055"/>
      <c r="U34" s="2055"/>
      <c r="V34" s="2055"/>
      <c r="W34" s="2055"/>
      <c r="X34" s="2055"/>
    </row>
    <row r="35" spans="1:24" ht="15" customHeight="1" x14ac:dyDescent="0.25">
      <c r="Q35" s="968"/>
    </row>
    <row r="36" spans="1:24" ht="15" customHeight="1" x14ac:dyDescent="0.25">
      <c r="A36" s="2052" t="s">
        <v>37</v>
      </c>
      <c r="B36" s="1773" t="s">
        <v>1640</v>
      </c>
      <c r="C36" s="2051" t="s">
        <v>2</v>
      </c>
      <c r="D36" s="2077" t="s">
        <v>1641</v>
      </c>
      <c r="E36" s="2077" t="s">
        <v>116</v>
      </c>
      <c r="F36" s="2077" t="s">
        <v>1642</v>
      </c>
      <c r="G36" s="2077" t="s">
        <v>1643</v>
      </c>
      <c r="H36" s="2066" t="s">
        <v>1644</v>
      </c>
      <c r="I36" s="2079"/>
      <c r="J36" s="2079"/>
      <c r="K36" s="2079"/>
      <c r="L36" s="2079"/>
      <c r="M36" s="2079"/>
      <c r="N36" s="2079"/>
      <c r="O36" s="2079"/>
      <c r="P36" s="1434"/>
      <c r="Q36" s="2079" t="s">
        <v>1645</v>
      </c>
      <c r="R36" s="2079"/>
      <c r="S36" s="2079"/>
      <c r="T36" s="2079"/>
      <c r="U36" s="2079"/>
      <c r="V36" s="2079"/>
      <c r="W36" s="2079"/>
      <c r="X36" s="2080"/>
    </row>
    <row r="37" spans="1:24" ht="83.25" customHeight="1" x14ac:dyDescent="0.25">
      <c r="A37" s="2082"/>
      <c r="B37" s="1774"/>
      <c r="C37" s="2081"/>
      <c r="D37" s="2078"/>
      <c r="E37" s="2078"/>
      <c r="F37" s="2078"/>
      <c r="G37" s="2078"/>
      <c r="H37" s="941" t="s">
        <v>1702</v>
      </c>
      <c r="I37" s="941" t="s">
        <v>1703</v>
      </c>
      <c r="J37" s="941" t="s">
        <v>1704</v>
      </c>
      <c r="K37" s="941" t="s">
        <v>1705</v>
      </c>
      <c r="L37" s="941" t="s">
        <v>1706</v>
      </c>
      <c r="M37" s="941" t="s">
        <v>1672</v>
      </c>
      <c r="N37" s="941" t="s">
        <v>1673</v>
      </c>
      <c r="O37" s="941" t="s">
        <v>1653</v>
      </c>
      <c r="P37" s="944" t="s">
        <v>1654</v>
      </c>
      <c r="Q37" s="999" t="s">
        <v>1655</v>
      </c>
      <c r="R37" s="941" t="s">
        <v>1656</v>
      </c>
      <c r="S37" s="941" t="s">
        <v>1685</v>
      </c>
      <c r="T37" s="941" t="s">
        <v>1676</v>
      </c>
      <c r="U37" s="941" t="s">
        <v>1659</v>
      </c>
      <c r="V37" s="941" t="s">
        <v>1660</v>
      </c>
      <c r="W37" s="941" t="s">
        <v>1661</v>
      </c>
      <c r="X37" s="944" t="s">
        <v>1707</v>
      </c>
    </row>
    <row r="38" spans="1:24" ht="17.25" customHeight="1" x14ac:dyDescent="0.25">
      <c r="A38" s="2056" t="s">
        <v>200</v>
      </c>
      <c r="B38" s="2058" t="s">
        <v>232</v>
      </c>
      <c r="C38" s="2060" t="s">
        <v>2155</v>
      </c>
      <c r="D38" s="974" t="s">
        <v>1823</v>
      </c>
      <c r="E38" s="1011" t="s">
        <v>1297</v>
      </c>
      <c r="F38" s="1011" t="s">
        <v>127</v>
      </c>
      <c r="G38" s="1011" t="s">
        <v>1754</v>
      </c>
      <c r="H38" s="1019"/>
      <c r="I38" s="1019"/>
      <c r="J38" s="1019"/>
      <c r="K38" s="1019"/>
      <c r="L38" s="1019"/>
      <c r="M38" s="1019"/>
      <c r="N38" s="1019"/>
      <c r="O38" s="1019"/>
      <c r="P38" s="1020"/>
      <c r="Q38" s="1021"/>
      <c r="R38" s="1019"/>
      <c r="S38" s="1019"/>
      <c r="T38" s="1019"/>
      <c r="U38" s="1019"/>
      <c r="V38" s="1019"/>
      <c r="W38" s="1019"/>
      <c r="X38" s="1020">
        <v>423750</v>
      </c>
    </row>
    <row r="39" spans="1:24" ht="17.25" customHeight="1" x14ac:dyDescent="0.25">
      <c r="A39" s="2062"/>
      <c r="B39" s="2061"/>
      <c r="C39" s="2028"/>
      <c r="D39" s="978" t="s">
        <v>1823</v>
      </c>
      <c r="E39" s="1000" t="s">
        <v>162</v>
      </c>
      <c r="F39" s="1000" t="s">
        <v>90</v>
      </c>
      <c r="G39" s="1000" t="s">
        <v>1754</v>
      </c>
      <c r="H39" s="1001">
        <v>375000</v>
      </c>
      <c r="I39" s="1001">
        <v>48750</v>
      </c>
      <c r="J39" s="1001"/>
      <c r="K39" s="1001"/>
      <c r="L39" s="1001"/>
      <c r="M39" s="1001"/>
      <c r="N39" s="1001"/>
      <c r="O39" s="1001"/>
      <c r="P39" s="1002"/>
      <c r="Q39" s="1003"/>
      <c r="R39" s="1001"/>
      <c r="S39" s="1001"/>
      <c r="T39" s="1001"/>
      <c r="U39" s="1001"/>
      <c r="V39" s="1001"/>
      <c r="W39" s="1001"/>
      <c r="X39" s="1002"/>
    </row>
    <row r="40" spans="1:24" ht="18" customHeight="1" x14ac:dyDescent="0.25">
      <c r="A40" s="2062" t="s">
        <v>201</v>
      </c>
      <c r="B40" s="2061" t="s">
        <v>233</v>
      </c>
      <c r="C40" s="2028" t="s">
        <v>2156</v>
      </c>
      <c r="D40" s="978" t="s">
        <v>1823</v>
      </c>
      <c r="E40" s="1000" t="s">
        <v>1297</v>
      </c>
      <c r="F40" s="1000" t="s">
        <v>127</v>
      </c>
      <c r="G40" s="1000" t="s">
        <v>1754</v>
      </c>
      <c r="H40" s="1001"/>
      <c r="I40" s="1001"/>
      <c r="J40" s="1001"/>
      <c r="K40" s="1001"/>
      <c r="L40" s="1001"/>
      <c r="M40" s="1001"/>
      <c r="N40" s="1001"/>
      <c r="O40" s="1001"/>
      <c r="P40" s="1002"/>
      <c r="Q40" s="1003"/>
      <c r="R40" s="1001"/>
      <c r="S40" s="1001"/>
      <c r="T40" s="1001"/>
      <c r="U40" s="1001"/>
      <c r="V40" s="1001"/>
      <c r="W40" s="1001"/>
      <c r="X40" s="1002">
        <v>8362000</v>
      </c>
    </row>
    <row r="41" spans="1:24" ht="18" customHeight="1" x14ac:dyDescent="0.25">
      <c r="A41" s="2062"/>
      <c r="B41" s="2061"/>
      <c r="C41" s="2028"/>
      <c r="D41" s="978" t="s">
        <v>1823</v>
      </c>
      <c r="E41" s="1000" t="s">
        <v>162</v>
      </c>
      <c r="F41" s="1000" t="s">
        <v>90</v>
      </c>
      <c r="G41" s="1000" t="s">
        <v>1754</v>
      </c>
      <c r="H41" s="1001">
        <v>5200000</v>
      </c>
      <c r="I41" s="1001">
        <v>676000</v>
      </c>
      <c r="J41" s="1001"/>
      <c r="K41" s="1001"/>
      <c r="L41" s="1001"/>
      <c r="M41" s="1001"/>
      <c r="N41" s="1001"/>
      <c r="O41" s="1001"/>
      <c r="P41" s="1002"/>
      <c r="Q41" s="1003"/>
      <c r="R41" s="1001"/>
      <c r="S41" s="1001"/>
      <c r="T41" s="1001"/>
      <c r="U41" s="1001"/>
      <c r="V41" s="1001"/>
      <c r="W41" s="1001"/>
      <c r="X41" s="1002"/>
    </row>
    <row r="42" spans="1:24" ht="18" customHeight="1" x14ac:dyDescent="0.25">
      <c r="A42" s="2062"/>
      <c r="B42" s="2061"/>
      <c r="C42" s="2028"/>
      <c r="D42" s="978" t="s">
        <v>1823</v>
      </c>
      <c r="E42" s="1000" t="s">
        <v>162</v>
      </c>
      <c r="F42" s="1000" t="s">
        <v>131</v>
      </c>
      <c r="G42" s="1000" t="s">
        <v>1754</v>
      </c>
      <c r="H42" s="1001">
        <v>2200000</v>
      </c>
      <c r="I42" s="1001">
        <v>286000</v>
      </c>
      <c r="J42" s="1001"/>
      <c r="K42" s="1001"/>
      <c r="L42" s="1001"/>
      <c r="M42" s="1001"/>
      <c r="N42" s="1001"/>
      <c r="O42" s="1001"/>
      <c r="P42" s="1002"/>
      <c r="Q42" s="1003"/>
      <c r="R42" s="1001"/>
      <c r="S42" s="1001"/>
      <c r="T42" s="1001"/>
      <c r="U42" s="1001"/>
      <c r="V42" s="1001"/>
      <c r="W42" s="1001"/>
      <c r="X42" s="1002"/>
    </row>
    <row r="43" spans="1:24" ht="40.5" customHeight="1" x14ac:dyDescent="0.25">
      <c r="A43" s="1432" t="s">
        <v>202</v>
      </c>
      <c r="B43" s="1431" t="s">
        <v>234</v>
      </c>
      <c r="C43" s="1425" t="s">
        <v>2534</v>
      </c>
      <c r="D43" s="978" t="s">
        <v>1823</v>
      </c>
      <c r="E43" s="1000" t="s">
        <v>162</v>
      </c>
      <c r="F43" s="1000" t="s">
        <v>132</v>
      </c>
      <c r="G43" s="1000" t="s">
        <v>1754</v>
      </c>
      <c r="H43" s="1001"/>
      <c r="I43" s="1001"/>
      <c r="J43" s="1001">
        <f>275591+74409</f>
        <v>350000</v>
      </c>
      <c r="K43" s="1001"/>
      <c r="L43" s="1001"/>
      <c r="M43" s="1001"/>
      <c r="N43" s="1001"/>
      <c r="O43" s="1001"/>
      <c r="P43" s="1002"/>
      <c r="Q43" s="1003">
        <v>350000</v>
      </c>
      <c r="R43" s="1001"/>
      <c r="S43" s="1001"/>
      <c r="T43" s="1001"/>
      <c r="U43" s="1001"/>
      <c r="V43" s="1001"/>
      <c r="W43" s="1001"/>
      <c r="X43" s="1002"/>
    </row>
    <row r="44" spans="1:24" ht="39" customHeight="1" x14ac:dyDescent="0.25">
      <c r="A44" s="1432" t="s">
        <v>203</v>
      </c>
      <c r="B44" s="1431" t="s">
        <v>235</v>
      </c>
      <c r="C44" s="1425" t="s">
        <v>2246</v>
      </c>
      <c r="D44" s="978" t="s">
        <v>1823</v>
      </c>
      <c r="E44" s="1000" t="s">
        <v>162</v>
      </c>
      <c r="F44" s="1000" t="s">
        <v>90</v>
      </c>
      <c r="G44" s="1000" t="s">
        <v>1766</v>
      </c>
      <c r="H44" s="1001"/>
      <c r="I44" s="1001"/>
      <c r="J44" s="1001">
        <f>-150000+150000</f>
        <v>0</v>
      </c>
      <c r="K44" s="1001"/>
      <c r="L44" s="1001"/>
      <c r="M44" s="1001"/>
      <c r="N44" s="1001"/>
      <c r="O44" s="1001"/>
      <c r="P44" s="1002"/>
      <c r="Q44" s="1003"/>
      <c r="R44" s="1001"/>
      <c r="S44" s="1001"/>
      <c r="T44" s="1001"/>
      <c r="U44" s="1001"/>
      <c r="V44" s="1001"/>
      <c r="W44" s="1001"/>
      <c r="X44" s="1002"/>
    </row>
    <row r="45" spans="1:24" ht="15.75" customHeight="1" x14ac:dyDescent="0.25">
      <c r="A45" s="2062" t="s">
        <v>204</v>
      </c>
      <c r="B45" s="2061" t="s">
        <v>236</v>
      </c>
      <c r="C45" s="2028" t="s">
        <v>2305</v>
      </c>
      <c r="D45" s="978" t="s">
        <v>1823</v>
      </c>
      <c r="E45" s="1000" t="s">
        <v>1297</v>
      </c>
      <c r="F45" s="1000" t="s">
        <v>127</v>
      </c>
      <c r="G45" s="1000" t="s">
        <v>1754</v>
      </c>
      <c r="H45" s="1001"/>
      <c r="I45" s="1001"/>
      <c r="J45" s="1001"/>
      <c r="K45" s="1001"/>
      <c r="L45" s="1001"/>
      <c r="M45" s="1001"/>
      <c r="N45" s="1001"/>
      <c r="O45" s="1001"/>
      <c r="P45" s="1002"/>
      <c r="Q45" s="1003"/>
      <c r="R45" s="1001"/>
      <c r="S45" s="1001"/>
      <c r="T45" s="1001"/>
      <c r="U45" s="1001"/>
      <c r="V45" s="1001"/>
      <c r="W45" s="1001"/>
      <c r="X45" s="1002">
        <v>1066419</v>
      </c>
    </row>
    <row r="46" spans="1:24" ht="15.75" customHeight="1" x14ac:dyDescent="0.25">
      <c r="A46" s="2062"/>
      <c r="B46" s="2061"/>
      <c r="C46" s="2028"/>
      <c r="D46" s="978" t="s">
        <v>1823</v>
      </c>
      <c r="E46" s="1000" t="s">
        <v>162</v>
      </c>
      <c r="F46" s="1000" t="s">
        <v>90</v>
      </c>
      <c r="G46" s="1000" t="s">
        <v>1754</v>
      </c>
      <c r="H46" s="1001"/>
      <c r="I46" s="1001"/>
      <c r="J46" s="1001">
        <f>262200+70794</f>
        <v>332994</v>
      </c>
      <c r="K46" s="1001"/>
      <c r="L46" s="1001"/>
      <c r="M46" s="1001"/>
      <c r="N46" s="1001"/>
      <c r="O46" s="1001"/>
      <c r="P46" s="1002"/>
      <c r="Q46" s="1003"/>
      <c r="R46" s="1001"/>
      <c r="S46" s="1001"/>
      <c r="T46" s="1001"/>
      <c r="U46" s="1001"/>
      <c r="V46" s="1001"/>
      <c r="W46" s="1001"/>
      <c r="X46" s="1002"/>
    </row>
    <row r="47" spans="1:24" ht="15.75" customHeight="1" x14ac:dyDescent="0.25">
      <c r="A47" s="2062"/>
      <c r="B47" s="2061"/>
      <c r="C47" s="2028"/>
      <c r="D47" s="978" t="s">
        <v>1823</v>
      </c>
      <c r="E47" s="1000" t="s">
        <v>162</v>
      </c>
      <c r="F47" s="1000" t="s">
        <v>131</v>
      </c>
      <c r="G47" s="1000" t="s">
        <v>1754</v>
      </c>
      <c r="H47" s="1001"/>
      <c r="I47" s="1001"/>
      <c r="J47" s="1001">
        <f>577500+155925</f>
        <v>733425</v>
      </c>
      <c r="K47" s="1001"/>
      <c r="L47" s="1001"/>
      <c r="M47" s="1001"/>
      <c r="N47" s="1001"/>
      <c r="O47" s="1001"/>
      <c r="P47" s="1002"/>
      <c r="Q47" s="1003"/>
      <c r="R47" s="1001"/>
      <c r="S47" s="1001"/>
      <c r="T47" s="1001"/>
      <c r="U47" s="1001"/>
      <c r="V47" s="1001"/>
      <c r="W47" s="1001"/>
      <c r="X47" s="1002"/>
    </row>
    <row r="48" spans="1:24" ht="28.5" customHeight="1" x14ac:dyDescent="0.25">
      <c r="A48" s="1432" t="s">
        <v>231</v>
      </c>
      <c r="B48" s="1431" t="s">
        <v>237</v>
      </c>
      <c r="C48" s="1425" t="s">
        <v>2330</v>
      </c>
      <c r="D48" s="978" t="s">
        <v>1823</v>
      </c>
      <c r="E48" s="1000" t="s">
        <v>1297</v>
      </c>
      <c r="F48" s="1000" t="s">
        <v>127</v>
      </c>
      <c r="G48" s="1000" t="s">
        <v>1754</v>
      </c>
      <c r="H48" s="1001"/>
      <c r="I48" s="1001"/>
      <c r="J48" s="1001"/>
      <c r="K48" s="1001"/>
      <c r="L48" s="1001">
        <v>5540351</v>
      </c>
      <c r="M48" s="1001"/>
      <c r="N48" s="1001"/>
      <c r="O48" s="1001"/>
      <c r="P48" s="1002"/>
      <c r="Q48" s="1003"/>
      <c r="R48" s="1001"/>
      <c r="S48" s="1001"/>
      <c r="T48" s="1001"/>
      <c r="U48" s="1001"/>
      <c r="V48" s="1001"/>
      <c r="W48" s="1001"/>
      <c r="X48" s="1002">
        <v>5540351</v>
      </c>
    </row>
    <row r="49" spans="1:24" ht="19.5" customHeight="1" x14ac:dyDescent="0.25">
      <c r="A49" s="2047" t="s">
        <v>232</v>
      </c>
      <c r="B49" s="2045" t="s">
        <v>2455</v>
      </c>
      <c r="C49" s="2043" t="s">
        <v>2454</v>
      </c>
      <c r="D49" s="1368" t="s">
        <v>1823</v>
      </c>
      <c r="E49" s="1369" t="s">
        <v>1297</v>
      </c>
      <c r="F49" s="1369" t="s">
        <v>127</v>
      </c>
      <c r="G49" s="1369" t="s">
        <v>1754</v>
      </c>
      <c r="H49" s="1370"/>
      <c r="I49" s="1370"/>
      <c r="J49" s="1370"/>
      <c r="K49" s="1370"/>
      <c r="L49" s="1370"/>
      <c r="M49" s="1370"/>
      <c r="N49" s="1370"/>
      <c r="O49" s="1370"/>
      <c r="P49" s="1371"/>
      <c r="Q49" s="1400"/>
      <c r="R49" s="1370"/>
      <c r="S49" s="1370"/>
      <c r="T49" s="1370"/>
      <c r="U49" s="1370"/>
      <c r="V49" s="1370"/>
      <c r="W49" s="1370"/>
      <c r="X49" s="1371">
        <v>477520</v>
      </c>
    </row>
    <row r="50" spans="1:24" ht="19.5" customHeight="1" x14ac:dyDescent="0.25">
      <c r="A50" s="2048"/>
      <c r="B50" s="2046"/>
      <c r="C50" s="2044"/>
      <c r="D50" s="1368" t="s">
        <v>1823</v>
      </c>
      <c r="E50" s="1369" t="s">
        <v>162</v>
      </c>
      <c r="F50" s="1369" t="s">
        <v>131</v>
      </c>
      <c r="G50" s="1369" t="s">
        <v>1754</v>
      </c>
      <c r="H50" s="1370"/>
      <c r="I50" s="1370"/>
      <c r="J50" s="1370">
        <f>376000+101520</f>
        <v>477520</v>
      </c>
      <c r="K50" s="1370"/>
      <c r="L50" s="1370"/>
      <c r="M50" s="1370"/>
      <c r="N50" s="1370"/>
      <c r="O50" s="1370"/>
      <c r="P50" s="1371"/>
      <c r="Q50" s="1400"/>
      <c r="R50" s="1370"/>
      <c r="S50" s="1370"/>
      <c r="T50" s="1370"/>
      <c r="U50" s="1370"/>
      <c r="V50" s="1370"/>
      <c r="W50" s="1370"/>
      <c r="X50" s="1371"/>
    </row>
    <row r="51" spans="1:24" ht="31.5" customHeight="1" x14ac:dyDescent="0.25">
      <c r="A51" s="1432" t="s">
        <v>233</v>
      </c>
      <c r="B51" s="1431" t="s">
        <v>239</v>
      </c>
      <c r="C51" s="1425" t="s">
        <v>2456</v>
      </c>
      <c r="D51" s="1368" t="s">
        <v>1823</v>
      </c>
      <c r="E51" s="1369" t="s">
        <v>162</v>
      </c>
      <c r="F51" s="1369" t="s">
        <v>131</v>
      </c>
      <c r="G51" s="1369" t="s">
        <v>1766</v>
      </c>
      <c r="H51" s="1370"/>
      <c r="I51" s="1370"/>
      <c r="J51" s="1370">
        <f>-280559-16351</f>
        <v>-296910</v>
      </c>
      <c r="K51" s="1370"/>
      <c r="L51" s="1370"/>
      <c r="M51" s="1370">
        <f>280559+16351</f>
        <v>296910</v>
      </c>
      <c r="N51" s="1370"/>
      <c r="O51" s="1370"/>
      <c r="P51" s="1371"/>
      <c r="Q51" s="1400"/>
      <c r="R51" s="1370"/>
      <c r="S51" s="1370"/>
      <c r="T51" s="1370"/>
      <c r="U51" s="1370"/>
      <c r="V51" s="1370"/>
      <c r="W51" s="1370"/>
      <c r="X51" s="1371"/>
    </row>
    <row r="52" spans="1:24" ht="17.25" customHeight="1" x14ac:dyDescent="0.25">
      <c r="A52" s="2047" t="s">
        <v>234</v>
      </c>
      <c r="B52" s="2045" t="s">
        <v>267</v>
      </c>
      <c r="C52" s="2043" t="s">
        <v>2504</v>
      </c>
      <c r="D52" s="1368" t="s">
        <v>1823</v>
      </c>
      <c r="E52" s="1369" t="s">
        <v>1297</v>
      </c>
      <c r="F52" s="1369" t="s">
        <v>127</v>
      </c>
      <c r="G52" s="1369" t="s">
        <v>1754</v>
      </c>
      <c r="H52" s="1370"/>
      <c r="I52" s="1370"/>
      <c r="J52" s="1370"/>
      <c r="K52" s="1370"/>
      <c r="L52" s="1370"/>
      <c r="M52" s="1370"/>
      <c r="N52" s="1370"/>
      <c r="O52" s="1370"/>
      <c r="P52" s="1371"/>
      <c r="Q52" s="1400"/>
      <c r="R52" s="1370"/>
      <c r="S52" s="1370"/>
      <c r="T52" s="1370"/>
      <c r="U52" s="1370"/>
      <c r="V52" s="1370"/>
      <c r="W52" s="1370"/>
      <c r="X52" s="1371">
        <v>402336</v>
      </c>
    </row>
    <row r="53" spans="1:24" ht="17.25" customHeight="1" x14ac:dyDescent="0.25">
      <c r="A53" s="2048"/>
      <c r="B53" s="2046"/>
      <c r="C53" s="2044"/>
      <c r="D53" s="1368" t="s">
        <v>1823</v>
      </c>
      <c r="E53" s="1369" t="s">
        <v>162</v>
      </c>
      <c r="F53" s="1369" t="s">
        <v>90</v>
      </c>
      <c r="G53" s="1369" t="s">
        <v>1754</v>
      </c>
      <c r="H53" s="1370"/>
      <c r="I53" s="1370"/>
      <c r="J53" s="1370">
        <f>316800+85536</f>
        <v>402336</v>
      </c>
      <c r="K53" s="1370"/>
      <c r="L53" s="1370"/>
      <c r="M53" s="1370"/>
      <c r="N53" s="1370"/>
      <c r="O53" s="1370"/>
      <c r="P53" s="1371"/>
      <c r="Q53" s="1400"/>
      <c r="R53" s="1370"/>
      <c r="S53" s="1370"/>
      <c r="T53" s="1370"/>
      <c r="U53" s="1370"/>
      <c r="V53" s="1370"/>
      <c r="W53" s="1370"/>
      <c r="X53" s="1371"/>
    </row>
    <row r="54" spans="1:24" ht="29.25" customHeight="1" x14ac:dyDescent="0.25">
      <c r="A54" s="1432" t="s">
        <v>235</v>
      </c>
      <c r="B54" s="1431" t="s">
        <v>268</v>
      </c>
      <c r="C54" s="1425" t="s">
        <v>2519</v>
      </c>
      <c r="D54" s="1368" t="s">
        <v>1823</v>
      </c>
      <c r="E54" s="1369" t="s">
        <v>162</v>
      </c>
      <c r="F54" s="1369" t="s">
        <v>132</v>
      </c>
      <c r="G54" s="1369" t="s">
        <v>1766</v>
      </c>
      <c r="H54" s="1370"/>
      <c r="I54" s="1370"/>
      <c r="J54" s="1370">
        <f>-106924+106885+39</f>
        <v>0</v>
      </c>
      <c r="K54" s="1370"/>
      <c r="L54" s="1370"/>
      <c r="M54" s="1370"/>
      <c r="N54" s="1370"/>
      <c r="O54" s="1370"/>
      <c r="P54" s="1371"/>
      <c r="Q54" s="1400"/>
      <c r="R54" s="1370"/>
      <c r="S54" s="1370"/>
      <c r="T54" s="1370"/>
      <c r="U54" s="1370"/>
      <c r="V54" s="1370"/>
      <c r="W54" s="1370"/>
      <c r="X54" s="1371"/>
    </row>
    <row r="55" spans="1:24" ht="30" customHeight="1" x14ac:dyDescent="0.25">
      <c r="A55" s="1432" t="s">
        <v>236</v>
      </c>
      <c r="B55" s="1431" t="s">
        <v>269</v>
      </c>
      <c r="C55" s="1425" t="s">
        <v>2529</v>
      </c>
      <c r="D55" s="1368" t="s">
        <v>1823</v>
      </c>
      <c r="E55" s="1369" t="s">
        <v>162</v>
      </c>
      <c r="F55" s="1369" t="s">
        <v>90</v>
      </c>
      <c r="G55" s="1369" t="s">
        <v>1754</v>
      </c>
      <c r="H55" s="1370"/>
      <c r="I55" s="1370"/>
      <c r="J55" s="1370">
        <v>400000</v>
      </c>
      <c r="K55" s="1370"/>
      <c r="L55" s="1370"/>
      <c r="M55" s="1370"/>
      <c r="N55" s="1370"/>
      <c r="O55" s="1370"/>
      <c r="P55" s="1371"/>
      <c r="Q55" s="1400"/>
      <c r="R55" s="1370"/>
      <c r="S55" s="1370"/>
      <c r="T55" s="1370">
        <v>400000</v>
      </c>
      <c r="U55" s="1370"/>
      <c r="V55" s="1370"/>
      <c r="W55" s="1370"/>
      <c r="X55" s="1371"/>
    </row>
    <row r="56" spans="1:24" ht="20.25" customHeight="1" x14ac:dyDescent="0.25">
      <c r="A56" s="2047" t="s">
        <v>237</v>
      </c>
      <c r="B56" s="2045" t="s">
        <v>270</v>
      </c>
      <c r="C56" s="2043" t="s">
        <v>2659</v>
      </c>
      <c r="D56" s="1368" t="s">
        <v>1823</v>
      </c>
      <c r="E56" s="1369" t="s">
        <v>1297</v>
      </c>
      <c r="F56" s="1369" t="s">
        <v>127</v>
      </c>
      <c r="G56" s="1369" t="s">
        <v>1754</v>
      </c>
      <c r="H56" s="1370"/>
      <c r="I56" s="1370"/>
      <c r="J56" s="1370"/>
      <c r="K56" s="1370"/>
      <c r="L56" s="1370"/>
      <c r="M56" s="1370"/>
      <c r="N56" s="1370"/>
      <c r="O56" s="1370"/>
      <c r="P56" s="1371"/>
      <c r="Q56" s="1400"/>
      <c r="R56" s="1370"/>
      <c r="S56" s="1370"/>
      <c r="T56" s="1370"/>
      <c r="U56" s="1370"/>
      <c r="V56" s="1370"/>
      <c r="W56" s="1370"/>
      <c r="X56" s="1371">
        <v>708660</v>
      </c>
    </row>
    <row r="57" spans="1:24" ht="20.25" customHeight="1" x14ac:dyDescent="0.25">
      <c r="A57" s="2048"/>
      <c r="B57" s="2046"/>
      <c r="C57" s="2044"/>
      <c r="D57" s="1368" t="s">
        <v>1823</v>
      </c>
      <c r="E57" s="1369" t="s">
        <v>162</v>
      </c>
      <c r="F57" s="1369" t="s">
        <v>131</v>
      </c>
      <c r="G57" s="1369" t="s">
        <v>1754</v>
      </c>
      <c r="H57" s="1370"/>
      <c r="I57" s="1370"/>
      <c r="J57" s="1370">
        <f>558000+150660</f>
        <v>708660</v>
      </c>
      <c r="K57" s="1370"/>
      <c r="L57" s="1370"/>
      <c r="M57" s="1370"/>
      <c r="N57" s="1370"/>
      <c r="O57" s="1370"/>
      <c r="P57" s="1371"/>
      <c r="Q57" s="1400"/>
      <c r="R57" s="1370"/>
      <c r="S57" s="1370"/>
      <c r="T57" s="1370"/>
      <c r="U57" s="1370"/>
      <c r="V57" s="1370"/>
      <c r="W57" s="1370"/>
      <c r="X57" s="1371"/>
    </row>
    <row r="58" spans="1:24" ht="18.75" customHeight="1" x14ac:dyDescent="0.25">
      <c r="A58" s="2047" t="s">
        <v>238</v>
      </c>
      <c r="B58" s="2045" t="s">
        <v>271</v>
      </c>
      <c r="C58" s="2043" t="s">
        <v>2660</v>
      </c>
      <c r="D58" s="1368" t="s">
        <v>1823</v>
      </c>
      <c r="E58" s="1369" t="s">
        <v>1297</v>
      </c>
      <c r="F58" s="1369" t="s">
        <v>127</v>
      </c>
      <c r="G58" s="1369" t="s">
        <v>1754</v>
      </c>
      <c r="H58" s="1370"/>
      <c r="I58" s="1370"/>
      <c r="J58" s="1370"/>
      <c r="K58" s="1370"/>
      <c r="L58" s="1370"/>
      <c r="M58" s="1370"/>
      <c r="N58" s="1370"/>
      <c r="O58" s="1370"/>
      <c r="P58" s="1371"/>
      <c r="Q58" s="1400"/>
      <c r="R58" s="1370"/>
      <c r="S58" s="1370"/>
      <c r="T58" s="1370"/>
      <c r="U58" s="1370"/>
      <c r="V58" s="1370"/>
      <c r="W58" s="1370"/>
      <c r="X58" s="1371">
        <v>519500</v>
      </c>
    </row>
    <row r="59" spans="1:24" ht="18.75" customHeight="1" x14ac:dyDescent="0.25">
      <c r="A59" s="2048"/>
      <c r="B59" s="2046"/>
      <c r="C59" s="2044"/>
      <c r="D59" s="1368" t="s">
        <v>1823</v>
      </c>
      <c r="E59" s="1369" t="s">
        <v>162</v>
      </c>
      <c r="F59" s="1369" t="s">
        <v>131</v>
      </c>
      <c r="G59" s="1369" t="s">
        <v>1754</v>
      </c>
      <c r="H59" s="1370"/>
      <c r="I59" s="1370"/>
      <c r="J59" s="1370">
        <f>409055+110445</f>
        <v>519500</v>
      </c>
      <c r="K59" s="1370"/>
      <c r="L59" s="1370"/>
      <c r="M59" s="1370"/>
      <c r="N59" s="1370"/>
      <c r="O59" s="1370"/>
      <c r="P59" s="1371"/>
      <c r="Q59" s="1400"/>
      <c r="R59" s="1370"/>
      <c r="S59" s="1370"/>
      <c r="T59" s="1370"/>
      <c r="U59" s="1370"/>
      <c r="V59" s="1370"/>
      <c r="W59" s="1370"/>
      <c r="X59" s="1371"/>
    </row>
    <row r="60" spans="1:24" ht="18" customHeight="1" x14ac:dyDescent="0.25">
      <c r="A60" s="2047" t="s">
        <v>239</v>
      </c>
      <c r="B60" s="2045" t="s">
        <v>272</v>
      </c>
      <c r="C60" s="2043" t="s">
        <v>2661</v>
      </c>
      <c r="D60" s="1368" t="s">
        <v>1823</v>
      </c>
      <c r="E60" s="1369" t="s">
        <v>1297</v>
      </c>
      <c r="F60" s="1369" t="s">
        <v>127</v>
      </c>
      <c r="G60" s="1369" t="s">
        <v>1754</v>
      </c>
      <c r="H60" s="1370"/>
      <c r="I60" s="1370"/>
      <c r="J60" s="1370"/>
      <c r="K60" s="1370"/>
      <c r="L60" s="1370"/>
      <c r="M60" s="1370"/>
      <c r="N60" s="1370"/>
      <c r="O60" s="1370"/>
      <c r="P60" s="1371"/>
      <c r="Q60" s="1400"/>
      <c r="R60" s="1370"/>
      <c r="S60" s="1370"/>
      <c r="T60" s="1370"/>
      <c r="U60" s="1370"/>
      <c r="V60" s="1370"/>
      <c r="W60" s="1370"/>
      <c r="X60" s="1371">
        <v>2843700</v>
      </c>
    </row>
    <row r="61" spans="1:24" ht="18" customHeight="1" x14ac:dyDescent="0.25">
      <c r="A61" s="2048"/>
      <c r="B61" s="2046"/>
      <c r="C61" s="2044"/>
      <c r="D61" s="1368" t="s">
        <v>1823</v>
      </c>
      <c r="E61" s="1369" t="s">
        <v>162</v>
      </c>
      <c r="F61" s="1369" t="s">
        <v>90</v>
      </c>
      <c r="G61" s="1369" t="s">
        <v>1754</v>
      </c>
      <c r="H61" s="1370"/>
      <c r="I61" s="1370"/>
      <c r="J61" s="1370"/>
      <c r="K61" s="1370"/>
      <c r="L61" s="1370"/>
      <c r="M61" s="1370">
        <f>2239134+604566</f>
        <v>2843700</v>
      </c>
      <c r="N61" s="1370"/>
      <c r="O61" s="1370"/>
      <c r="P61" s="1371"/>
      <c r="Q61" s="1400"/>
      <c r="R61" s="1370"/>
      <c r="S61" s="1370"/>
      <c r="T61" s="1370"/>
      <c r="U61" s="1370"/>
      <c r="V61" s="1370"/>
      <c r="W61" s="1370"/>
      <c r="X61" s="1371"/>
    </row>
    <row r="62" spans="1:24" ht="41.25" customHeight="1" x14ac:dyDescent="0.25">
      <c r="A62" s="1432" t="s">
        <v>266</v>
      </c>
      <c r="B62" s="1431" t="s">
        <v>273</v>
      </c>
      <c r="C62" s="1425" t="s">
        <v>2662</v>
      </c>
      <c r="D62" s="1368" t="s">
        <v>1823</v>
      </c>
      <c r="E62" s="1369" t="s">
        <v>162</v>
      </c>
      <c r="F62" s="1369" t="s">
        <v>131</v>
      </c>
      <c r="G62" s="1369" t="s">
        <v>1766</v>
      </c>
      <c r="H62" s="1370"/>
      <c r="I62" s="1370"/>
      <c r="J62" s="1370"/>
      <c r="K62" s="1370"/>
      <c r="L62" s="1370"/>
      <c r="M62" s="1370">
        <f>-111340+87669+23671</f>
        <v>0</v>
      </c>
      <c r="N62" s="1370"/>
      <c r="O62" s="1370"/>
      <c r="P62" s="1371"/>
      <c r="Q62" s="1400"/>
      <c r="R62" s="1370"/>
      <c r="S62" s="1370"/>
      <c r="T62" s="1370"/>
      <c r="U62" s="1370"/>
      <c r="V62" s="1370"/>
      <c r="W62" s="1370"/>
      <c r="X62" s="1371"/>
    </row>
    <row r="63" spans="1:24" ht="27.75" customHeight="1" x14ac:dyDescent="0.25">
      <c r="A63" s="1432" t="s">
        <v>267</v>
      </c>
      <c r="B63" s="1431" t="s">
        <v>274</v>
      </c>
      <c r="C63" s="1425" t="s">
        <v>2711</v>
      </c>
      <c r="D63" s="1368" t="s">
        <v>1823</v>
      </c>
      <c r="E63" s="1369" t="s">
        <v>790</v>
      </c>
      <c r="F63" s="1369" t="s">
        <v>150</v>
      </c>
      <c r="G63" s="1369" t="s">
        <v>1766</v>
      </c>
      <c r="H63" s="1370"/>
      <c r="I63" s="1370"/>
      <c r="J63" s="1370">
        <f>-5000+5000</f>
        <v>0</v>
      </c>
      <c r="K63" s="1370"/>
      <c r="L63" s="1370"/>
      <c r="M63" s="1370"/>
      <c r="N63" s="1370"/>
      <c r="O63" s="1370"/>
      <c r="P63" s="1371"/>
      <c r="Q63" s="1400"/>
      <c r="R63" s="1370"/>
      <c r="S63" s="1370"/>
      <c r="T63" s="1370"/>
      <c r="U63" s="1370"/>
      <c r="V63" s="1370"/>
      <c r="W63" s="1370"/>
      <c r="X63" s="1371"/>
    </row>
    <row r="64" spans="1:24" x14ac:dyDescent="0.25">
      <c r="A64" s="1429"/>
      <c r="B64" s="1430"/>
      <c r="C64" s="982"/>
      <c r="D64" s="983"/>
      <c r="E64" s="1083"/>
      <c r="F64" s="1083"/>
      <c r="G64" s="1083"/>
      <c r="H64" s="1004"/>
      <c r="I64" s="1004"/>
      <c r="J64" s="1004"/>
      <c r="K64" s="1004"/>
      <c r="L64" s="1004"/>
      <c r="M64" s="1004"/>
      <c r="N64" s="1004"/>
      <c r="O64" s="1004"/>
      <c r="P64" s="1005"/>
      <c r="Q64" s="1006"/>
      <c r="R64" s="1004"/>
      <c r="S64" s="1004"/>
      <c r="T64" s="1004"/>
      <c r="U64" s="1004"/>
      <c r="V64" s="1004"/>
      <c r="W64" s="1004"/>
      <c r="X64" s="1005"/>
    </row>
    <row r="65" spans="1:24" ht="18.75" x14ac:dyDescent="0.3">
      <c r="A65" s="2021" t="s">
        <v>1663</v>
      </c>
      <c r="B65" s="2022"/>
      <c r="C65" s="2022"/>
      <c r="D65" s="956"/>
      <c r="E65" s="956"/>
      <c r="F65" s="956"/>
      <c r="G65" s="956"/>
      <c r="H65" s="1595">
        <f t="shared" ref="H65:X65" si="1">SUM(H38:H64)+H20</f>
        <v>7775000</v>
      </c>
      <c r="I65" s="1595">
        <f t="shared" si="1"/>
        <v>1010750</v>
      </c>
      <c r="J65" s="1595">
        <f t="shared" si="1"/>
        <v>12565639</v>
      </c>
      <c r="K65" s="1595">
        <f t="shared" si="1"/>
        <v>0</v>
      </c>
      <c r="L65" s="1595">
        <f t="shared" si="1"/>
        <v>5540351</v>
      </c>
      <c r="M65" s="1595">
        <f t="shared" si="1"/>
        <v>3500610</v>
      </c>
      <c r="N65" s="1595">
        <f t="shared" si="1"/>
        <v>0</v>
      </c>
      <c r="O65" s="1595">
        <f t="shared" si="1"/>
        <v>0</v>
      </c>
      <c r="P65" s="1596">
        <f t="shared" si="1"/>
        <v>0</v>
      </c>
      <c r="Q65" s="1597">
        <f t="shared" si="1"/>
        <v>350000</v>
      </c>
      <c r="R65" s="1595">
        <f t="shared" si="1"/>
        <v>0</v>
      </c>
      <c r="S65" s="1595">
        <f t="shared" si="1"/>
        <v>0</v>
      </c>
      <c r="T65" s="1595">
        <f t="shared" si="1"/>
        <v>1650314</v>
      </c>
      <c r="U65" s="1595">
        <f t="shared" si="1"/>
        <v>0</v>
      </c>
      <c r="V65" s="1595">
        <f t="shared" si="1"/>
        <v>0</v>
      </c>
      <c r="W65" s="1595">
        <f t="shared" si="1"/>
        <v>0</v>
      </c>
      <c r="X65" s="1596">
        <f t="shared" si="1"/>
        <v>28392036</v>
      </c>
    </row>
    <row r="66" spans="1:24" ht="17.25" customHeight="1" x14ac:dyDescent="0.25">
      <c r="H66" s="1018"/>
      <c r="I66" s="1018"/>
      <c r="J66" s="1018"/>
      <c r="K66" s="1018"/>
      <c r="L66" s="1018"/>
      <c r="M66" s="1018"/>
      <c r="N66" s="1018"/>
      <c r="O66" s="1018"/>
      <c r="P66" s="1018"/>
      <c r="Q66" s="1018"/>
      <c r="R66" s="1018"/>
      <c r="S66" s="1018"/>
      <c r="T66" s="1018"/>
      <c r="U66" s="1018"/>
      <c r="V66" s="1018"/>
      <c r="W66" s="1018"/>
      <c r="X66" s="1018"/>
    </row>
    <row r="67" spans="1:24" ht="22.5" customHeight="1" x14ac:dyDescent="0.25">
      <c r="H67" s="966"/>
      <c r="I67" s="966"/>
      <c r="J67" s="966"/>
      <c r="K67" s="966"/>
      <c r="L67" s="966"/>
      <c r="M67" s="966"/>
      <c r="N67" s="966"/>
      <c r="O67" s="966"/>
      <c r="P67" s="966"/>
      <c r="Q67" s="966"/>
      <c r="R67" s="966"/>
      <c r="S67" s="966"/>
      <c r="T67" s="966"/>
      <c r="U67" s="966"/>
      <c r="V67" s="966"/>
      <c r="W67" s="966"/>
      <c r="X67" s="966"/>
    </row>
    <row r="68" spans="1:24" x14ac:dyDescent="0.25">
      <c r="Q68" s="968"/>
    </row>
    <row r="69" spans="1:24" x14ac:dyDescent="0.25">
      <c r="Q69" s="968"/>
    </row>
    <row r="70" spans="1:24" ht="19.5" customHeight="1" x14ac:dyDescent="0.25">
      <c r="I70" s="2074" t="s">
        <v>1664</v>
      </c>
      <c r="J70" s="2075"/>
      <c r="K70" s="2076"/>
      <c r="L70" s="2074">
        <v>516426202</v>
      </c>
      <c r="M70" s="2076"/>
      <c r="N70" s="996"/>
      <c r="O70" s="996"/>
      <c r="P70" s="996"/>
      <c r="Q70" s="996"/>
      <c r="R70" s="2074" t="s">
        <v>1665</v>
      </c>
      <c r="S70" s="2075"/>
      <c r="T70" s="2076"/>
      <c r="U70" s="2074">
        <v>516426202</v>
      </c>
      <c r="V70" s="2076"/>
    </row>
    <row r="71" spans="1:24" ht="20.25" customHeight="1" x14ac:dyDescent="0.25">
      <c r="I71" s="2074" t="s">
        <v>1666</v>
      </c>
      <c r="J71" s="2075"/>
      <c r="K71" s="2076"/>
      <c r="L71" s="2074">
        <f>SUM(H65:P65)</f>
        <v>30392350</v>
      </c>
      <c r="M71" s="2076"/>
      <c r="N71" s="996"/>
      <c r="O71" s="996"/>
      <c r="P71" s="996"/>
      <c r="Q71" s="996"/>
      <c r="R71" s="2074" t="s">
        <v>1666</v>
      </c>
      <c r="S71" s="2075"/>
      <c r="T71" s="2076"/>
      <c r="U71" s="2074">
        <f>SUM(Q65:X65)</f>
        <v>30392350</v>
      </c>
      <c r="V71" s="2076"/>
    </row>
    <row r="72" spans="1:24" ht="21.75" customHeight="1" x14ac:dyDescent="0.25">
      <c r="I72" s="2074" t="s">
        <v>1512</v>
      </c>
      <c r="J72" s="2075"/>
      <c r="K72" s="2076"/>
      <c r="L72" s="2074">
        <f>+L70+L71</f>
        <v>546818552</v>
      </c>
      <c r="M72" s="2076"/>
      <c r="N72" s="996"/>
      <c r="O72" s="996"/>
      <c r="P72" s="996"/>
      <c r="Q72" s="996"/>
      <c r="R72" s="2074" t="s">
        <v>1512</v>
      </c>
      <c r="S72" s="2075"/>
      <c r="T72" s="2076"/>
      <c r="U72" s="2074">
        <f>+U70+U71</f>
        <v>546818552</v>
      </c>
      <c r="V72" s="2076"/>
    </row>
    <row r="73" spans="1:24" x14ac:dyDescent="0.25">
      <c r="Q73" s="968"/>
    </row>
    <row r="74" spans="1:24" x14ac:dyDescent="0.25">
      <c r="Q74" s="968"/>
    </row>
    <row r="75" spans="1:24" x14ac:dyDescent="0.25">
      <c r="Q75" s="968"/>
    </row>
    <row r="76" spans="1:24" ht="15.75" x14ac:dyDescent="0.25">
      <c r="A76" s="2010" t="s">
        <v>2862</v>
      </c>
      <c r="B76" s="2010"/>
      <c r="C76" s="2010"/>
      <c r="D76" s="2010"/>
      <c r="E76" s="2010"/>
      <c r="F76" s="2010"/>
      <c r="G76" s="2010"/>
      <c r="H76" s="2010"/>
      <c r="I76" s="2010"/>
      <c r="J76" s="2010"/>
      <c r="K76" s="2010"/>
      <c r="L76" s="2010"/>
      <c r="M76" s="2010"/>
      <c r="N76" s="2010"/>
      <c r="O76" s="2010"/>
      <c r="P76" s="2010"/>
      <c r="Q76" s="2010"/>
      <c r="R76" s="2010"/>
      <c r="S76" s="2010"/>
      <c r="T76" s="2010"/>
      <c r="U76" s="2010"/>
      <c r="V76" s="2010"/>
      <c r="W76" s="2010"/>
      <c r="X76" s="2010"/>
    </row>
    <row r="77" spans="1:24" ht="15.75" x14ac:dyDescent="0.25">
      <c r="A77" s="1246"/>
      <c r="B77" s="1246"/>
      <c r="C77" s="1246"/>
      <c r="D77" s="1246"/>
      <c r="E77" s="1246"/>
      <c r="F77" s="1246"/>
      <c r="G77" s="1246"/>
      <c r="H77" s="1246"/>
      <c r="I77" s="1246"/>
      <c r="J77" s="1246"/>
      <c r="K77" s="1246"/>
      <c r="L77" s="1246"/>
      <c r="M77" s="1246"/>
      <c r="N77" s="1246"/>
      <c r="O77" s="1246"/>
      <c r="P77" s="1246"/>
      <c r="Q77" s="1246"/>
      <c r="R77" s="1246"/>
      <c r="S77" s="1246"/>
      <c r="T77" s="1246"/>
      <c r="U77" s="1246"/>
      <c r="V77" s="1246"/>
      <c r="W77" s="1246"/>
      <c r="X77" s="1246"/>
    </row>
    <row r="78" spans="1:24" x14ac:dyDescent="0.25">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row>
    <row r="79" spans="1:24" x14ac:dyDescent="0.25">
      <c r="A79" s="2055" t="s">
        <v>87</v>
      </c>
      <c r="B79" s="2055"/>
      <c r="C79" s="2055"/>
      <c r="D79" s="2055"/>
      <c r="E79" s="2055"/>
      <c r="F79" s="2055"/>
      <c r="G79" s="2055"/>
      <c r="H79" s="2055"/>
      <c r="I79" s="2055"/>
      <c r="J79" s="2055"/>
      <c r="K79" s="2055"/>
      <c r="L79" s="2055"/>
      <c r="M79" s="2055"/>
      <c r="N79" s="2055"/>
      <c r="O79" s="2055"/>
      <c r="P79" s="2055"/>
      <c r="Q79" s="2055"/>
      <c r="R79" s="2055"/>
      <c r="S79" s="2055"/>
      <c r="T79" s="2055"/>
      <c r="U79" s="2055"/>
      <c r="V79" s="2055"/>
      <c r="W79" s="2055"/>
      <c r="X79" s="2055"/>
    </row>
    <row r="80" spans="1:24" x14ac:dyDescent="0.25">
      <c r="Q80" s="968"/>
    </row>
    <row r="81" spans="1:24" ht="15" customHeight="1" x14ac:dyDescent="0.25">
      <c r="A81" s="2052" t="s">
        <v>37</v>
      </c>
      <c r="B81" s="1773" t="s">
        <v>1640</v>
      </c>
      <c r="C81" s="2051" t="s">
        <v>2</v>
      </c>
      <c r="D81" s="2077" t="s">
        <v>1641</v>
      </c>
      <c r="E81" s="2077" t="s">
        <v>116</v>
      </c>
      <c r="F81" s="2077" t="s">
        <v>1642</v>
      </c>
      <c r="G81" s="2077" t="s">
        <v>1643</v>
      </c>
      <c r="H81" s="2066" t="s">
        <v>1644</v>
      </c>
      <c r="I81" s="2079"/>
      <c r="J81" s="2079"/>
      <c r="K81" s="2079"/>
      <c r="L81" s="2079"/>
      <c r="M81" s="2079"/>
      <c r="N81" s="2079"/>
      <c r="O81" s="2079"/>
      <c r="P81" s="1434"/>
      <c r="Q81" s="2079" t="s">
        <v>1645</v>
      </c>
      <c r="R81" s="2079"/>
      <c r="S81" s="2079"/>
      <c r="T81" s="2079"/>
      <c r="U81" s="2079"/>
      <c r="V81" s="2079"/>
      <c r="W81" s="2079"/>
      <c r="X81" s="2080"/>
    </row>
    <row r="82" spans="1:24" ht="81.75" customHeight="1" x14ac:dyDescent="0.25">
      <c r="A82" s="2082"/>
      <c r="B82" s="1774"/>
      <c r="C82" s="2081"/>
      <c r="D82" s="2078"/>
      <c r="E82" s="2078"/>
      <c r="F82" s="2078"/>
      <c r="G82" s="2078"/>
      <c r="H82" s="941" t="s">
        <v>1702</v>
      </c>
      <c r="I82" s="941" t="s">
        <v>1703</v>
      </c>
      <c r="J82" s="941" t="s">
        <v>1704</v>
      </c>
      <c r="K82" s="941" t="s">
        <v>1705</v>
      </c>
      <c r="L82" s="941" t="s">
        <v>1706</v>
      </c>
      <c r="M82" s="941" t="s">
        <v>1672</v>
      </c>
      <c r="N82" s="941" t="s">
        <v>1673</v>
      </c>
      <c r="O82" s="941" t="s">
        <v>1653</v>
      </c>
      <c r="P82" s="944" t="s">
        <v>1654</v>
      </c>
      <c r="Q82" s="999" t="s">
        <v>1655</v>
      </c>
      <c r="R82" s="941" t="s">
        <v>1656</v>
      </c>
      <c r="S82" s="941" t="s">
        <v>1685</v>
      </c>
      <c r="T82" s="941" t="s">
        <v>1676</v>
      </c>
      <c r="U82" s="941" t="s">
        <v>1659</v>
      </c>
      <c r="V82" s="941" t="s">
        <v>1660</v>
      </c>
      <c r="W82" s="941" t="s">
        <v>1661</v>
      </c>
      <c r="X82" s="944" t="s">
        <v>1707</v>
      </c>
    </row>
    <row r="83" spans="1:24" ht="30.75" customHeight="1" x14ac:dyDescent="0.25">
      <c r="A83" s="1495" t="s">
        <v>268</v>
      </c>
      <c r="B83" s="1494" t="s">
        <v>275</v>
      </c>
      <c r="C83" s="973" t="s">
        <v>2848</v>
      </c>
      <c r="D83" s="974" t="s">
        <v>1823</v>
      </c>
      <c r="E83" s="1011" t="s">
        <v>162</v>
      </c>
      <c r="F83" s="1011" t="s">
        <v>132</v>
      </c>
      <c r="G83" s="1011" t="s">
        <v>1766</v>
      </c>
      <c r="H83" s="1019"/>
      <c r="I83" s="1019"/>
      <c r="J83" s="1019">
        <f>-67974+67974</f>
        <v>0</v>
      </c>
      <c r="K83" s="1019"/>
      <c r="L83" s="1019"/>
      <c r="M83" s="1019"/>
      <c r="N83" s="1019"/>
      <c r="O83" s="1019"/>
      <c r="P83" s="1020"/>
      <c r="Q83" s="1021"/>
      <c r="R83" s="1019"/>
      <c r="S83" s="1019"/>
      <c r="T83" s="1019"/>
      <c r="U83" s="1019"/>
      <c r="V83" s="1019"/>
      <c r="W83" s="1019"/>
      <c r="X83" s="1020"/>
    </row>
    <row r="84" spans="1:24" ht="30.75" customHeight="1" x14ac:dyDescent="0.25">
      <c r="A84" s="1493" t="s">
        <v>269</v>
      </c>
      <c r="B84" s="1492" t="s">
        <v>2976</v>
      </c>
      <c r="C84" s="1469" t="s">
        <v>2977</v>
      </c>
      <c r="D84" s="1470" t="s">
        <v>1823</v>
      </c>
      <c r="E84" s="1471" t="s">
        <v>162</v>
      </c>
      <c r="F84" s="1471" t="s">
        <v>90</v>
      </c>
      <c r="G84" s="1471" t="s">
        <v>1766</v>
      </c>
      <c r="H84" s="1473"/>
      <c r="I84" s="1473"/>
      <c r="J84" s="1473">
        <f>-690000+690000</f>
        <v>0</v>
      </c>
      <c r="K84" s="1473"/>
      <c r="L84" s="1473"/>
      <c r="M84" s="1473"/>
      <c r="N84" s="1473"/>
      <c r="O84" s="1473"/>
      <c r="P84" s="1474"/>
      <c r="Q84" s="1475"/>
      <c r="R84" s="1473"/>
      <c r="S84" s="1473"/>
      <c r="T84" s="1473"/>
      <c r="U84" s="1473"/>
      <c r="V84" s="1473"/>
      <c r="W84" s="1473"/>
      <c r="X84" s="1474"/>
    </row>
    <row r="85" spans="1:24" ht="30.75" customHeight="1" x14ac:dyDescent="0.25">
      <c r="A85" s="1493" t="s">
        <v>270</v>
      </c>
      <c r="B85" s="1492" t="s">
        <v>278</v>
      </c>
      <c r="C85" s="1469" t="s">
        <v>3001</v>
      </c>
      <c r="D85" s="1470" t="s">
        <v>1823</v>
      </c>
      <c r="E85" s="1471" t="s">
        <v>162</v>
      </c>
      <c r="F85" s="1471" t="s">
        <v>131</v>
      </c>
      <c r="G85" s="1471" t="s">
        <v>1766</v>
      </c>
      <c r="H85" s="1473"/>
      <c r="I85" s="1473"/>
      <c r="J85" s="1473">
        <f>-118921-32109</f>
        <v>-151030</v>
      </c>
      <c r="K85" s="1473"/>
      <c r="L85" s="1473"/>
      <c r="M85" s="1473">
        <f>118921+32109</f>
        <v>151030</v>
      </c>
      <c r="N85" s="1473"/>
      <c r="O85" s="1473"/>
      <c r="P85" s="1474"/>
      <c r="Q85" s="1475"/>
      <c r="R85" s="1473"/>
      <c r="S85" s="1473"/>
      <c r="T85" s="1473"/>
      <c r="U85" s="1473"/>
      <c r="V85" s="1473"/>
      <c r="W85" s="1473"/>
      <c r="X85" s="1474"/>
    </row>
    <row r="86" spans="1:24" x14ac:dyDescent="0.25">
      <c r="A86" s="1432"/>
      <c r="B86" s="1431"/>
      <c r="C86" s="977"/>
      <c r="D86" s="978"/>
      <c r="E86" s="1000"/>
      <c r="F86" s="1000"/>
      <c r="G86" s="1000"/>
      <c r="H86" s="1001"/>
      <c r="I86" s="1001"/>
      <c r="J86" s="1001"/>
      <c r="K86" s="1001"/>
      <c r="L86" s="1001"/>
      <c r="M86" s="1001"/>
      <c r="N86" s="1001"/>
      <c r="O86" s="1001"/>
      <c r="P86" s="1002"/>
      <c r="Q86" s="1003"/>
      <c r="R86" s="1001"/>
      <c r="S86" s="1001"/>
      <c r="T86" s="1001"/>
      <c r="U86" s="1001"/>
      <c r="V86" s="1001"/>
      <c r="W86" s="1001"/>
      <c r="X86" s="1002"/>
    </row>
    <row r="87" spans="1:24" ht="18.75" x14ac:dyDescent="0.3">
      <c r="A87" s="2021" t="s">
        <v>1663</v>
      </c>
      <c r="B87" s="2022"/>
      <c r="C87" s="2022"/>
      <c r="D87" s="956"/>
      <c r="E87" s="956"/>
      <c r="F87" s="956"/>
      <c r="G87" s="956"/>
      <c r="H87" s="1595">
        <f t="shared" ref="H87:X87" si="2">SUM(H83:H86)+H65</f>
        <v>7775000</v>
      </c>
      <c r="I87" s="1595">
        <f t="shared" si="2"/>
        <v>1010750</v>
      </c>
      <c r="J87" s="1595">
        <f t="shared" si="2"/>
        <v>12414609</v>
      </c>
      <c r="K87" s="1595">
        <f t="shared" si="2"/>
        <v>0</v>
      </c>
      <c r="L87" s="1595">
        <f t="shared" si="2"/>
        <v>5540351</v>
      </c>
      <c r="M87" s="1595">
        <f t="shared" si="2"/>
        <v>3651640</v>
      </c>
      <c r="N87" s="1595">
        <f t="shared" si="2"/>
        <v>0</v>
      </c>
      <c r="O87" s="1595">
        <f t="shared" si="2"/>
        <v>0</v>
      </c>
      <c r="P87" s="1596">
        <f t="shared" si="2"/>
        <v>0</v>
      </c>
      <c r="Q87" s="1597">
        <f t="shared" si="2"/>
        <v>350000</v>
      </c>
      <c r="R87" s="1595">
        <f t="shared" si="2"/>
        <v>0</v>
      </c>
      <c r="S87" s="1595">
        <f t="shared" si="2"/>
        <v>0</v>
      </c>
      <c r="T87" s="1595">
        <f t="shared" si="2"/>
        <v>1650314</v>
      </c>
      <c r="U87" s="1595">
        <f t="shared" si="2"/>
        <v>0</v>
      </c>
      <c r="V87" s="1595">
        <f t="shared" si="2"/>
        <v>0</v>
      </c>
      <c r="W87" s="1595">
        <f t="shared" si="2"/>
        <v>0</v>
      </c>
      <c r="X87" s="1596">
        <f t="shared" si="2"/>
        <v>28392036</v>
      </c>
    </row>
    <row r="88" spans="1:24" ht="17.25" customHeight="1" x14ac:dyDescent="0.25">
      <c r="H88" s="1018"/>
      <c r="I88" s="1018"/>
      <c r="J88" s="1018"/>
      <c r="K88" s="1018"/>
      <c r="L88" s="1018"/>
      <c r="M88" s="1018"/>
      <c r="N88" s="1018"/>
      <c r="O88" s="1018"/>
      <c r="P88" s="1018"/>
      <c r="Q88" s="1018"/>
      <c r="R88" s="1018"/>
      <c r="S88" s="1018"/>
      <c r="T88" s="1018"/>
      <c r="U88" s="1018"/>
      <c r="V88" s="1018"/>
      <c r="W88" s="1018"/>
      <c r="X88" s="1018"/>
    </row>
    <row r="89" spans="1:24" ht="18" customHeight="1" x14ac:dyDescent="0.25">
      <c r="H89" s="966"/>
      <c r="I89" s="966"/>
      <c r="J89" s="966"/>
      <c r="K89" s="966"/>
      <c r="L89" s="966"/>
      <c r="M89" s="966"/>
      <c r="N89" s="966"/>
      <c r="O89" s="966"/>
      <c r="P89" s="966"/>
      <c r="Q89" s="966"/>
      <c r="R89" s="966"/>
      <c r="S89" s="966"/>
      <c r="T89" s="966"/>
      <c r="U89" s="966"/>
      <c r="V89" s="966"/>
      <c r="W89" s="966"/>
      <c r="X89" s="966"/>
    </row>
    <row r="90" spans="1:24" x14ac:dyDescent="0.25">
      <c r="Q90" s="968"/>
    </row>
    <row r="91" spans="1:24" x14ac:dyDescent="0.25">
      <c r="Q91" s="968"/>
    </row>
    <row r="92" spans="1:24" ht="20.25" customHeight="1" x14ac:dyDescent="0.25">
      <c r="I92" s="2074" t="s">
        <v>1664</v>
      </c>
      <c r="J92" s="2075"/>
      <c r="K92" s="2076"/>
      <c r="L92" s="2074">
        <v>516426202</v>
      </c>
      <c r="M92" s="2076"/>
      <c r="N92" s="996"/>
      <c r="O92" s="996"/>
      <c r="P92" s="996"/>
      <c r="Q92" s="996"/>
      <c r="R92" s="2074" t="s">
        <v>1665</v>
      </c>
      <c r="S92" s="2075"/>
      <c r="T92" s="2076"/>
      <c r="U92" s="2074">
        <v>516426202</v>
      </c>
      <c r="V92" s="2076"/>
    </row>
    <row r="93" spans="1:24" ht="21" customHeight="1" x14ac:dyDescent="0.25">
      <c r="I93" s="2074" t="s">
        <v>1666</v>
      </c>
      <c r="J93" s="2075"/>
      <c r="K93" s="2076"/>
      <c r="L93" s="2074">
        <f>SUM(H87:P87)</f>
        <v>30392350</v>
      </c>
      <c r="M93" s="2076"/>
      <c r="N93" s="996"/>
      <c r="O93" s="996"/>
      <c r="P93" s="996"/>
      <c r="Q93" s="996"/>
      <c r="R93" s="2074" t="s">
        <v>1666</v>
      </c>
      <c r="S93" s="2075"/>
      <c r="T93" s="2076"/>
      <c r="U93" s="2074">
        <f>SUM(Q87:X87)</f>
        <v>30392350</v>
      </c>
      <c r="V93" s="2076"/>
    </row>
    <row r="94" spans="1:24" ht="22.5" customHeight="1" x14ac:dyDescent="0.25">
      <c r="I94" s="2074" t="s">
        <v>1512</v>
      </c>
      <c r="J94" s="2075"/>
      <c r="K94" s="2076"/>
      <c r="L94" s="2074">
        <f>+L92+L93</f>
        <v>546818552</v>
      </c>
      <c r="M94" s="2076"/>
      <c r="N94" s="996"/>
      <c r="O94" s="996"/>
      <c r="P94" s="996"/>
      <c r="Q94" s="996"/>
      <c r="R94" s="2074" t="s">
        <v>1512</v>
      </c>
      <c r="S94" s="2075"/>
      <c r="T94" s="2076"/>
      <c r="U94" s="2074">
        <f>+U92+U93</f>
        <v>546818552</v>
      </c>
      <c r="V94" s="2076"/>
    </row>
    <row r="95" spans="1:24" x14ac:dyDescent="0.25">
      <c r="Q95" s="968"/>
    </row>
    <row r="96" spans="1:24" x14ac:dyDescent="0.25">
      <c r="Q96" s="968"/>
    </row>
    <row r="97" spans="1:24" x14ac:dyDescent="0.25">
      <c r="Q97" s="968"/>
    </row>
    <row r="98" spans="1:24" x14ac:dyDescent="0.25">
      <c r="Q98" s="968"/>
    </row>
    <row r="99" spans="1:24" ht="15.75" x14ac:dyDescent="0.25">
      <c r="A99" s="2010" t="s">
        <v>3373</v>
      </c>
      <c r="B99" s="2010"/>
      <c r="C99" s="2010"/>
      <c r="D99" s="2010"/>
      <c r="E99" s="2010"/>
      <c r="F99" s="2010"/>
      <c r="G99" s="2010"/>
      <c r="H99" s="2010"/>
      <c r="I99" s="2010"/>
      <c r="J99" s="2010"/>
      <c r="K99" s="2010"/>
      <c r="L99" s="2010"/>
      <c r="M99" s="2010"/>
      <c r="N99" s="2010"/>
      <c r="O99" s="2010"/>
      <c r="P99" s="2010"/>
      <c r="Q99" s="2010"/>
      <c r="R99" s="2010"/>
      <c r="S99" s="2010"/>
      <c r="T99" s="2010"/>
      <c r="U99" s="2010"/>
      <c r="V99" s="2010"/>
      <c r="W99" s="2010"/>
      <c r="X99" s="2010"/>
    </row>
    <row r="100" spans="1:24" ht="15.75" x14ac:dyDescent="0.25">
      <c r="A100" s="1246"/>
      <c r="B100" s="1246"/>
      <c r="C100" s="1246"/>
      <c r="D100" s="1246"/>
      <c r="E100" s="1246"/>
      <c r="F100" s="1246"/>
      <c r="G100" s="1246"/>
      <c r="H100" s="1246"/>
      <c r="I100" s="1246"/>
      <c r="J100" s="1246"/>
      <c r="K100" s="1246"/>
      <c r="L100" s="1246"/>
      <c r="M100" s="1246"/>
      <c r="N100" s="1246"/>
      <c r="O100" s="1246"/>
      <c r="P100" s="1246"/>
      <c r="Q100" s="1246"/>
      <c r="R100" s="1246"/>
      <c r="S100" s="1246"/>
      <c r="T100" s="1246"/>
      <c r="U100" s="1246"/>
      <c r="V100" s="1246"/>
      <c r="W100" s="1246"/>
      <c r="X100" s="1246"/>
    </row>
    <row r="101" spans="1:24" x14ac:dyDescent="0.25">
      <c r="A101" s="970"/>
      <c r="B101" s="970"/>
      <c r="C101" s="970"/>
      <c r="D101" s="970"/>
      <c r="E101" s="970"/>
      <c r="F101" s="970"/>
      <c r="G101" s="970"/>
      <c r="H101" s="970"/>
      <c r="I101" s="970"/>
      <c r="J101" s="970"/>
      <c r="K101" s="970"/>
      <c r="L101" s="970"/>
      <c r="M101" s="970"/>
      <c r="N101" s="970"/>
      <c r="O101" s="970"/>
      <c r="P101" s="970"/>
      <c r="Q101" s="970"/>
      <c r="R101" s="970"/>
      <c r="S101" s="970"/>
      <c r="T101" s="970"/>
      <c r="U101" s="970"/>
      <c r="V101" s="970"/>
      <c r="W101" s="970"/>
      <c r="X101" s="970"/>
    </row>
    <row r="102" spans="1:24" x14ac:dyDescent="0.25">
      <c r="A102" s="2055" t="s">
        <v>87</v>
      </c>
      <c r="B102" s="2055"/>
      <c r="C102" s="2055"/>
      <c r="D102" s="2055"/>
      <c r="E102" s="2055"/>
      <c r="F102" s="2055"/>
      <c r="G102" s="2055"/>
      <c r="H102" s="2055"/>
      <c r="I102" s="2055"/>
      <c r="J102" s="2055"/>
      <c r="K102" s="2055"/>
      <c r="L102" s="2055"/>
      <c r="M102" s="2055"/>
      <c r="N102" s="2055"/>
      <c r="O102" s="2055"/>
      <c r="P102" s="2055"/>
      <c r="Q102" s="2055"/>
      <c r="R102" s="2055"/>
      <c r="S102" s="2055"/>
      <c r="T102" s="2055"/>
      <c r="U102" s="2055"/>
      <c r="V102" s="2055"/>
      <c r="W102" s="2055"/>
      <c r="X102" s="2055"/>
    </row>
    <row r="103" spans="1:24" ht="20.25" customHeight="1" x14ac:dyDescent="0.25">
      <c r="Q103" s="968"/>
    </row>
    <row r="104" spans="1:24" ht="15.75" customHeight="1" x14ac:dyDescent="0.25">
      <c r="A104" s="2052" t="s">
        <v>37</v>
      </c>
      <c r="B104" s="1773" t="s">
        <v>1640</v>
      </c>
      <c r="C104" s="2051" t="s">
        <v>2</v>
      </c>
      <c r="D104" s="2077" t="s">
        <v>1641</v>
      </c>
      <c r="E104" s="2077" t="s">
        <v>116</v>
      </c>
      <c r="F104" s="2077" t="s">
        <v>1642</v>
      </c>
      <c r="G104" s="2077" t="s">
        <v>1643</v>
      </c>
      <c r="H104" s="2066" t="s">
        <v>1644</v>
      </c>
      <c r="I104" s="2079"/>
      <c r="J104" s="2079"/>
      <c r="K104" s="2079"/>
      <c r="L104" s="2079"/>
      <c r="M104" s="2079"/>
      <c r="N104" s="2079"/>
      <c r="O104" s="2079"/>
      <c r="P104" s="1434"/>
      <c r="Q104" s="2079" t="s">
        <v>1645</v>
      </c>
      <c r="R104" s="2079"/>
      <c r="S104" s="2079"/>
      <c r="T104" s="2079"/>
      <c r="U104" s="2079"/>
      <c r="V104" s="2079"/>
      <c r="W104" s="2079"/>
      <c r="X104" s="2080"/>
    </row>
    <row r="105" spans="1:24" ht="78.75" customHeight="1" x14ac:dyDescent="0.25">
      <c r="A105" s="2082"/>
      <c r="B105" s="1774"/>
      <c r="C105" s="2081"/>
      <c r="D105" s="2078"/>
      <c r="E105" s="2078"/>
      <c r="F105" s="2078"/>
      <c r="G105" s="2078"/>
      <c r="H105" s="941" t="s">
        <v>1702</v>
      </c>
      <c r="I105" s="941" t="s">
        <v>1703</v>
      </c>
      <c r="J105" s="941" t="s">
        <v>1704</v>
      </c>
      <c r="K105" s="941" t="s">
        <v>1705</v>
      </c>
      <c r="L105" s="941" t="s">
        <v>1706</v>
      </c>
      <c r="M105" s="941" t="s">
        <v>1672</v>
      </c>
      <c r="N105" s="941" t="s">
        <v>1673</v>
      </c>
      <c r="O105" s="941" t="s">
        <v>1653</v>
      </c>
      <c r="P105" s="944" t="s">
        <v>1654</v>
      </c>
      <c r="Q105" s="999" t="s">
        <v>1655</v>
      </c>
      <c r="R105" s="941" t="s">
        <v>1656</v>
      </c>
      <c r="S105" s="941" t="s">
        <v>1685</v>
      </c>
      <c r="T105" s="941" t="s">
        <v>1676</v>
      </c>
      <c r="U105" s="941" t="s">
        <v>1659</v>
      </c>
      <c r="V105" s="941" t="s">
        <v>1660</v>
      </c>
      <c r="W105" s="941" t="s">
        <v>1661</v>
      </c>
      <c r="X105" s="944" t="s">
        <v>1707</v>
      </c>
    </row>
    <row r="106" spans="1:24" ht="21.75" customHeight="1" x14ac:dyDescent="0.25">
      <c r="A106" s="2052" t="s">
        <v>271</v>
      </c>
      <c r="B106" s="2051" t="s">
        <v>282</v>
      </c>
      <c r="C106" s="2050" t="s">
        <v>3086</v>
      </c>
      <c r="D106" s="974" t="s">
        <v>1823</v>
      </c>
      <c r="E106" s="1011" t="s">
        <v>162</v>
      </c>
      <c r="F106" s="1011" t="s">
        <v>90</v>
      </c>
      <c r="G106" s="1011" t="s">
        <v>1766</v>
      </c>
      <c r="H106" s="1019">
        <f>-21534587+20905000+629587</f>
        <v>0</v>
      </c>
      <c r="I106" s="1019"/>
      <c r="J106" s="1019"/>
      <c r="K106" s="1019"/>
      <c r="L106" s="1019"/>
      <c r="M106" s="1019"/>
      <c r="N106" s="1019"/>
      <c r="O106" s="1019"/>
      <c r="P106" s="1020"/>
      <c r="Q106" s="1021"/>
      <c r="R106" s="1019"/>
      <c r="S106" s="1019"/>
      <c r="T106" s="1019"/>
      <c r="U106" s="1019"/>
      <c r="V106" s="1019"/>
      <c r="W106" s="1019"/>
      <c r="X106" s="1020"/>
    </row>
    <row r="107" spans="1:24" ht="21.75" customHeight="1" x14ac:dyDescent="0.25">
      <c r="A107" s="2048"/>
      <c r="B107" s="2046"/>
      <c r="C107" s="2044"/>
      <c r="D107" s="1470" t="s">
        <v>1823</v>
      </c>
      <c r="E107" s="1471" t="s">
        <v>162</v>
      </c>
      <c r="F107" s="1471" t="s">
        <v>131</v>
      </c>
      <c r="G107" s="1471" t="s">
        <v>1766</v>
      </c>
      <c r="H107" s="1473">
        <f>-9020000+9020000</f>
        <v>0</v>
      </c>
      <c r="I107" s="1473"/>
      <c r="J107" s="1473"/>
      <c r="K107" s="1473"/>
      <c r="L107" s="1473"/>
      <c r="M107" s="1473"/>
      <c r="N107" s="1473"/>
      <c r="O107" s="1473"/>
      <c r="P107" s="1474"/>
      <c r="Q107" s="1475"/>
      <c r="R107" s="1473"/>
      <c r="S107" s="1473"/>
      <c r="T107" s="1473"/>
      <c r="U107" s="1473"/>
      <c r="V107" s="1473"/>
      <c r="W107" s="1473"/>
      <c r="X107" s="1474"/>
    </row>
    <row r="108" spans="1:24" ht="31.5" customHeight="1" x14ac:dyDescent="0.25">
      <c r="A108" s="1493" t="s">
        <v>272</v>
      </c>
      <c r="B108" s="1492" t="s">
        <v>3150</v>
      </c>
      <c r="C108" s="1469" t="s">
        <v>3108</v>
      </c>
      <c r="D108" s="1470" t="s">
        <v>1823</v>
      </c>
      <c r="E108" s="1471" t="s">
        <v>162</v>
      </c>
      <c r="F108" s="1471" t="s">
        <v>90</v>
      </c>
      <c r="G108" s="1471" t="s">
        <v>1766</v>
      </c>
      <c r="H108" s="1473"/>
      <c r="I108" s="1473"/>
      <c r="J108" s="1473">
        <f>-120000+120000</f>
        <v>0</v>
      </c>
      <c r="K108" s="1473"/>
      <c r="L108" s="1473"/>
      <c r="M108" s="1473"/>
      <c r="N108" s="1473"/>
      <c r="O108" s="1473"/>
      <c r="P108" s="1474"/>
      <c r="Q108" s="1475"/>
      <c r="R108" s="1473"/>
      <c r="S108" s="1473"/>
      <c r="T108" s="1473"/>
      <c r="U108" s="1473"/>
      <c r="V108" s="1473"/>
      <c r="W108" s="1473"/>
      <c r="X108" s="1474"/>
    </row>
    <row r="109" spans="1:24" ht="23.25" customHeight="1" x14ac:dyDescent="0.25">
      <c r="A109" s="2047" t="s">
        <v>273</v>
      </c>
      <c r="B109" s="2045" t="s">
        <v>284</v>
      </c>
      <c r="C109" s="2043" t="s">
        <v>3115</v>
      </c>
      <c r="D109" s="1470" t="s">
        <v>1823</v>
      </c>
      <c r="E109" s="1471" t="s">
        <v>1297</v>
      </c>
      <c r="F109" s="1471" t="s">
        <v>127</v>
      </c>
      <c r="G109" s="1471" t="s">
        <v>1754</v>
      </c>
      <c r="H109" s="1473"/>
      <c r="I109" s="1473"/>
      <c r="J109" s="1473"/>
      <c r="K109" s="1473"/>
      <c r="L109" s="1473"/>
      <c r="M109" s="1473"/>
      <c r="N109" s="1473"/>
      <c r="O109" s="1473"/>
      <c r="P109" s="1474"/>
      <c r="Q109" s="1475"/>
      <c r="R109" s="1473"/>
      <c r="S109" s="1473"/>
      <c r="T109" s="1473"/>
      <c r="U109" s="1473"/>
      <c r="V109" s="1473"/>
      <c r="W109" s="1473"/>
      <c r="X109" s="1474">
        <v>380000</v>
      </c>
    </row>
    <row r="110" spans="1:24" ht="23.25" customHeight="1" x14ac:dyDescent="0.25">
      <c r="A110" s="2048"/>
      <c r="B110" s="2046"/>
      <c r="C110" s="2044"/>
      <c r="D110" s="1470" t="s">
        <v>1823</v>
      </c>
      <c r="E110" s="1471" t="s">
        <v>162</v>
      </c>
      <c r="F110" s="1471" t="s">
        <v>90</v>
      </c>
      <c r="G110" s="1471" t="s">
        <v>1754</v>
      </c>
      <c r="H110" s="1473"/>
      <c r="I110" s="1473"/>
      <c r="J110" s="1473">
        <v>380000</v>
      </c>
      <c r="K110" s="1473"/>
      <c r="L110" s="1473"/>
      <c r="M110" s="1473"/>
      <c r="N110" s="1473"/>
      <c r="O110" s="1473"/>
      <c r="P110" s="1474"/>
      <c r="Q110" s="1475"/>
      <c r="R110" s="1473"/>
      <c r="S110" s="1473"/>
      <c r="T110" s="1473"/>
      <c r="U110" s="1473"/>
      <c r="V110" s="1473"/>
      <c r="W110" s="1473"/>
      <c r="X110" s="1474"/>
    </row>
    <row r="111" spans="1:24" ht="27.75" customHeight="1" x14ac:dyDescent="0.25">
      <c r="A111" s="1493" t="s">
        <v>274</v>
      </c>
      <c r="B111" s="1492" t="s">
        <v>286</v>
      </c>
      <c r="C111" s="1491" t="s">
        <v>2519</v>
      </c>
      <c r="D111" s="1470" t="s">
        <v>1823</v>
      </c>
      <c r="E111" s="1471" t="s">
        <v>162</v>
      </c>
      <c r="F111" s="1471" t="s">
        <v>132</v>
      </c>
      <c r="G111" s="1471" t="s">
        <v>1766</v>
      </c>
      <c r="H111" s="1473"/>
      <c r="I111" s="1473"/>
      <c r="J111" s="1473">
        <f>-99214+99214</f>
        <v>0</v>
      </c>
      <c r="K111" s="1473"/>
      <c r="L111" s="1473"/>
      <c r="M111" s="1473"/>
      <c r="N111" s="1473"/>
      <c r="O111" s="1473"/>
      <c r="P111" s="1474"/>
      <c r="Q111" s="1475"/>
      <c r="R111" s="1473"/>
      <c r="S111" s="1473"/>
      <c r="T111" s="1473"/>
      <c r="U111" s="1473"/>
      <c r="V111" s="1473"/>
      <c r="W111" s="1473"/>
      <c r="X111" s="1474"/>
    </row>
    <row r="112" spans="1:24" ht="18.75" customHeight="1" x14ac:dyDescent="0.25">
      <c r="A112" s="2047" t="s">
        <v>275</v>
      </c>
      <c r="B112" s="2045" t="s">
        <v>287</v>
      </c>
      <c r="C112" s="2043" t="s">
        <v>3181</v>
      </c>
      <c r="D112" s="1470" t="s">
        <v>1823</v>
      </c>
      <c r="E112" s="1471" t="s">
        <v>1297</v>
      </c>
      <c r="F112" s="1471" t="s">
        <v>127</v>
      </c>
      <c r="G112" s="1471" t="s">
        <v>1754</v>
      </c>
      <c r="H112" s="1473"/>
      <c r="I112" s="1473"/>
      <c r="J112" s="1473"/>
      <c r="K112" s="1473"/>
      <c r="L112" s="1473"/>
      <c r="M112" s="1473"/>
      <c r="N112" s="1473"/>
      <c r="O112" s="1473"/>
      <c r="P112" s="1474"/>
      <c r="Q112" s="1475"/>
      <c r="R112" s="1473"/>
      <c r="S112" s="1473"/>
      <c r="T112" s="1473"/>
      <c r="U112" s="1473"/>
      <c r="V112" s="1473"/>
      <c r="W112" s="1473"/>
      <c r="X112" s="1474">
        <v>1079851</v>
      </c>
    </row>
    <row r="113" spans="1:24" ht="18.75" customHeight="1" x14ac:dyDescent="0.25">
      <c r="A113" s="2048"/>
      <c r="B113" s="2046"/>
      <c r="C113" s="2044"/>
      <c r="D113" s="1470" t="s">
        <v>1823</v>
      </c>
      <c r="E113" s="1471" t="s">
        <v>162</v>
      </c>
      <c r="F113" s="1471" t="s">
        <v>131</v>
      </c>
      <c r="G113" s="1471" t="s">
        <v>1754</v>
      </c>
      <c r="H113" s="1473"/>
      <c r="I113" s="1473"/>
      <c r="J113" s="1473">
        <f>850276+229575</f>
        <v>1079851</v>
      </c>
      <c r="K113" s="1473"/>
      <c r="L113" s="1473"/>
      <c r="M113" s="1473"/>
      <c r="N113" s="1473"/>
      <c r="O113" s="1473"/>
      <c r="P113" s="1474"/>
      <c r="Q113" s="1475"/>
      <c r="R113" s="1473"/>
      <c r="S113" s="1473"/>
      <c r="T113" s="1473"/>
      <c r="U113" s="1473"/>
      <c r="V113" s="1473"/>
      <c r="W113" s="1473"/>
      <c r="X113" s="1474"/>
    </row>
    <row r="114" spans="1:24" ht="22.5" customHeight="1" x14ac:dyDescent="0.25">
      <c r="A114" s="2047" t="s">
        <v>276</v>
      </c>
      <c r="B114" s="2045" t="s">
        <v>288</v>
      </c>
      <c r="C114" s="2043" t="s">
        <v>3225</v>
      </c>
      <c r="D114" s="1470" t="s">
        <v>1823</v>
      </c>
      <c r="E114" s="1471" t="s">
        <v>1297</v>
      </c>
      <c r="F114" s="1471" t="s">
        <v>127</v>
      </c>
      <c r="G114" s="1471" t="s">
        <v>1754</v>
      </c>
      <c r="H114" s="1473"/>
      <c r="I114" s="1473"/>
      <c r="J114" s="1473"/>
      <c r="K114" s="1473"/>
      <c r="L114" s="1473"/>
      <c r="M114" s="1473"/>
      <c r="N114" s="1473"/>
      <c r="O114" s="1473"/>
      <c r="P114" s="1474"/>
      <c r="Q114" s="1475"/>
      <c r="R114" s="1473"/>
      <c r="S114" s="1473"/>
      <c r="T114" s="1473"/>
      <c r="U114" s="1473"/>
      <c r="V114" s="1473"/>
      <c r="W114" s="1473"/>
      <c r="X114" s="1474">
        <v>250000</v>
      </c>
    </row>
    <row r="115" spans="1:24" ht="22.5" customHeight="1" x14ac:dyDescent="0.25">
      <c r="A115" s="2048"/>
      <c r="B115" s="2046"/>
      <c r="C115" s="2044"/>
      <c r="D115" s="1470" t="s">
        <v>1823</v>
      </c>
      <c r="E115" s="1471" t="s">
        <v>162</v>
      </c>
      <c r="F115" s="1471" t="s">
        <v>132</v>
      </c>
      <c r="G115" s="1471" t="s">
        <v>1754</v>
      </c>
      <c r="H115" s="1473"/>
      <c r="I115" s="1473"/>
      <c r="J115" s="1473">
        <f>196850+53150</f>
        <v>250000</v>
      </c>
      <c r="K115" s="1473"/>
      <c r="L115" s="1473"/>
      <c r="M115" s="1473"/>
      <c r="N115" s="1473"/>
      <c r="O115" s="1473"/>
      <c r="P115" s="1474"/>
      <c r="Q115" s="1475"/>
      <c r="R115" s="1473"/>
      <c r="S115" s="1473"/>
      <c r="T115" s="1473"/>
      <c r="U115" s="1473"/>
      <c r="V115" s="1473"/>
      <c r="W115" s="1473"/>
      <c r="X115" s="1474"/>
    </row>
    <row r="116" spans="1:24" ht="20.25" customHeight="1" x14ac:dyDescent="0.25">
      <c r="A116" s="2047" t="s">
        <v>277</v>
      </c>
      <c r="B116" s="2045" t="s">
        <v>289</v>
      </c>
      <c r="C116" s="2043" t="s">
        <v>3241</v>
      </c>
      <c r="D116" s="1470" t="s">
        <v>1823</v>
      </c>
      <c r="E116" s="1471" t="s">
        <v>162</v>
      </c>
      <c r="F116" s="1471" t="s">
        <v>90</v>
      </c>
      <c r="G116" s="1471" t="s">
        <v>1752</v>
      </c>
      <c r="H116" s="1473">
        <v>-37500</v>
      </c>
      <c r="I116" s="1473">
        <v>-4388</v>
      </c>
      <c r="J116" s="1473"/>
      <c r="K116" s="1473"/>
      <c r="L116" s="1473"/>
      <c r="M116" s="1473"/>
      <c r="N116" s="1473"/>
      <c r="O116" s="1473"/>
      <c r="P116" s="1474"/>
      <c r="Q116" s="1475"/>
      <c r="R116" s="1473"/>
      <c r="S116" s="1473"/>
      <c r="T116" s="1473"/>
      <c r="U116" s="1473"/>
      <c r="V116" s="1473"/>
      <c r="W116" s="1473"/>
      <c r="X116" s="1474"/>
    </row>
    <row r="117" spans="1:24" ht="21" customHeight="1" x14ac:dyDescent="0.25">
      <c r="A117" s="2048"/>
      <c r="B117" s="2046"/>
      <c r="C117" s="2044"/>
      <c r="D117" s="1470" t="s">
        <v>1823</v>
      </c>
      <c r="E117" s="1471" t="s">
        <v>790</v>
      </c>
      <c r="F117" s="1471" t="s">
        <v>150</v>
      </c>
      <c r="G117" s="1471" t="s">
        <v>1754</v>
      </c>
      <c r="H117" s="1473">
        <v>37500</v>
      </c>
      <c r="I117" s="1473">
        <v>4388</v>
      </c>
      <c r="J117" s="1473"/>
      <c r="K117" s="1473"/>
      <c r="L117" s="1473"/>
      <c r="M117" s="1473"/>
      <c r="N117" s="1473"/>
      <c r="O117" s="1473"/>
      <c r="P117" s="1474"/>
      <c r="Q117" s="1475"/>
      <c r="R117" s="1473"/>
      <c r="S117" s="1473"/>
      <c r="T117" s="1473"/>
      <c r="U117" s="1473"/>
      <c r="V117" s="1473"/>
      <c r="W117" s="1473"/>
      <c r="X117" s="1474"/>
    </row>
    <row r="118" spans="1:24" ht="27" customHeight="1" x14ac:dyDescent="0.25">
      <c r="A118" s="1493" t="s">
        <v>278</v>
      </c>
      <c r="B118" s="1492" t="s">
        <v>290</v>
      </c>
      <c r="C118" s="1491" t="s">
        <v>3268</v>
      </c>
      <c r="D118" s="1470" t="s">
        <v>1823</v>
      </c>
      <c r="E118" s="1471" t="s">
        <v>162</v>
      </c>
      <c r="F118" s="1471" t="s">
        <v>90</v>
      </c>
      <c r="G118" s="1471" t="s">
        <v>1766</v>
      </c>
      <c r="H118" s="1473"/>
      <c r="I118" s="1473"/>
      <c r="J118" s="1473">
        <f>-200000+200000</f>
        <v>0</v>
      </c>
      <c r="K118" s="1473"/>
      <c r="L118" s="1473"/>
      <c r="M118" s="1473"/>
      <c r="N118" s="1473"/>
      <c r="O118" s="1473"/>
      <c r="P118" s="1474"/>
      <c r="Q118" s="1475"/>
      <c r="R118" s="1473"/>
      <c r="S118" s="1473"/>
      <c r="T118" s="1473"/>
      <c r="U118" s="1473"/>
      <c r="V118" s="1473"/>
      <c r="W118" s="1473"/>
      <c r="X118" s="1474"/>
    </row>
    <row r="119" spans="1:24" ht="41.25" customHeight="1" x14ac:dyDescent="0.25">
      <c r="A119" s="1493" t="s">
        <v>282</v>
      </c>
      <c r="B119" s="1492" t="s">
        <v>291</v>
      </c>
      <c r="C119" s="1491" t="s">
        <v>3275</v>
      </c>
      <c r="D119" s="1470" t="s">
        <v>1823</v>
      </c>
      <c r="E119" s="1471" t="s">
        <v>162</v>
      </c>
      <c r="F119" s="1471" t="s">
        <v>131</v>
      </c>
      <c r="G119" s="1471" t="s">
        <v>1766</v>
      </c>
      <c r="H119" s="1473"/>
      <c r="I119" s="1473"/>
      <c r="J119" s="1473">
        <f>-96163-25964</f>
        <v>-122127</v>
      </c>
      <c r="K119" s="1473"/>
      <c r="L119" s="1473"/>
      <c r="M119" s="1473">
        <f>96163+25964</f>
        <v>122127</v>
      </c>
      <c r="N119" s="1473"/>
      <c r="O119" s="1473"/>
      <c r="P119" s="1474"/>
      <c r="Q119" s="1475"/>
      <c r="R119" s="1473"/>
      <c r="S119" s="1473"/>
      <c r="T119" s="1473"/>
      <c r="U119" s="1473"/>
      <c r="V119" s="1473"/>
      <c r="W119" s="1473"/>
      <c r="X119" s="1474"/>
    </row>
    <row r="120" spans="1:24" ht="17.25" customHeight="1" x14ac:dyDescent="0.25">
      <c r="A120" s="2047" t="s">
        <v>283</v>
      </c>
      <c r="B120" s="2045" t="s">
        <v>292</v>
      </c>
      <c r="C120" s="2043" t="s">
        <v>3347</v>
      </c>
      <c r="D120" s="1470" t="s">
        <v>1823</v>
      </c>
      <c r="E120" s="1471" t="s">
        <v>1297</v>
      </c>
      <c r="F120" s="1471" t="s">
        <v>127</v>
      </c>
      <c r="G120" s="1471" t="s">
        <v>1754</v>
      </c>
      <c r="H120" s="1473"/>
      <c r="I120" s="1473"/>
      <c r="J120" s="1473"/>
      <c r="K120" s="1473"/>
      <c r="L120" s="1473"/>
      <c r="M120" s="1473"/>
      <c r="N120" s="1473"/>
      <c r="O120" s="1473"/>
      <c r="P120" s="1474"/>
      <c r="Q120" s="1475"/>
      <c r="R120" s="1473"/>
      <c r="S120" s="1473"/>
      <c r="T120" s="1473"/>
      <c r="U120" s="1473"/>
      <c r="V120" s="1473"/>
      <c r="W120" s="1473"/>
      <c r="X120" s="1474">
        <v>138400</v>
      </c>
    </row>
    <row r="121" spans="1:24" ht="17.25" customHeight="1" x14ac:dyDescent="0.25">
      <c r="A121" s="2048"/>
      <c r="B121" s="2046"/>
      <c r="C121" s="2044"/>
      <c r="D121" s="1470" t="s">
        <v>1823</v>
      </c>
      <c r="E121" s="1471" t="s">
        <v>162</v>
      </c>
      <c r="F121" s="1471" t="s">
        <v>131</v>
      </c>
      <c r="G121" s="1471" t="s">
        <v>1754</v>
      </c>
      <c r="H121" s="1473"/>
      <c r="I121" s="1473"/>
      <c r="J121" s="1473">
        <f>108976+29424</f>
        <v>138400</v>
      </c>
      <c r="K121" s="1473"/>
      <c r="L121" s="1473"/>
      <c r="M121" s="1473"/>
      <c r="N121" s="1473"/>
      <c r="O121" s="1473"/>
      <c r="P121" s="1474"/>
      <c r="Q121" s="1475"/>
      <c r="R121" s="1473"/>
      <c r="S121" s="1473"/>
      <c r="T121" s="1473"/>
      <c r="U121" s="1473"/>
      <c r="V121" s="1473"/>
      <c r="W121" s="1473"/>
      <c r="X121" s="1474"/>
    </row>
    <row r="122" spans="1:24" ht="19.5" customHeight="1" x14ac:dyDescent="0.25">
      <c r="A122" s="2047" t="s">
        <v>284</v>
      </c>
      <c r="B122" s="2045" t="s">
        <v>293</v>
      </c>
      <c r="C122" s="2043" t="s">
        <v>3374</v>
      </c>
      <c r="D122" s="1470" t="s">
        <v>1823</v>
      </c>
      <c r="E122" s="1471" t="s">
        <v>162</v>
      </c>
      <c r="F122" s="1471" t="s">
        <v>90</v>
      </c>
      <c r="G122" s="1471" t="s">
        <v>1752</v>
      </c>
      <c r="H122" s="1473">
        <v>-46875</v>
      </c>
      <c r="I122" s="1473">
        <v>-5484</v>
      </c>
      <c r="J122" s="1473"/>
      <c r="K122" s="1473"/>
      <c r="L122" s="1473"/>
      <c r="M122" s="1473"/>
      <c r="N122" s="1473"/>
      <c r="O122" s="1473"/>
      <c r="P122" s="1474"/>
      <c r="Q122" s="1475"/>
      <c r="R122" s="1473"/>
      <c r="S122" s="1473"/>
      <c r="T122" s="1473"/>
      <c r="U122" s="1473"/>
      <c r="V122" s="1473"/>
      <c r="W122" s="1473"/>
      <c r="X122" s="1474"/>
    </row>
    <row r="123" spans="1:24" ht="19.5" customHeight="1" x14ac:dyDescent="0.25">
      <c r="A123" s="2054"/>
      <c r="B123" s="2053"/>
      <c r="C123" s="2049"/>
      <c r="D123" s="1470" t="s">
        <v>1823</v>
      </c>
      <c r="E123" s="1471" t="s">
        <v>790</v>
      </c>
      <c r="F123" s="1471" t="s">
        <v>150</v>
      </c>
      <c r="G123" s="1471" t="s">
        <v>1754</v>
      </c>
      <c r="H123" s="1473">
        <v>46875</v>
      </c>
      <c r="I123" s="1473">
        <v>5484</v>
      </c>
      <c r="J123" s="1473"/>
      <c r="K123" s="1473"/>
      <c r="L123" s="1473"/>
      <c r="M123" s="1473"/>
      <c r="N123" s="1473"/>
      <c r="O123" s="1473"/>
      <c r="P123" s="1474"/>
      <c r="Q123" s="1475"/>
      <c r="R123" s="1473"/>
      <c r="S123" s="1473"/>
      <c r="T123" s="1473"/>
      <c r="U123" s="1473"/>
      <c r="V123" s="1473"/>
      <c r="W123" s="1473"/>
      <c r="X123" s="1474"/>
    </row>
    <row r="124" spans="1:24" ht="19.5" customHeight="1" x14ac:dyDescent="0.25">
      <c r="A124" s="2048"/>
      <c r="B124" s="2046"/>
      <c r="C124" s="2044"/>
      <c r="D124" s="1470" t="s">
        <v>1823</v>
      </c>
      <c r="E124" s="1471" t="s">
        <v>162</v>
      </c>
      <c r="F124" s="1471" t="s">
        <v>131</v>
      </c>
      <c r="G124" s="1471" t="s">
        <v>1766</v>
      </c>
      <c r="H124" s="1473">
        <f>-115066+115066</f>
        <v>0</v>
      </c>
      <c r="I124" s="1473"/>
      <c r="J124" s="1473"/>
      <c r="K124" s="1473"/>
      <c r="L124" s="1473"/>
      <c r="M124" s="1473"/>
      <c r="N124" s="1473"/>
      <c r="O124" s="1473"/>
      <c r="P124" s="1474"/>
      <c r="Q124" s="1475"/>
      <c r="R124" s="1473"/>
      <c r="S124" s="1473"/>
      <c r="T124" s="1473"/>
      <c r="U124" s="1473"/>
      <c r="V124" s="1473"/>
      <c r="W124" s="1473"/>
      <c r="X124" s="1474"/>
    </row>
    <row r="125" spans="1:24" ht="20.25" customHeight="1" x14ac:dyDescent="0.25">
      <c r="A125" s="2047" t="s">
        <v>285</v>
      </c>
      <c r="B125" s="2045" t="s">
        <v>194</v>
      </c>
      <c r="C125" s="2043" t="s">
        <v>3414</v>
      </c>
      <c r="D125" s="1470" t="s">
        <v>1823</v>
      </c>
      <c r="E125" s="1471" t="s">
        <v>1297</v>
      </c>
      <c r="F125" s="1471" t="s">
        <v>127</v>
      </c>
      <c r="G125" s="1471" t="s">
        <v>1754</v>
      </c>
      <c r="H125" s="1473"/>
      <c r="I125" s="1473"/>
      <c r="J125" s="1473"/>
      <c r="K125" s="1473"/>
      <c r="L125" s="1473"/>
      <c r="M125" s="1473"/>
      <c r="N125" s="1473"/>
      <c r="O125" s="1473"/>
      <c r="P125" s="1474"/>
      <c r="Q125" s="1475"/>
      <c r="R125" s="1473"/>
      <c r="S125" s="1473"/>
      <c r="T125" s="1473"/>
      <c r="U125" s="1473"/>
      <c r="V125" s="1473"/>
      <c r="W125" s="1473"/>
      <c r="X125" s="1474">
        <v>2535300</v>
      </c>
    </row>
    <row r="126" spans="1:24" ht="20.25" customHeight="1" x14ac:dyDescent="0.25">
      <c r="A126" s="2048"/>
      <c r="B126" s="2046"/>
      <c r="C126" s="2044"/>
      <c r="D126" s="1470" t="s">
        <v>1823</v>
      </c>
      <c r="E126" s="1471" t="s">
        <v>162</v>
      </c>
      <c r="F126" s="1471" t="s">
        <v>90</v>
      </c>
      <c r="G126" s="1471" t="s">
        <v>1754</v>
      </c>
      <c r="H126" s="1473"/>
      <c r="I126" s="1473"/>
      <c r="J126" s="1473">
        <f>1996299+539001</f>
        <v>2535300</v>
      </c>
      <c r="K126" s="1473"/>
      <c r="L126" s="1473"/>
      <c r="M126" s="1473"/>
      <c r="N126" s="1473"/>
      <c r="O126" s="1473"/>
      <c r="P126" s="1474"/>
      <c r="Q126" s="1475"/>
      <c r="R126" s="1473"/>
      <c r="S126" s="1473"/>
      <c r="T126" s="1473"/>
      <c r="U126" s="1473"/>
      <c r="V126" s="1473"/>
      <c r="W126" s="1473"/>
      <c r="X126" s="1474"/>
    </row>
    <row r="127" spans="1:24" ht="30.75" customHeight="1" x14ac:dyDescent="0.25">
      <c r="A127" s="1493" t="s">
        <v>286</v>
      </c>
      <c r="B127" s="1492" t="s">
        <v>195</v>
      </c>
      <c r="C127" s="1469" t="s">
        <v>3450</v>
      </c>
      <c r="D127" s="1470" t="s">
        <v>1823</v>
      </c>
      <c r="E127" s="1471" t="s">
        <v>162</v>
      </c>
      <c r="F127" s="1471" t="s">
        <v>90</v>
      </c>
      <c r="G127" s="1471" t="s">
        <v>1766</v>
      </c>
      <c r="H127" s="1473"/>
      <c r="I127" s="1473"/>
      <c r="J127" s="1473">
        <f>-20000+20000</f>
        <v>0</v>
      </c>
      <c r="K127" s="1473"/>
      <c r="L127" s="1473"/>
      <c r="M127" s="1473"/>
      <c r="N127" s="1473"/>
      <c r="O127" s="1473"/>
      <c r="P127" s="1474"/>
      <c r="Q127" s="1475"/>
      <c r="R127" s="1473"/>
      <c r="S127" s="1473"/>
      <c r="T127" s="1473"/>
      <c r="U127" s="1473"/>
      <c r="V127" s="1473"/>
      <c r="W127" s="1473"/>
      <c r="X127" s="1474"/>
    </row>
    <row r="128" spans="1:24" ht="30.75" customHeight="1" x14ac:dyDescent="0.25">
      <c r="A128" s="1493" t="s">
        <v>287</v>
      </c>
      <c r="B128" s="1492" t="s">
        <v>196</v>
      </c>
      <c r="C128" s="1469" t="s">
        <v>2519</v>
      </c>
      <c r="D128" s="1470" t="s">
        <v>1823</v>
      </c>
      <c r="E128" s="1471" t="s">
        <v>162</v>
      </c>
      <c r="F128" s="1471" t="s">
        <v>132</v>
      </c>
      <c r="G128" s="1471" t="s">
        <v>1766</v>
      </c>
      <c r="H128" s="1473"/>
      <c r="I128" s="1473"/>
      <c r="J128" s="1473">
        <f>-1617+1617</f>
        <v>0</v>
      </c>
      <c r="K128" s="1473"/>
      <c r="L128" s="1473"/>
      <c r="M128" s="1473"/>
      <c r="N128" s="1473"/>
      <c r="O128" s="1473"/>
      <c r="P128" s="1474"/>
      <c r="Q128" s="1475"/>
      <c r="R128" s="1473"/>
      <c r="S128" s="1473"/>
      <c r="T128" s="1473"/>
      <c r="U128" s="1473"/>
      <c r="V128" s="1473"/>
      <c r="W128" s="1473"/>
      <c r="X128" s="1474"/>
    </row>
    <row r="129" spans="1:24" ht="27.75" customHeight="1" x14ac:dyDescent="0.25">
      <c r="A129" s="1493" t="s">
        <v>288</v>
      </c>
      <c r="B129" s="1497" t="s">
        <v>3535</v>
      </c>
      <c r="C129" s="1469" t="s">
        <v>3536</v>
      </c>
      <c r="D129" s="1470" t="s">
        <v>1823</v>
      </c>
      <c r="E129" s="1471" t="s">
        <v>162</v>
      </c>
      <c r="F129" s="1471" t="s">
        <v>90</v>
      </c>
      <c r="G129" s="1471" t="s">
        <v>1752</v>
      </c>
      <c r="H129" s="1473"/>
      <c r="I129" s="1473"/>
      <c r="J129" s="1473">
        <v>-74513</v>
      </c>
      <c r="K129" s="1473"/>
      <c r="L129" s="1473"/>
      <c r="M129" s="1473"/>
      <c r="N129" s="1473"/>
      <c r="O129" s="1473"/>
      <c r="P129" s="1474"/>
      <c r="Q129" s="1475"/>
      <c r="R129" s="1473"/>
      <c r="S129" s="1473"/>
      <c r="T129" s="1473">
        <f>-74500-13</f>
        <v>-74513</v>
      </c>
      <c r="U129" s="1473"/>
      <c r="V129" s="1473"/>
      <c r="W129" s="1473"/>
      <c r="X129" s="1474"/>
    </row>
    <row r="130" spans="1:24" x14ac:dyDescent="0.25">
      <c r="A130" s="1493"/>
      <c r="B130" s="1492"/>
      <c r="C130" s="1469"/>
      <c r="D130" s="1470"/>
      <c r="E130" s="1471"/>
      <c r="F130" s="1471"/>
      <c r="G130" s="1471"/>
      <c r="H130" s="1473"/>
      <c r="I130" s="1473"/>
      <c r="J130" s="1473"/>
      <c r="K130" s="1473"/>
      <c r="L130" s="1473"/>
      <c r="M130" s="1473"/>
      <c r="N130" s="1473"/>
      <c r="O130" s="1473"/>
      <c r="P130" s="1474"/>
      <c r="Q130" s="1475"/>
      <c r="R130" s="1473"/>
      <c r="S130" s="1473"/>
      <c r="T130" s="1473"/>
      <c r="U130" s="1473"/>
      <c r="V130" s="1473"/>
      <c r="W130" s="1473"/>
      <c r="X130" s="1474"/>
    </row>
    <row r="131" spans="1:24" ht="18.75" x14ac:dyDescent="0.3">
      <c r="A131" s="2021" t="s">
        <v>1663</v>
      </c>
      <c r="B131" s="2022"/>
      <c r="C131" s="2022"/>
      <c r="D131" s="956"/>
      <c r="E131" s="956"/>
      <c r="F131" s="956"/>
      <c r="G131" s="956"/>
      <c r="H131" s="1595">
        <f t="shared" ref="H131:X131" si="3">SUM(H106:H130)+H87</f>
        <v>7775000</v>
      </c>
      <c r="I131" s="1595">
        <f t="shared" si="3"/>
        <v>1010750</v>
      </c>
      <c r="J131" s="1595">
        <f t="shared" si="3"/>
        <v>16601520</v>
      </c>
      <c r="K131" s="1595">
        <f t="shared" si="3"/>
        <v>0</v>
      </c>
      <c r="L131" s="1595">
        <f t="shared" si="3"/>
        <v>5540351</v>
      </c>
      <c r="M131" s="1595">
        <f t="shared" si="3"/>
        <v>3773767</v>
      </c>
      <c r="N131" s="1595">
        <f t="shared" si="3"/>
        <v>0</v>
      </c>
      <c r="O131" s="1595">
        <f t="shared" si="3"/>
        <v>0</v>
      </c>
      <c r="P131" s="1596">
        <f t="shared" si="3"/>
        <v>0</v>
      </c>
      <c r="Q131" s="1597">
        <f t="shared" si="3"/>
        <v>350000</v>
      </c>
      <c r="R131" s="1595">
        <f t="shared" si="3"/>
        <v>0</v>
      </c>
      <c r="S131" s="1595">
        <f t="shared" si="3"/>
        <v>0</v>
      </c>
      <c r="T131" s="1595">
        <f t="shared" si="3"/>
        <v>1575801</v>
      </c>
      <c r="U131" s="1595">
        <f t="shared" si="3"/>
        <v>0</v>
      </c>
      <c r="V131" s="1595">
        <f t="shared" si="3"/>
        <v>0</v>
      </c>
      <c r="W131" s="1595">
        <f t="shared" si="3"/>
        <v>0</v>
      </c>
      <c r="X131" s="1596">
        <f t="shared" si="3"/>
        <v>32775587</v>
      </c>
    </row>
    <row r="132" spans="1:24" ht="17.25" customHeight="1" x14ac:dyDescent="0.25">
      <c r="H132" s="1018">
        <f>'2.3. sz. Mese Óvoda'!Q9-'2.3. sz. Mese Óvoda'!P9</f>
        <v>7775000</v>
      </c>
      <c r="I132" s="1018">
        <f>'2.3. sz. Mese Óvoda'!Q10-'2.3. sz. Mese Óvoda'!P10</f>
        <v>1010750</v>
      </c>
      <c r="J132" s="1018">
        <f>'2.3. sz. Mese Óvoda'!Q11-'2.3. sz. Mese Óvoda'!P11</f>
        <v>16601520</v>
      </c>
      <c r="K132" s="1018">
        <f>'2.3. sz. Mese Óvoda'!Q12-'2.3. sz. Mese Óvoda'!P12</f>
        <v>0</v>
      </c>
      <c r="L132" s="1018">
        <f>'2.3. sz. Mese Óvoda'!Q13-'2.3. sz. Mese Óvoda'!P13</f>
        <v>5540351</v>
      </c>
      <c r="M132" s="1018">
        <f>'2.3. sz. Mese Óvoda'!Q17-'2.3. sz. Mese Óvoda'!P17</f>
        <v>3773767</v>
      </c>
      <c r="N132" s="1018">
        <f>'2.3. sz. Mese Óvoda'!Q18-'2.3. sz. Mese Óvoda'!P18</f>
        <v>0</v>
      </c>
      <c r="O132" s="1018">
        <f>'2.3. sz. Mese Óvoda'!Q19-'2.3. sz. Mese Óvoda'!P19</f>
        <v>0</v>
      </c>
      <c r="P132" s="1018">
        <f>'2.3. sz. Mese Óvoda'!Q22-'2.3. sz. Mese Óvoda'!P22</f>
        <v>0</v>
      </c>
      <c r="Q132" s="1018">
        <f>'2.3. sz. Mese Óvoda'!Q31-'2.3. sz. Mese Óvoda'!P31</f>
        <v>350000</v>
      </c>
      <c r="R132" s="1018">
        <f>'2.3. sz. Mese Óvoda'!Q32-'2.3. sz. Mese Óvoda'!P32</f>
        <v>0</v>
      </c>
      <c r="S132" s="1018">
        <f>'2.3. sz. Mese Óvoda'!Q33-'2.3. sz. Mese Óvoda'!P33</f>
        <v>0</v>
      </c>
      <c r="T132" s="1018">
        <f>'2.3. sz. Mese Óvoda'!Q34-'2.3. sz. Mese Óvoda'!P34</f>
        <v>1575801</v>
      </c>
      <c r="U132" s="1018">
        <f>'2.3. sz. Mese Óvoda'!Q35-'2.3. sz. Mese Óvoda'!P35</f>
        <v>0</v>
      </c>
      <c r="V132" s="1018">
        <f>'2.3. sz. Mese Óvoda'!Q36-'2.3. sz. Mese Óvoda'!P36</f>
        <v>0</v>
      </c>
      <c r="W132" s="1018">
        <f>'2.3. sz. Mese Óvoda'!Q37-'2.3. sz. Mese Óvoda'!P37</f>
        <v>0</v>
      </c>
      <c r="X132" s="1018">
        <f>'2.3. sz. Mese Óvoda'!Q39-'2.3. sz. Mese Óvoda'!P39</f>
        <v>32775587</v>
      </c>
    </row>
    <row r="133" spans="1:24" ht="17.25" customHeight="1" x14ac:dyDescent="0.25">
      <c r="H133" s="966">
        <f>+H132-H131</f>
        <v>0</v>
      </c>
      <c r="I133" s="966">
        <f t="shared" ref="I133:S133" si="4">+I132-I131</f>
        <v>0</v>
      </c>
      <c r="J133" s="966">
        <f t="shared" si="4"/>
        <v>0</v>
      </c>
      <c r="K133" s="966">
        <f t="shared" si="4"/>
        <v>0</v>
      </c>
      <c r="L133" s="966">
        <f t="shared" si="4"/>
        <v>0</v>
      </c>
      <c r="M133" s="966">
        <f t="shared" si="4"/>
        <v>0</v>
      </c>
      <c r="N133" s="966">
        <f t="shared" si="4"/>
        <v>0</v>
      </c>
      <c r="O133" s="966">
        <f t="shared" si="4"/>
        <v>0</v>
      </c>
      <c r="P133" s="966">
        <f t="shared" si="4"/>
        <v>0</v>
      </c>
      <c r="Q133" s="966">
        <f t="shared" si="4"/>
        <v>0</v>
      </c>
      <c r="R133" s="966">
        <f t="shared" si="4"/>
        <v>0</v>
      </c>
      <c r="S133" s="966">
        <f t="shared" si="4"/>
        <v>0</v>
      </c>
      <c r="T133" s="966">
        <f>+T132-T131</f>
        <v>0</v>
      </c>
      <c r="U133" s="966">
        <f>+U132-U131</f>
        <v>0</v>
      </c>
      <c r="V133" s="966">
        <f>+V132-V131</f>
        <v>0</v>
      </c>
      <c r="W133" s="966">
        <f>+W132-W131</f>
        <v>0</v>
      </c>
      <c r="X133" s="966">
        <f>+X132-X131</f>
        <v>0</v>
      </c>
    </row>
    <row r="134" spans="1:24" x14ac:dyDescent="0.25">
      <c r="Q134" s="968"/>
    </row>
    <row r="135" spans="1:24" x14ac:dyDescent="0.25">
      <c r="Q135" s="968"/>
    </row>
    <row r="136" spans="1:24" ht="23.25" customHeight="1" x14ac:dyDescent="0.25">
      <c r="I136" s="2074" t="s">
        <v>1664</v>
      </c>
      <c r="J136" s="2075"/>
      <c r="K136" s="2076"/>
      <c r="L136" s="2074">
        <v>516426202</v>
      </c>
      <c r="M136" s="2076"/>
      <c r="N136" s="996"/>
      <c r="O136" s="996"/>
      <c r="P136" s="996"/>
      <c r="Q136" s="996"/>
      <c r="R136" s="2074" t="s">
        <v>1665</v>
      </c>
      <c r="S136" s="2075"/>
      <c r="T136" s="2076"/>
      <c r="U136" s="2074">
        <v>516426202</v>
      </c>
      <c r="V136" s="2076"/>
    </row>
    <row r="137" spans="1:24" ht="21.75" customHeight="1" x14ac:dyDescent="0.25">
      <c r="I137" s="2074" t="s">
        <v>1666</v>
      </c>
      <c r="J137" s="2075"/>
      <c r="K137" s="2076"/>
      <c r="L137" s="2074">
        <f>SUM(H131:P131)</f>
        <v>34701388</v>
      </c>
      <c r="M137" s="2076"/>
      <c r="N137" s="996"/>
      <c r="O137" s="996"/>
      <c r="P137" s="996"/>
      <c r="Q137" s="996"/>
      <c r="R137" s="2074" t="s">
        <v>1666</v>
      </c>
      <c r="S137" s="2075"/>
      <c r="T137" s="2076"/>
      <c r="U137" s="2074">
        <f>SUM(Q131:X131)</f>
        <v>34701388</v>
      </c>
      <c r="V137" s="2076"/>
    </row>
    <row r="138" spans="1:24" ht="21.75" customHeight="1" x14ac:dyDescent="0.25">
      <c r="I138" s="2074" t="s">
        <v>1512</v>
      </c>
      <c r="J138" s="2075"/>
      <c r="K138" s="2076"/>
      <c r="L138" s="2074">
        <f>+L136+L137</f>
        <v>551127590</v>
      </c>
      <c r="M138" s="2076"/>
      <c r="N138" s="996"/>
      <c r="O138" s="996"/>
      <c r="P138" s="996"/>
      <c r="Q138" s="996"/>
      <c r="R138" s="2074" t="s">
        <v>1512</v>
      </c>
      <c r="S138" s="2075"/>
      <c r="T138" s="2076"/>
      <c r="U138" s="2074">
        <f>+U136+U137</f>
        <v>551127590</v>
      </c>
      <c r="V138" s="2076"/>
    </row>
    <row r="139" spans="1:24" x14ac:dyDescent="0.25">
      <c r="Q139" s="968"/>
    </row>
    <row r="140" spans="1:24" x14ac:dyDescent="0.25">
      <c r="Q140" s="968"/>
    </row>
    <row r="141" spans="1:24" x14ac:dyDescent="0.25">
      <c r="Q141" s="968"/>
    </row>
    <row r="142" spans="1:24" x14ac:dyDescent="0.25">
      <c r="Q142" s="968"/>
    </row>
    <row r="143" spans="1:24" x14ac:dyDescent="0.25">
      <c r="Q143" s="968"/>
    </row>
    <row r="144" spans="1:24" x14ac:dyDescent="0.25">
      <c r="Q144" s="968"/>
    </row>
    <row r="145" spans="17:17" x14ac:dyDescent="0.25">
      <c r="Q145" s="968"/>
    </row>
  </sheetData>
  <mergeCells count="156">
    <mergeCell ref="A125:A126"/>
    <mergeCell ref="C114:C115"/>
    <mergeCell ref="B114:B115"/>
    <mergeCell ref="A114:A115"/>
    <mergeCell ref="C112:C113"/>
    <mergeCell ref="B112:B113"/>
    <mergeCell ref="A112:A113"/>
    <mergeCell ref="C109:C110"/>
    <mergeCell ref="B109:B110"/>
    <mergeCell ref="A109:A110"/>
    <mergeCell ref="C116:C117"/>
    <mergeCell ref="B116:B117"/>
    <mergeCell ref="A116:A117"/>
    <mergeCell ref="C120:C121"/>
    <mergeCell ref="B120:B121"/>
    <mergeCell ref="A120:A121"/>
    <mergeCell ref="C122:C124"/>
    <mergeCell ref="A122:A124"/>
    <mergeCell ref="B122:B124"/>
    <mergeCell ref="C125:C126"/>
    <mergeCell ref="B125:B126"/>
    <mergeCell ref="C106:C107"/>
    <mergeCell ref="B106:B107"/>
    <mergeCell ref="A106:A107"/>
    <mergeCell ref="I93:K93"/>
    <mergeCell ref="L93:M93"/>
    <mergeCell ref="R93:T93"/>
    <mergeCell ref="U93:V93"/>
    <mergeCell ref="I94:K94"/>
    <mergeCell ref="L94:M94"/>
    <mergeCell ref="R94:T94"/>
    <mergeCell ref="U94:V94"/>
    <mergeCell ref="A99:X99"/>
    <mergeCell ref="A102:X102"/>
    <mergeCell ref="A104:A105"/>
    <mergeCell ref="B104:B105"/>
    <mergeCell ref="C104:C105"/>
    <mergeCell ref="D104:D105"/>
    <mergeCell ref="E104:E105"/>
    <mergeCell ref="F104:F105"/>
    <mergeCell ref="G104:G105"/>
    <mergeCell ref="H104:O104"/>
    <mergeCell ref="Q104:X104"/>
    <mergeCell ref="A87:C87"/>
    <mergeCell ref="I92:K92"/>
    <mergeCell ref="L92:M92"/>
    <mergeCell ref="R92:T92"/>
    <mergeCell ref="U92:V92"/>
    <mergeCell ref="A76:X76"/>
    <mergeCell ref="A79:X79"/>
    <mergeCell ref="A81:A82"/>
    <mergeCell ref="B81:B82"/>
    <mergeCell ref="C81:C82"/>
    <mergeCell ref="D81:D82"/>
    <mergeCell ref="E81:E82"/>
    <mergeCell ref="F81:F82"/>
    <mergeCell ref="G81:G82"/>
    <mergeCell ref="H81:O81"/>
    <mergeCell ref="Q81:X81"/>
    <mergeCell ref="A49:A50"/>
    <mergeCell ref="C45:C47"/>
    <mergeCell ref="B45:B47"/>
    <mergeCell ref="A45:A47"/>
    <mergeCell ref="A40:A42"/>
    <mergeCell ref="C7:C9"/>
    <mergeCell ref="B7:B9"/>
    <mergeCell ref="A7:A9"/>
    <mergeCell ref="B12:B13"/>
    <mergeCell ref="B38:B39"/>
    <mergeCell ref="C38:C39"/>
    <mergeCell ref="A38:A39"/>
    <mergeCell ref="A12:A13"/>
    <mergeCell ref="B14:B16"/>
    <mergeCell ref="A14:A16"/>
    <mergeCell ref="A31:X31"/>
    <mergeCell ref="A34:X34"/>
    <mergeCell ref="A36:A37"/>
    <mergeCell ref="R24:T24"/>
    <mergeCell ref="U24:V24"/>
    <mergeCell ref="C12:C13"/>
    <mergeCell ref="I24:K24"/>
    <mergeCell ref="L24:M24"/>
    <mergeCell ref="C14:C16"/>
    <mergeCell ref="A1:X1"/>
    <mergeCell ref="A3:X3"/>
    <mergeCell ref="A5:A6"/>
    <mergeCell ref="B5:B6"/>
    <mergeCell ref="C5:C6"/>
    <mergeCell ref="D5:D6"/>
    <mergeCell ref="E5:E6"/>
    <mergeCell ref="F5:F6"/>
    <mergeCell ref="G5:G6"/>
    <mergeCell ref="H5:O5"/>
    <mergeCell ref="Q5:X5"/>
    <mergeCell ref="A20:C20"/>
    <mergeCell ref="C17:C18"/>
    <mergeCell ref="B17:B18"/>
    <mergeCell ref="A17:A18"/>
    <mergeCell ref="I26:K26"/>
    <mergeCell ref="L26:M26"/>
    <mergeCell ref="R26:T26"/>
    <mergeCell ref="U26:V26"/>
    <mergeCell ref="I25:K25"/>
    <mergeCell ref="L25:M25"/>
    <mergeCell ref="R25:T25"/>
    <mergeCell ref="U25:V25"/>
    <mergeCell ref="B36:B37"/>
    <mergeCell ref="C36:C37"/>
    <mergeCell ref="D36:D37"/>
    <mergeCell ref="E36:E37"/>
    <mergeCell ref="R70:T70"/>
    <mergeCell ref="C52:C53"/>
    <mergeCell ref="B52:B53"/>
    <mergeCell ref="C40:C42"/>
    <mergeCell ref="B40:B42"/>
    <mergeCell ref="C49:C50"/>
    <mergeCell ref="B49:B50"/>
    <mergeCell ref="C56:C57"/>
    <mergeCell ref="B56:B57"/>
    <mergeCell ref="C58:C59"/>
    <mergeCell ref="B58:B59"/>
    <mergeCell ref="C60:C61"/>
    <mergeCell ref="U70:V70"/>
    <mergeCell ref="F36:F37"/>
    <mergeCell ref="G36:G37"/>
    <mergeCell ref="H36:O36"/>
    <mergeCell ref="Q36:X36"/>
    <mergeCell ref="R71:T71"/>
    <mergeCell ref="U71:V71"/>
    <mergeCell ref="I72:K72"/>
    <mergeCell ref="L72:M72"/>
    <mergeCell ref="R72:T72"/>
    <mergeCell ref="U72:V72"/>
    <mergeCell ref="A52:A53"/>
    <mergeCell ref="I71:K71"/>
    <mergeCell ref="L71:M71"/>
    <mergeCell ref="A65:C65"/>
    <mergeCell ref="I70:K70"/>
    <mergeCell ref="L70:M70"/>
    <mergeCell ref="A56:A57"/>
    <mergeCell ref="A58:A59"/>
    <mergeCell ref="B60:B61"/>
    <mergeCell ref="A60:A61"/>
    <mergeCell ref="I138:K138"/>
    <mergeCell ref="L138:M138"/>
    <mergeCell ref="R138:T138"/>
    <mergeCell ref="U138:V138"/>
    <mergeCell ref="A131:C131"/>
    <mergeCell ref="I136:K136"/>
    <mergeCell ref="L136:M136"/>
    <mergeCell ref="R136:T136"/>
    <mergeCell ref="U136:V136"/>
    <mergeCell ref="I137:K137"/>
    <mergeCell ref="L137:M137"/>
    <mergeCell ref="R137:T137"/>
    <mergeCell ref="U137:V137"/>
  </mergeCells>
  <printOptions horizontalCentered="1" verticalCentered="1"/>
  <pageMargins left="0.31496062992125984" right="0.31496062992125984" top="0.74803149606299213" bottom="0.74803149606299213" header="0.31496062992125984" footer="0.31496062992125984"/>
  <pageSetup paperSize="9" scale="49" orientation="landscape" r:id="rId1"/>
  <headerFooter>
    <oddHeader>&amp;R&amp;A</oddHeader>
    <oddFooter>&amp;C&amp;P/&amp;N</oddFooter>
  </headerFooter>
  <rowBreaks count="3" manualBreakCount="3">
    <brk id="26" max="23" man="1"/>
    <brk id="57" max="23" man="1"/>
    <brk id="94" max="2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55"/>
  <sheetViews>
    <sheetView view="pageBreakPreview" topLeftCell="A130" zoomScale="90" zoomScaleNormal="100" zoomScaleSheetLayoutView="90" workbookViewId="0">
      <selection activeCell="A145" sqref="A145:XFD145"/>
    </sheetView>
  </sheetViews>
  <sheetFormatPr defaultRowHeight="15" x14ac:dyDescent="0.25"/>
  <cols>
    <col min="1" max="2" width="5.28515625" style="1029" customWidth="1"/>
    <col min="3" max="3" width="36.28515625" style="1030" customWidth="1"/>
    <col min="4" max="4" width="6.140625" style="1029" customWidth="1"/>
    <col min="5" max="5" width="7" style="1029" bestFit="1" customWidth="1"/>
    <col min="6" max="6" width="5.28515625" style="1029" customWidth="1"/>
    <col min="7" max="7" width="5.7109375" style="1029" customWidth="1"/>
    <col min="8" max="8" width="14.42578125" style="1029" customWidth="1"/>
    <col min="9" max="9" width="15" style="1029" customWidth="1"/>
    <col min="10" max="10" width="12.42578125" style="1029" customWidth="1"/>
    <col min="11" max="11" width="11.7109375" style="1029" customWidth="1"/>
    <col min="12" max="12" width="12.85546875" style="1029" customWidth="1"/>
    <col min="13" max="13" width="12.5703125" style="1029" customWidth="1"/>
    <col min="14" max="14" width="11.140625" style="1029" customWidth="1"/>
    <col min="15" max="15" width="13.42578125" style="1029" customWidth="1"/>
    <col min="16" max="16" width="11.85546875" style="1029" customWidth="1"/>
    <col min="17" max="17" width="14.7109375" style="1054" customWidth="1"/>
    <col min="18" max="18" width="13.7109375" style="1029" customWidth="1"/>
    <col min="19" max="19" width="12.28515625" style="1029" customWidth="1"/>
    <col min="20" max="20" width="13" style="1029" customWidth="1"/>
    <col min="21" max="21" width="12.28515625" style="1029" customWidth="1"/>
    <col min="22" max="22" width="12.7109375" style="1029" customWidth="1"/>
    <col min="23" max="23" width="12.28515625" style="1029" customWidth="1"/>
    <col min="24" max="24" width="12.7109375" style="1029" customWidth="1"/>
    <col min="25" max="256" width="9.140625" style="1029"/>
    <col min="257" max="258" width="5.28515625" style="1029" customWidth="1"/>
    <col min="259" max="259" width="36.28515625" style="1029" customWidth="1"/>
    <col min="260" max="260" width="6.140625" style="1029" customWidth="1"/>
    <col min="261" max="261" width="7" style="1029" bestFit="1" customWidth="1"/>
    <col min="262" max="262" width="5.28515625" style="1029" customWidth="1"/>
    <col min="263" max="263" width="5.7109375" style="1029" customWidth="1"/>
    <col min="264" max="264" width="13.140625" style="1029" customWidth="1"/>
    <col min="265" max="265" width="15" style="1029" customWidth="1"/>
    <col min="266" max="266" width="12.42578125" style="1029" customWidth="1"/>
    <col min="267" max="267" width="11.7109375" style="1029" customWidth="1"/>
    <col min="268" max="268" width="12.42578125" style="1029" customWidth="1"/>
    <col min="269" max="269" width="12.5703125" style="1029" customWidth="1"/>
    <col min="270" max="270" width="11.140625" style="1029" customWidth="1"/>
    <col min="271" max="271" width="13.42578125" style="1029" customWidth="1"/>
    <col min="272" max="272" width="11.85546875" style="1029" customWidth="1"/>
    <col min="273" max="273" width="14.7109375" style="1029" customWidth="1"/>
    <col min="274" max="274" width="13.7109375" style="1029" customWidth="1"/>
    <col min="275" max="275" width="12.28515625" style="1029" customWidth="1"/>
    <col min="276" max="276" width="13" style="1029" customWidth="1"/>
    <col min="277" max="277" width="12.28515625" style="1029" customWidth="1"/>
    <col min="278" max="278" width="12.7109375" style="1029" customWidth="1"/>
    <col min="279" max="279" width="12.28515625" style="1029" customWidth="1"/>
    <col min="280" max="280" width="12.7109375" style="1029" customWidth="1"/>
    <col min="281" max="512" width="9.140625" style="1029"/>
    <col min="513" max="514" width="5.28515625" style="1029" customWidth="1"/>
    <col min="515" max="515" width="36.28515625" style="1029" customWidth="1"/>
    <col min="516" max="516" width="6.140625" style="1029" customWidth="1"/>
    <col min="517" max="517" width="7" style="1029" bestFit="1" customWidth="1"/>
    <col min="518" max="518" width="5.28515625" style="1029" customWidth="1"/>
    <col min="519" max="519" width="5.7109375" style="1029" customWidth="1"/>
    <col min="520" max="520" width="13.140625" style="1029" customWidth="1"/>
    <col min="521" max="521" width="15" style="1029" customWidth="1"/>
    <col min="522" max="522" width="12.42578125" style="1029" customWidth="1"/>
    <col min="523" max="523" width="11.7109375" style="1029" customWidth="1"/>
    <col min="524" max="524" width="12.42578125" style="1029" customWidth="1"/>
    <col min="525" max="525" width="12.5703125" style="1029" customWidth="1"/>
    <col min="526" max="526" width="11.140625" style="1029" customWidth="1"/>
    <col min="527" max="527" width="13.42578125" style="1029" customWidth="1"/>
    <col min="528" max="528" width="11.85546875" style="1029" customWidth="1"/>
    <col min="529" max="529" width="14.7109375" style="1029" customWidth="1"/>
    <col min="530" max="530" width="13.7109375" style="1029" customWidth="1"/>
    <col min="531" max="531" width="12.28515625" style="1029" customWidth="1"/>
    <col min="532" max="532" width="13" style="1029" customWidth="1"/>
    <col min="533" max="533" width="12.28515625" style="1029" customWidth="1"/>
    <col min="534" max="534" width="12.7109375" style="1029" customWidth="1"/>
    <col min="535" max="535" width="12.28515625" style="1029" customWidth="1"/>
    <col min="536" max="536" width="12.7109375" style="1029" customWidth="1"/>
    <col min="537" max="768" width="9.140625" style="1029"/>
    <col min="769" max="770" width="5.28515625" style="1029" customWidth="1"/>
    <col min="771" max="771" width="36.28515625" style="1029" customWidth="1"/>
    <col min="772" max="772" width="6.140625" style="1029" customWidth="1"/>
    <col min="773" max="773" width="7" style="1029" bestFit="1" customWidth="1"/>
    <col min="774" max="774" width="5.28515625" style="1029" customWidth="1"/>
    <col min="775" max="775" width="5.7109375" style="1029" customWidth="1"/>
    <col min="776" max="776" width="13.140625" style="1029" customWidth="1"/>
    <col min="777" max="777" width="15" style="1029" customWidth="1"/>
    <col min="778" max="778" width="12.42578125" style="1029" customWidth="1"/>
    <col min="779" max="779" width="11.7109375" style="1029" customWidth="1"/>
    <col min="780" max="780" width="12.42578125" style="1029" customWidth="1"/>
    <col min="781" max="781" width="12.5703125" style="1029" customWidth="1"/>
    <col min="782" max="782" width="11.140625" style="1029" customWidth="1"/>
    <col min="783" max="783" width="13.42578125" style="1029" customWidth="1"/>
    <col min="784" max="784" width="11.85546875" style="1029" customWidth="1"/>
    <col min="785" max="785" width="14.7109375" style="1029" customWidth="1"/>
    <col min="786" max="786" width="13.7109375" style="1029" customWidth="1"/>
    <col min="787" max="787" width="12.28515625" style="1029" customWidth="1"/>
    <col min="788" max="788" width="13" style="1029" customWidth="1"/>
    <col min="789" max="789" width="12.28515625" style="1029" customWidth="1"/>
    <col min="790" max="790" width="12.7109375" style="1029" customWidth="1"/>
    <col min="791" max="791" width="12.28515625" style="1029" customWidth="1"/>
    <col min="792" max="792" width="12.7109375" style="1029" customWidth="1"/>
    <col min="793" max="1024" width="9.140625" style="1029"/>
    <col min="1025" max="1026" width="5.28515625" style="1029" customWidth="1"/>
    <col min="1027" max="1027" width="36.28515625" style="1029" customWidth="1"/>
    <col min="1028" max="1028" width="6.140625" style="1029" customWidth="1"/>
    <col min="1029" max="1029" width="7" style="1029" bestFit="1" customWidth="1"/>
    <col min="1030" max="1030" width="5.28515625" style="1029" customWidth="1"/>
    <col min="1031" max="1031" width="5.7109375" style="1029" customWidth="1"/>
    <col min="1032" max="1032" width="13.140625" style="1029" customWidth="1"/>
    <col min="1033" max="1033" width="15" style="1029" customWidth="1"/>
    <col min="1034" max="1034" width="12.42578125" style="1029" customWidth="1"/>
    <col min="1035" max="1035" width="11.7109375" style="1029" customWidth="1"/>
    <col min="1036" max="1036" width="12.42578125" style="1029" customWidth="1"/>
    <col min="1037" max="1037" width="12.5703125" style="1029" customWidth="1"/>
    <col min="1038" max="1038" width="11.140625" style="1029" customWidth="1"/>
    <col min="1039" max="1039" width="13.42578125" style="1029" customWidth="1"/>
    <col min="1040" max="1040" width="11.85546875" style="1029" customWidth="1"/>
    <col min="1041" max="1041" width="14.7109375" style="1029" customWidth="1"/>
    <col min="1042" max="1042" width="13.7109375" style="1029" customWidth="1"/>
    <col min="1043" max="1043" width="12.28515625" style="1029" customWidth="1"/>
    <col min="1044" max="1044" width="13" style="1029" customWidth="1"/>
    <col min="1045" max="1045" width="12.28515625" style="1029" customWidth="1"/>
    <col min="1046" max="1046" width="12.7109375" style="1029" customWidth="1"/>
    <col min="1047" max="1047" width="12.28515625" style="1029" customWidth="1"/>
    <col min="1048" max="1048" width="12.7109375" style="1029" customWidth="1"/>
    <col min="1049" max="1280" width="9.140625" style="1029"/>
    <col min="1281" max="1282" width="5.28515625" style="1029" customWidth="1"/>
    <col min="1283" max="1283" width="36.28515625" style="1029" customWidth="1"/>
    <col min="1284" max="1284" width="6.140625" style="1029" customWidth="1"/>
    <col min="1285" max="1285" width="7" style="1029" bestFit="1" customWidth="1"/>
    <col min="1286" max="1286" width="5.28515625" style="1029" customWidth="1"/>
    <col min="1287" max="1287" width="5.7109375" style="1029" customWidth="1"/>
    <col min="1288" max="1288" width="13.140625" style="1029" customWidth="1"/>
    <col min="1289" max="1289" width="15" style="1029" customWidth="1"/>
    <col min="1290" max="1290" width="12.42578125" style="1029" customWidth="1"/>
    <col min="1291" max="1291" width="11.7109375" style="1029" customWidth="1"/>
    <col min="1292" max="1292" width="12.42578125" style="1029" customWidth="1"/>
    <col min="1293" max="1293" width="12.5703125" style="1029" customWidth="1"/>
    <col min="1294" max="1294" width="11.140625" style="1029" customWidth="1"/>
    <col min="1295" max="1295" width="13.42578125" style="1029" customWidth="1"/>
    <col min="1296" max="1296" width="11.85546875" style="1029" customWidth="1"/>
    <col min="1297" max="1297" width="14.7109375" style="1029" customWidth="1"/>
    <col min="1298" max="1298" width="13.7109375" style="1029" customWidth="1"/>
    <col min="1299" max="1299" width="12.28515625" style="1029" customWidth="1"/>
    <col min="1300" max="1300" width="13" style="1029" customWidth="1"/>
    <col min="1301" max="1301" width="12.28515625" style="1029" customWidth="1"/>
    <col min="1302" max="1302" width="12.7109375" style="1029" customWidth="1"/>
    <col min="1303" max="1303" width="12.28515625" style="1029" customWidth="1"/>
    <col min="1304" max="1304" width="12.7109375" style="1029" customWidth="1"/>
    <col min="1305" max="1536" width="9.140625" style="1029"/>
    <col min="1537" max="1538" width="5.28515625" style="1029" customWidth="1"/>
    <col min="1539" max="1539" width="36.28515625" style="1029" customWidth="1"/>
    <col min="1540" max="1540" width="6.140625" style="1029" customWidth="1"/>
    <col min="1541" max="1541" width="7" style="1029" bestFit="1" customWidth="1"/>
    <col min="1542" max="1542" width="5.28515625" style="1029" customWidth="1"/>
    <col min="1543" max="1543" width="5.7109375" style="1029" customWidth="1"/>
    <col min="1544" max="1544" width="13.140625" style="1029" customWidth="1"/>
    <col min="1545" max="1545" width="15" style="1029" customWidth="1"/>
    <col min="1546" max="1546" width="12.42578125" style="1029" customWidth="1"/>
    <col min="1547" max="1547" width="11.7109375" style="1029" customWidth="1"/>
    <col min="1548" max="1548" width="12.42578125" style="1029" customWidth="1"/>
    <col min="1549" max="1549" width="12.5703125" style="1029" customWidth="1"/>
    <col min="1550" max="1550" width="11.140625" style="1029" customWidth="1"/>
    <col min="1551" max="1551" width="13.42578125" style="1029" customWidth="1"/>
    <col min="1552" max="1552" width="11.85546875" style="1029" customWidth="1"/>
    <col min="1553" max="1553" width="14.7109375" style="1029" customWidth="1"/>
    <col min="1554" max="1554" width="13.7109375" style="1029" customWidth="1"/>
    <col min="1555" max="1555" width="12.28515625" style="1029" customWidth="1"/>
    <col min="1556" max="1556" width="13" style="1029" customWidth="1"/>
    <col min="1557" max="1557" width="12.28515625" style="1029" customWidth="1"/>
    <col min="1558" max="1558" width="12.7109375" style="1029" customWidth="1"/>
    <col min="1559" max="1559" width="12.28515625" style="1029" customWidth="1"/>
    <col min="1560" max="1560" width="12.7109375" style="1029" customWidth="1"/>
    <col min="1561" max="1792" width="9.140625" style="1029"/>
    <col min="1793" max="1794" width="5.28515625" style="1029" customWidth="1"/>
    <col min="1795" max="1795" width="36.28515625" style="1029" customWidth="1"/>
    <col min="1796" max="1796" width="6.140625" style="1029" customWidth="1"/>
    <col min="1797" max="1797" width="7" style="1029" bestFit="1" customWidth="1"/>
    <col min="1798" max="1798" width="5.28515625" style="1029" customWidth="1"/>
    <col min="1799" max="1799" width="5.7109375" style="1029" customWidth="1"/>
    <col min="1800" max="1800" width="13.140625" style="1029" customWidth="1"/>
    <col min="1801" max="1801" width="15" style="1029" customWidth="1"/>
    <col min="1802" max="1802" width="12.42578125" style="1029" customWidth="1"/>
    <col min="1803" max="1803" width="11.7109375" style="1029" customWidth="1"/>
    <col min="1804" max="1804" width="12.42578125" style="1029" customWidth="1"/>
    <col min="1805" max="1805" width="12.5703125" style="1029" customWidth="1"/>
    <col min="1806" max="1806" width="11.140625" style="1029" customWidth="1"/>
    <col min="1807" max="1807" width="13.42578125" style="1029" customWidth="1"/>
    <col min="1808" max="1808" width="11.85546875" style="1029" customWidth="1"/>
    <col min="1809" max="1809" width="14.7109375" style="1029" customWidth="1"/>
    <col min="1810" max="1810" width="13.7109375" style="1029" customWidth="1"/>
    <col min="1811" max="1811" width="12.28515625" style="1029" customWidth="1"/>
    <col min="1812" max="1812" width="13" style="1029" customWidth="1"/>
    <col min="1813" max="1813" width="12.28515625" style="1029" customWidth="1"/>
    <col min="1814" max="1814" width="12.7109375" style="1029" customWidth="1"/>
    <col min="1815" max="1815" width="12.28515625" style="1029" customWidth="1"/>
    <col min="1816" max="1816" width="12.7109375" style="1029" customWidth="1"/>
    <col min="1817" max="2048" width="9.140625" style="1029"/>
    <col min="2049" max="2050" width="5.28515625" style="1029" customWidth="1"/>
    <col min="2051" max="2051" width="36.28515625" style="1029" customWidth="1"/>
    <col min="2052" max="2052" width="6.140625" style="1029" customWidth="1"/>
    <col min="2053" max="2053" width="7" style="1029" bestFit="1" customWidth="1"/>
    <col min="2054" max="2054" width="5.28515625" style="1029" customWidth="1"/>
    <col min="2055" max="2055" width="5.7109375" style="1029" customWidth="1"/>
    <col min="2056" max="2056" width="13.140625" style="1029" customWidth="1"/>
    <col min="2057" max="2057" width="15" style="1029" customWidth="1"/>
    <col min="2058" max="2058" width="12.42578125" style="1029" customWidth="1"/>
    <col min="2059" max="2059" width="11.7109375" style="1029" customWidth="1"/>
    <col min="2060" max="2060" width="12.42578125" style="1029" customWidth="1"/>
    <col min="2061" max="2061" width="12.5703125" style="1029" customWidth="1"/>
    <col min="2062" max="2062" width="11.140625" style="1029" customWidth="1"/>
    <col min="2063" max="2063" width="13.42578125" style="1029" customWidth="1"/>
    <col min="2064" max="2064" width="11.85546875" style="1029" customWidth="1"/>
    <col min="2065" max="2065" width="14.7109375" style="1029" customWidth="1"/>
    <col min="2066" max="2066" width="13.7109375" style="1029" customWidth="1"/>
    <col min="2067" max="2067" width="12.28515625" style="1029" customWidth="1"/>
    <col min="2068" max="2068" width="13" style="1029" customWidth="1"/>
    <col min="2069" max="2069" width="12.28515625" style="1029" customWidth="1"/>
    <col min="2070" max="2070" width="12.7109375" style="1029" customWidth="1"/>
    <col min="2071" max="2071" width="12.28515625" style="1029" customWidth="1"/>
    <col min="2072" max="2072" width="12.7109375" style="1029" customWidth="1"/>
    <col min="2073" max="2304" width="9.140625" style="1029"/>
    <col min="2305" max="2306" width="5.28515625" style="1029" customWidth="1"/>
    <col min="2307" max="2307" width="36.28515625" style="1029" customWidth="1"/>
    <col min="2308" max="2308" width="6.140625" style="1029" customWidth="1"/>
    <col min="2309" max="2309" width="7" style="1029" bestFit="1" customWidth="1"/>
    <col min="2310" max="2310" width="5.28515625" style="1029" customWidth="1"/>
    <col min="2311" max="2311" width="5.7109375" style="1029" customWidth="1"/>
    <col min="2312" max="2312" width="13.140625" style="1029" customWidth="1"/>
    <col min="2313" max="2313" width="15" style="1029" customWidth="1"/>
    <col min="2314" max="2314" width="12.42578125" style="1029" customWidth="1"/>
    <col min="2315" max="2315" width="11.7109375" style="1029" customWidth="1"/>
    <col min="2316" max="2316" width="12.42578125" style="1029" customWidth="1"/>
    <col min="2317" max="2317" width="12.5703125" style="1029" customWidth="1"/>
    <col min="2318" max="2318" width="11.140625" style="1029" customWidth="1"/>
    <col min="2319" max="2319" width="13.42578125" style="1029" customWidth="1"/>
    <col min="2320" max="2320" width="11.85546875" style="1029" customWidth="1"/>
    <col min="2321" max="2321" width="14.7109375" style="1029" customWidth="1"/>
    <col min="2322" max="2322" width="13.7109375" style="1029" customWidth="1"/>
    <col min="2323" max="2323" width="12.28515625" style="1029" customWidth="1"/>
    <col min="2324" max="2324" width="13" style="1029" customWidth="1"/>
    <col min="2325" max="2325" width="12.28515625" style="1029" customWidth="1"/>
    <col min="2326" max="2326" width="12.7109375" style="1029" customWidth="1"/>
    <col min="2327" max="2327" width="12.28515625" style="1029" customWidth="1"/>
    <col min="2328" max="2328" width="12.7109375" style="1029" customWidth="1"/>
    <col min="2329" max="2560" width="9.140625" style="1029"/>
    <col min="2561" max="2562" width="5.28515625" style="1029" customWidth="1"/>
    <col min="2563" max="2563" width="36.28515625" style="1029" customWidth="1"/>
    <col min="2564" max="2564" width="6.140625" style="1029" customWidth="1"/>
    <col min="2565" max="2565" width="7" style="1029" bestFit="1" customWidth="1"/>
    <col min="2566" max="2566" width="5.28515625" style="1029" customWidth="1"/>
    <col min="2567" max="2567" width="5.7109375" style="1029" customWidth="1"/>
    <col min="2568" max="2568" width="13.140625" style="1029" customWidth="1"/>
    <col min="2569" max="2569" width="15" style="1029" customWidth="1"/>
    <col min="2570" max="2570" width="12.42578125" style="1029" customWidth="1"/>
    <col min="2571" max="2571" width="11.7109375" style="1029" customWidth="1"/>
    <col min="2572" max="2572" width="12.42578125" style="1029" customWidth="1"/>
    <col min="2573" max="2573" width="12.5703125" style="1029" customWidth="1"/>
    <col min="2574" max="2574" width="11.140625" style="1029" customWidth="1"/>
    <col min="2575" max="2575" width="13.42578125" style="1029" customWidth="1"/>
    <col min="2576" max="2576" width="11.85546875" style="1029" customWidth="1"/>
    <col min="2577" max="2577" width="14.7109375" style="1029" customWidth="1"/>
    <col min="2578" max="2578" width="13.7109375" style="1029" customWidth="1"/>
    <col min="2579" max="2579" width="12.28515625" style="1029" customWidth="1"/>
    <col min="2580" max="2580" width="13" style="1029" customWidth="1"/>
    <col min="2581" max="2581" width="12.28515625" style="1029" customWidth="1"/>
    <col min="2582" max="2582" width="12.7109375" style="1029" customWidth="1"/>
    <col min="2583" max="2583" width="12.28515625" style="1029" customWidth="1"/>
    <col min="2584" max="2584" width="12.7109375" style="1029" customWidth="1"/>
    <col min="2585" max="2816" width="9.140625" style="1029"/>
    <col min="2817" max="2818" width="5.28515625" style="1029" customWidth="1"/>
    <col min="2819" max="2819" width="36.28515625" style="1029" customWidth="1"/>
    <col min="2820" max="2820" width="6.140625" style="1029" customWidth="1"/>
    <col min="2821" max="2821" width="7" style="1029" bestFit="1" customWidth="1"/>
    <col min="2822" max="2822" width="5.28515625" style="1029" customWidth="1"/>
    <col min="2823" max="2823" width="5.7109375" style="1029" customWidth="1"/>
    <col min="2824" max="2824" width="13.140625" style="1029" customWidth="1"/>
    <col min="2825" max="2825" width="15" style="1029" customWidth="1"/>
    <col min="2826" max="2826" width="12.42578125" style="1029" customWidth="1"/>
    <col min="2827" max="2827" width="11.7109375" style="1029" customWidth="1"/>
    <col min="2828" max="2828" width="12.42578125" style="1029" customWidth="1"/>
    <col min="2829" max="2829" width="12.5703125" style="1029" customWidth="1"/>
    <col min="2830" max="2830" width="11.140625" style="1029" customWidth="1"/>
    <col min="2831" max="2831" width="13.42578125" style="1029" customWidth="1"/>
    <col min="2832" max="2832" width="11.85546875" style="1029" customWidth="1"/>
    <col min="2833" max="2833" width="14.7109375" style="1029" customWidth="1"/>
    <col min="2834" max="2834" width="13.7109375" style="1029" customWidth="1"/>
    <col min="2835" max="2835" width="12.28515625" style="1029" customWidth="1"/>
    <col min="2836" max="2836" width="13" style="1029" customWidth="1"/>
    <col min="2837" max="2837" width="12.28515625" style="1029" customWidth="1"/>
    <col min="2838" max="2838" width="12.7109375" style="1029" customWidth="1"/>
    <col min="2839" max="2839" width="12.28515625" style="1029" customWidth="1"/>
    <col min="2840" max="2840" width="12.7109375" style="1029" customWidth="1"/>
    <col min="2841" max="3072" width="9.140625" style="1029"/>
    <col min="3073" max="3074" width="5.28515625" style="1029" customWidth="1"/>
    <col min="3075" max="3075" width="36.28515625" style="1029" customWidth="1"/>
    <col min="3076" max="3076" width="6.140625" style="1029" customWidth="1"/>
    <col min="3077" max="3077" width="7" style="1029" bestFit="1" customWidth="1"/>
    <col min="3078" max="3078" width="5.28515625" style="1029" customWidth="1"/>
    <col min="3079" max="3079" width="5.7109375" style="1029" customWidth="1"/>
    <col min="3080" max="3080" width="13.140625" style="1029" customWidth="1"/>
    <col min="3081" max="3081" width="15" style="1029" customWidth="1"/>
    <col min="3082" max="3082" width="12.42578125" style="1029" customWidth="1"/>
    <col min="3083" max="3083" width="11.7109375" style="1029" customWidth="1"/>
    <col min="3084" max="3084" width="12.42578125" style="1029" customWidth="1"/>
    <col min="3085" max="3085" width="12.5703125" style="1029" customWidth="1"/>
    <col min="3086" max="3086" width="11.140625" style="1029" customWidth="1"/>
    <col min="3087" max="3087" width="13.42578125" style="1029" customWidth="1"/>
    <col min="3088" max="3088" width="11.85546875" style="1029" customWidth="1"/>
    <col min="3089" max="3089" width="14.7109375" style="1029" customWidth="1"/>
    <col min="3090" max="3090" width="13.7109375" style="1029" customWidth="1"/>
    <col min="3091" max="3091" width="12.28515625" style="1029" customWidth="1"/>
    <col min="3092" max="3092" width="13" style="1029" customWidth="1"/>
    <col min="3093" max="3093" width="12.28515625" style="1029" customWidth="1"/>
    <col min="3094" max="3094" width="12.7109375" style="1029" customWidth="1"/>
    <col min="3095" max="3095" width="12.28515625" style="1029" customWidth="1"/>
    <col min="3096" max="3096" width="12.7109375" style="1029" customWidth="1"/>
    <col min="3097" max="3328" width="9.140625" style="1029"/>
    <col min="3329" max="3330" width="5.28515625" style="1029" customWidth="1"/>
    <col min="3331" max="3331" width="36.28515625" style="1029" customWidth="1"/>
    <col min="3332" max="3332" width="6.140625" style="1029" customWidth="1"/>
    <col min="3333" max="3333" width="7" style="1029" bestFit="1" customWidth="1"/>
    <col min="3334" max="3334" width="5.28515625" style="1029" customWidth="1"/>
    <col min="3335" max="3335" width="5.7109375" style="1029" customWidth="1"/>
    <col min="3336" max="3336" width="13.140625" style="1029" customWidth="1"/>
    <col min="3337" max="3337" width="15" style="1029" customWidth="1"/>
    <col min="3338" max="3338" width="12.42578125" style="1029" customWidth="1"/>
    <col min="3339" max="3339" width="11.7109375" style="1029" customWidth="1"/>
    <col min="3340" max="3340" width="12.42578125" style="1029" customWidth="1"/>
    <col min="3341" max="3341" width="12.5703125" style="1029" customWidth="1"/>
    <col min="3342" max="3342" width="11.140625" style="1029" customWidth="1"/>
    <col min="3343" max="3343" width="13.42578125" style="1029" customWidth="1"/>
    <col min="3344" max="3344" width="11.85546875" style="1029" customWidth="1"/>
    <col min="3345" max="3345" width="14.7109375" style="1029" customWidth="1"/>
    <col min="3346" max="3346" width="13.7109375" style="1029" customWidth="1"/>
    <col min="3347" max="3347" width="12.28515625" style="1029" customWidth="1"/>
    <col min="3348" max="3348" width="13" style="1029" customWidth="1"/>
    <col min="3349" max="3349" width="12.28515625" style="1029" customWidth="1"/>
    <col min="3350" max="3350" width="12.7109375" style="1029" customWidth="1"/>
    <col min="3351" max="3351" width="12.28515625" style="1029" customWidth="1"/>
    <col min="3352" max="3352" width="12.7109375" style="1029" customWidth="1"/>
    <col min="3353" max="3584" width="9.140625" style="1029"/>
    <col min="3585" max="3586" width="5.28515625" style="1029" customWidth="1"/>
    <col min="3587" max="3587" width="36.28515625" style="1029" customWidth="1"/>
    <col min="3588" max="3588" width="6.140625" style="1029" customWidth="1"/>
    <col min="3589" max="3589" width="7" style="1029" bestFit="1" customWidth="1"/>
    <col min="3590" max="3590" width="5.28515625" style="1029" customWidth="1"/>
    <col min="3591" max="3591" width="5.7109375" style="1029" customWidth="1"/>
    <col min="3592" max="3592" width="13.140625" style="1029" customWidth="1"/>
    <col min="3593" max="3593" width="15" style="1029" customWidth="1"/>
    <col min="3594" max="3594" width="12.42578125" style="1029" customWidth="1"/>
    <col min="3595" max="3595" width="11.7109375" style="1029" customWidth="1"/>
    <col min="3596" max="3596" width="12.42578125" style="1029" customWidth="1"/>
    <col min="3597" max="3597" width="12.5703125" style="1029" customWidth="1"/>
    <col min="3598" max="3598" width="11.140625" style="1029" customWidth="1"/>
    <col min="3599" max="3599" width="13.42578125" style="1029" customWidth="1"/>
    <col min="3600" max="3600" width="11.85546875" style="1029" customWidth="1"/>
    <col min="3601" max="3601" width="14.7109375" style="1029" customWidth="1"/>
    <col min="3602" max="3602" width="13.7109375" style="1029" customWidth="1"/>
    <col min="3603" max="3603" width="12.28515625" style="1029" customWidth="1"/>
    <col min="3604" max="3604" width="13" style="1029" customWidth="1"/>
    <col min="3605" max="3605" width="12.28515625" style="1029" customWidth="1"/>
    <col min="3606" max="3606" width="12.7109375" style="1029" customWidth="1"/>
    <col min="3607" max="3607" width="12.28515625" style="1029" customWidth="1"/>
    <col min="3608" max="3608" width="12.7109375" style="1029" customWidth="1"/>
    <col min="3609" max="3840" width="9.140625" style="1029"/>
    <col min="3841" max="3842" width="5.28515625" style="1029" customWidth="1"/>
    <col min="3843" max="3843" width="36.28515625" style="1029" customWidth="1"/>
    <col min="3844" max="3844" width="6.140625" style="1029" customWidth="1"/>
    <col min="3845" max="3845" width="7" style="1029" bestFit="1" customWidth="1"/>
    <col min="3846" max="3846" width="5.28515625" style="1029" customWidth="1"/>
    <col min="3847" max="3847" width="5.7109375" style="1029" customWidth="1"/>
    <col min="3848" max="3848" width="13.140625" style="1029" customWidth="1"/>
    <col min="3849" max="3849" width="15" style="1029" customWidth="1"/>
    <col min="3850" max="3850" width="12.42578125" style="1029" customWidth="1"/>
    <col min="3851" max="3851" width="11.7109375" style="1029" customWidth="1"/>
    <col min="3852" max="3852" width="12.42578125" style="1029" customWidth="1"/>
    <col min="3853" max="3853" width="12.5703125" style="1029" customWidth="1"/>
    <col min="3854" max="3854" width="11.140625" style="1029" customWidth="1"/>
    <col min="3855" max="3855" width="13.42578125" style="1029" customWidth="1"/>
    <col min="3856" max="3856" width="11.85546875" style="1029" customWidth="1"/>
    <col min="3857" max="3857" width="14.7109375" style="1029" customWidth="1"/>
    <col min="3858" max="3858" width="13.7109375" style="1029" customWidth="1"/>
    <col min="3859" max="3859" width="12.28515625" style="1029" customWidth="1"/>
    <col min="3860" max="3860" width="13" style="1029" customWidth="1"/>
    <col min="3861" max="3861" width="12.28515625" style="1029" customWidth="1"/>
    <col min="3862" max="3862" width="12.7109375" style="1029" customWidth="1"/>
    <col min="3863" max="3863" width="12.28515625" style="1029" customWidth="1"/>
    <col min="3864" max="3864" width="12.7109375" style="1029" customWidth="1"/>
    <col min="3865" max="4096" width="9.140625" style="1029"/>
    <col min="4097" max="4098" width="5.28515625" style="1029" customWidth="1"/>
    <col min="4099" max="4099" width="36.28515625" style="1029" customWidth="1"/>
    <col min="4100" max="4100" width="6.140625" style="1029" customWidth="1"/>
    <col min="4101" max="4101" width="7" style="1029" bestFit="1" customWidth="1"/>
    <col min="4102" max="4102" width="5.28515625" style="1029" customWidth="1"/>
    <col min="4103" max="4103" width="5.7109375" style="1029" customWidth="1"/>
    <col min="4104" max="4104" width="13.140625" style="1029" customWidth="1"/>
    <col min="4105" max="4105" width="15" style="1029" customWidth="1"/>
    <col min="4106" max="4106" width="12.42578125" style="1029" customWidth="1"/>
    <col min="4107" max="4107" width="11.7109375" style="1029" customWidth="1"/>
    <col min="4108" max="4108" width="12.42578125" style="1029" customWidth="1"/>
    <col min="4109" max="4109" width="12.5703125" style="1029" customWidth="1"/>
    <col min="4110" max="4110" width="11.140625" style="1029" customWidth="1"/>
    <col min="4111" max="4111" width="13.42578125" style="1029" customWidth="1"/>
    <col min="4112" max="4112" width="11.85546875" style="1029" customWidth="1"/>
    <col min="4113" max="4113" width="14.7109375" style="1029" customWidth="1"/>
    <col min="4114" max="4114" width="13.7109375" style="1029" customWidth="1"/>
    <col min="4115" max="4115" width="12.28515625" style="1029" customWidth="1"/>
    <col min="4116" max="4116" width="13" style="1029" customWidth="1"/>
    <col min="4117" max="4117" width="12.28515625" style="1029" customWidth="1"/>
    <col min="4118" max="4118" width="12.7109375" style="1029" customWidth="1"/>
    <col min="4119" max="4119" width="12.28515625" style="1029" customWidth="1"/>
    <col min="4120" max="4120" width="12.7109375" style="1029" customWidth="1"/>
    <col min="4121" max="4352" width="9.140625" style="1029"/>
    <col min="4353" max="4354" width="5.28515625" style="1029" customWidth="1"/>
    <col min="4355" max="4355" width="36.28515625" style="1029" customWidth="1"/>
    <col min="4356" max="4356" width="6.140625" style="1029" customWidth="1"/>
    <col min="4357" max="4357" width="7" style="1029" bestFit="1" customWidth="1"/>
    <col min="4358" max="4358" width="5.28515625" style="1029" customWidth="1"/>
    <col min="4359" max="4359" width="5.7109375" style="1029" customWidth="1"/>
    <col min="4360" max="4360" width="13.140625" style="1029" customWidth="1"/>
    <col min="4361" max="4361" width="15" style="1029" customWidth="1"/>
    <col min="4362" max="4362" width="12.42578125" style="1029" customWidth="1"/>
    <col min="4363" max="4363" width="11.7109375" style="1029" customWidth="1"/>
    <col min="4364" max="4364" width="12.42578125" style="1029" customWidth="1"/>
    <col min="4365" max="4365" width="12.5703125" style="1029" customWidth="1"/>
    <col min="4366" max="4366" width="11.140625" style="1029" customWidth="1"/>
    <col min="4367" max="4367" width="13.42578125" style="1029" customWidth="1"/>
    <col min="4368" max="4368" width="11.85546875" style="1029" customWidth="1"/>
    <col min="4369" max="4369" width="14.7109375" style="1029" customWidth="1"/>
    <col min="4370" max="4370" width="13.7109375" style="1029" customWidth="1"/>
    <col min="4371" max="4371" width="12.28515625" style="1029" customWidth="1"/>
    <col min="4372" max="4372" width="13" style="1029" customWidth="1"/>
    <col min="4373" max="4373" width="12.28515625" style="1029" customWidth="1"/>
    <col min="4374" max="4374" width="12.7109375" style="1029" customWidth="1"/>
    <col min="4375" max="4375" width="12.28515625" style="1029" customWidth="1"/>
    <col min="4376" max="4376" width="12.7109375" style="1029" customWidth="1"/>
    <col min="4377" max="4608" width="9.140625" style="1029"/>
    <col min="4609" max="4610" width="5.28515625" style="1029" customWidth="1"/>
    <col min="4611" max="4611" width="36.28515625" style="1029" customWidth="1"/>
    <col min="4612" max="4612" width="6.140625" style="1029" customWidth="1"/>
    <col min="4613" max="4613" width="7" style="1029" bestFit="1" customWidth="1"/>
    <col min="4614" max="4614" width="5.28515625" style="1029" customWidth="1"/>
    <col min="4615" max="4615" width="5.7109375" style="1029" customWidth="1"/>
    <col min="4616" max="4616" width="13.140625" style="1029" customWidth="1"/>
    <col min="4617" max="4617" width="15" style="1029" customWidth="1"/>
    <col min="4618" max="4618" width="12.42578125" style="1029" customWidth="1"/>
    <col min="4619" max="4619" width="11.7109375" style="1029" customWidth="1"/>
    <col min="4620" max="4620" width="12.42578125" style="1029" customWidth="1"/>
    <col min="4621" max="4621" width="12.5703125" style="1029" customWidth="1"/>
    <col min="4622" max="4622" width="11.140625" style="1029" customWidth="1"/>
    <col min="4623" max="4623" width="13.42578125" style="1029" customWidth="1"/>
    <col min="4624" max="4624" width="11.85546875" style="1029" customWidth="1"/>
    <col min="4625" max="4625" width="14.7109375" style="1029" customWidth="1"/>
    <col min="4626" max="4626" width="13.7109375" style="1029" customWidth="1"/>
    <col min="4627" max="4627" width="12.28515625" style="1029" customWidth="1"/>
    <col min="4628" max="4628" width="13" style="1029" customWidth="1"/>
    <col min="4629" max="4629" width="12.28515625" style="1029" customWidth="1"/>
    <col min="4630" max="4630" width="12.7109375" style="1029" customWidth="1"/>
    <col min="4631" max="4631" width="12.28515625" style="1029" customWidth="1"/>
    <col min="4632" max="4632" width="12.7109375" style="1029" customWidth="1"/>
    <col min="4633" max="4864" width="9.140625" style="1029"/>
    <col min="4865" max="4866" width="5.28515625" style="1029" customWidth="1"/>
    <col min="4867" max="4867" width="36.28515625" style="1029" customWidth="1"/>
    <col min="4868" max="4868" width="6.140625" style="1029" customWidth="1"/>
    <col min="4869" max="4869" width="7" style="1029" bestFit="1" customWidth="1"/>
    <col min="4870" max="4870" width="5.28515625" style="1029" customWidth="1"/>
    <col min="4871" max="4871" width="5.7109375" style="1029" customWidth="1"/>
    <col min="4872" max="4872" width="13.140625" style="1029" customWidth="1"/>
    <col min="4873" max="4873" width="15" style="1029" customWidth="1"/>
    <col min="4874" max="4874" width="12.42578125" style="1029" customWidth="1"/>
    <col min="4875" max="4875" width="11.7109375" style="1029" customWidth="1"/>
    <col min="4876" max="4876" width="12.42578125" style="1029" customWidth="1"/>
    <col min="4877" max="4877" width="12.5703125" style="1029" customWidth="1"/>
    <col min="4878" max="4878" width="11.140625" style="1029" customWidth="1"/>
    <col min="4879" max="4879" width="13.42578125" style="1029" customWidth="1"/>
    <col min="4880" max="4880" width="11.85546875" style="1029" customWidth="1"/>
    <col min="4881" max="4881" width="14.7109375" style="1029" customWidth="1"/>
    <col min="4882" max="4882" width="13.7109375" style="1029" customWidth="1"/>
    <col min="4883" max="4883" width="12.28515625" style="1029" customWidth="1"/>
    <col min="4884" max="4884" width="13" style="1029" customWidth="1"/>
    <col min="4885" max="4885" width="12.28515625" style="1029" customWidth="1"/>
    <col min="4886" max="4886" width="12.7109375" style="1029" customWidth="1"/>
    <col min="4887" max="4887" width="12.28515625" style="1029" customWidth="1"/>
    <col min="4888" max="4888" width="12.7109375" style="1029" customWidth="1"/>
    <col min="4889" max="5120" width="9.140625" style="1029"/>
    <col min="5121" max="5122" width="5.28515625" style="1029" customWidth="1"/>
    <col min="5123" max="5123" width="36.28515625" style="1029" customWidth="1"/>
    <col min="5124" max="5124" width="6.140625" style="1029" customWidth="1"/>
    <col min="5125" max="5125" width="7" style="1029" bestFit="1" customWidth="1"/>
    <col min="5126" max="5126" width="5.28515625" style="1029" customWidth="1"/>
    <col min="5127" max="5127" width="5.7109375" style="1029" customWidth="1"/>
    <col min="5128" max="5128" width="13.140625" style="1029" customWidth="1"/>
    <col min="5129" max="5129" width="15" style="1029" customWidth="1"/>
    <col min="5130" max="5130" width="12.42578125" style="1029" customWidth="1"/>
    <col min="5131" max="5131" width="11.7109375" style="1029" customWidth="1"/>
    <col min="5132" max="5132" width="12.42578125" style="1029" customWidth="1"/>
    <col min="5133" max="5133" width="12.5703125" style="1029" customWidth="1"/>
    <col min="5134" max="5134" width="11.140625" style="1029" customWidth="1"/>
    <col min="5135" max="5135" width="13.42578125" style="1029" customWidth="1"/>
    <col min="5136" max="5136" width="11.85546875" style="1029" customWidth="1"/>
    <col min="5137" max="5137" width="14.7109375" style="1029" customWidth="1"/>
    <col min="5138" max="5138" width="13.7109375" style="1029" customWidth="1"/>
    <col min="5139" max="5139" width="12.28515625" style="1029" customWidth="1"/>
    <col min="5140" max="5140" width="13" style="1029" customWidth="1"/>
    <col min="5141" max="5141" width="12.28515625" style="1029" customWidth="1"/>
    <col min="5142" max="5142" width="12.7109375" style="1029" customWidth="1"/>
    <col min="5143" max="5143" width="12.28515625" style="1029" customWidth="1"/>
    <col min="5144" max="5144" width="12.7109375" style="1029" customWidth="1"/>
    <col min="5145" max="5376" width="9.140625" style="1029"/>
    <col min="5377" max="5378" width="5.28515625" style="1029" customWidth="1"/>
    <col min="5379" max="5379" width="36.28515625" style="1029" customWidth="1"/>
    <col min="5380" max="5380" width="6.140625" style="1029" customWidth="1"/>
    <col min="5381" max="5381" width="7" style="1029" bestFit="1" customWidth="1"/>
    <col min="5382" max="5382" width="5.28515625" style="1029" customWidth="1"/>
    <col min="5383" max="5383" width="5.7109375" style="1029" customWidth="1"/>
    <col min="5384" max="5384" width="13.140625" style="1029" customWidth="1"/>
    <col min="5385" max="5385" width="15" style="1029" customWidth="1"/>
    <col min="5386" max="5386" width="12.42578125" style="1029" customWidth="1"/>
    <col min="5387" max="5387" width="11.7109375" style="1029" customWidth="1"/>
    <col min="5388" max="5388" width="12.42578125" style="1029" customWidth="1"/>
    <col min="5389" max="5389" width="12.5703125" style="1029" customWidth="1"/>
    <col min="5390" max="5390" width="11.140625" style="1029" customWidth="1"/>
    <col min="5391" max="5391" width="13.42578125" style="1029" customWidth="1"/>
    <col min="5392" max="5392" width="11.85546875" style="1029" customWidth="1"/>
    <col min="5393" max="5393" width="14.7109375" style="1029" customWidth="1"/>
    <col min="5394" max="5394" width="13.7109375" style="1029" customWidth="1"/>
    <col min="5395" max="5395" width="12.28515625" style="1029" customWidth="1"/>
    <col min="5396" max="5396" width="13" style="1029" customWidth="1"/>
    <col min="5397" max="5397" width="12.28515625" style="1029" customWidth="1"/>
    <col min="5398" max="5398" width="12.7109375" style="1029" customWidth="1"/>
    <col min="5399" max="5399" width="12.28515625" style="1029" customWidth="1"/>
    <col min="5400" max="5400" width="12.7109375" style="1029" customWidth="1"/>
    <col min="5401" max="5632" width="9.140625" style="1029"/>
    <col min="5633" max="5634" width="5.28515625" style="1029" customWidth="1"/>
    <col min="5635" max="5635" width="36.28515625" style="1029" customWidth="1"/>
    <col min="5636" max="5636" width="6.140625" style="1029" customWidth="1"/>
    <col min="5637" max="5637" width="7" style="1029" bestFit="1" customWidth="1"/>
    <col min="5638" max="5638" width="5.28515625" style="1029" customWidth="1"/>
    <col min="5639" max="5639" width="5.7109375" style="1029" customWidth="1"/>
    <col min="5640" max="5640" width="13.140625" style="1029" customWidth="1"/>
    <col min="5641" max="5641" width="15" style="1029" customWidth="1"/>
    <col min="5642" max="5642" width="12.42578125" style="1029" customWidth="1"/>
    <col min="5643" max="5643" width="11.7109375" style="1029" customWidth="1"/>
    <col min="5644" max="5644" width="12.42578125" style="1029" customWidth="1"/>
    <col min="5645" max="5645" width="12.5703125" style="1029" customWidth="1"/>
    <col min="5646" max="5646" width="11.140625" style="1029" customWidth="1"/>
    <col min="5647" max="5647" width="13.42578125" style="1029" customWidth="1"/>
    <col min="5648" max="5648" width="11.85546875" style="1029" customWidth="1"/>
    <col min="5649" max="5649" width="14.7109375" style="1029" customWidth="1"/>
    <col min="5650" max="5650" width="13.7109375" style="1029" customWidth="1"/>
    <col min="5651" max="5651" width="12.28515625" style="1029" customWidth="1"/>
    <col min="5652" max="5652" width="13" style="1029" customWidth="1"/>
    <col min="5653" max="5653" width="12.28515625" style="1029" customWidth="1"/>
    <col min="5654" max="5654" width="12.7109375" style="1029" customWidth="1"/>
    <col min="5655" max="5655" width="12.28515625" style="1029" customWidth="1"/>
    <col min="5656" max="5656" width="12.7109375" style="1029" customWidth="1"/>
    <col min="5657" max="5888" width="9.140625" style="1029"/>
    <col min="5889" max="5890" width="5.28515625" style="1029" customWidth="1"/>
    <col min="5891" max="5891" width="36.28515625" style="1029" customWidth="1"/>
    <col min="5892" max="5892" width="6.140625" style="1029" customWidth="1"/>
    <col min="5893" max="5893" width="7" style="1029" bestFit="1" customWidth="1"/>
    <col min="5894" max="5894" width="5.28515625" style="1029" customWidth="1"/>
    <col min="5895" max="5895" width="5.7109375" style="1029" customWidth="1"/>
    <col min="5896" max="5896" width="13.140625" style="1029" customWidth="1"/>
    <col min="5897" max="5897" width="15" style="1029" customWidth="1"/>
    <col min="5898" max="5898" width="12.42578125" style="1029" customWidth="1"/>
    <col min="5899" max="5899" width="11.7109375" style="1029" customWidth="1"/>
    <col min="5900" max="5900" width="12.42578125" style="1029" customWidth="1"/>
    <col min="5901" max="5901" width="12.5703125" style="1029" customWidth="1"/>
    <col min="5902" max="5902" width="11.140625" style="1029" customWidth="1"/>
    <col min="5903" max="5903" width="13.42578125" style="1029" customWidth="1"/>
    <col min="5904" max="5904" width="11.85546875" style="1029" customWidth="1"/>
    <col min="5905" max="5905" width="14.7109375" style="1029" customWidth="1"/>
    <col min="5906" max="5906" width="13.7109375" style="1029" customWidth="1"/>
    <col min="5907" max="5907" width="12.28515625" style="1029" customWidth="1"/>
    <col min="5908" max="5908" width="13" style="1029" customWidth="1"/>
    <col min="5909" max="5909" width="12.28515625" style="1029" customWidth="1"/>
    <col min="5910" max="5910" width="12.7109375" style="1029" customWidth="1"/>
    <col min="5911" max="5911" width="12.28515625" style="1029" customWidth="1"/>
    <col min="5912" max="5912" width="12.7109375" style="1029" customWidth="1"/>
    <col min="5913" max="6144" width="9.140625" style="1029"/>
    <col min="6145" max="6146" width="5.28515625" style="1029" customWidth="1"/>
    <col min="6147" max="6147" width="36.28515625" style="1029" customWidth="1"/>
    <col min="6148" max="6148" width="6.140625" style="1029" customWidth="1"/>
    <col min="6149" max="6149" width="7" style="1029" bestFit="1" customWidth="1"/>
    <col min="6150" max="6150" width="5.28515625" style="1029" customWidth="1"/>
    <col min="6151" max="6151" width="5.7109375" style="1029" customWidth="1"/>
    <col min="6152" max="6152" width="13.140625" style="1029" customWidth="1"/>
    <col min="6153" max="6153" width="15" style="1029" customWidth="1"/>
    <col min="6154" max="6154" width="12.42578125" style="1029" customWidth="1"/>
    <col min="6155" max="6155" width="11.7109375" style="1029" customWidth="1"/>
    <col min="6156" max="6156" width="12.42578125" style="1029" customWidth="1"/>
    <col min="6157" max="6157" width="12.5703125" style="1029" customWidth="1"/>
    <col min="6158" max="6158" width="11.140625" style="1029" customWidth="1"/>
    <col min="6159" max="6159" width="13.42578125" style="1029" customWidth="1"/>
    <col min="6160" max="6160" width="11.85546875" style="1029" customWidth="1"/>
    <col min="6161" max="6161" width="14.7109375" style="1029" customWidth="1"/>
    <col min="6162" max="6162" width="13.7109375" style="1029" customWidth="1"/>
    <col min="6163" max="6163" width="12.28515625" style="1029" customWidth="1"/>
    <col min="6164" max="6164" width="13" style="1029" customWidth="1"/>
    <col min="6165" max="6165" width="12.28515625" style="1029" customWidth="1"/>
    <col min="6166" max="6166" width="12.7109375" style="1029" customWidth="1"/>
    <col min="6167" max="6167" width="12.28515625" style="1029" customWidth="1"/>
    <col min="6168" max="6168" width="12.7109375" style="1029" customWidth="1"/>
    <col min="6169" max="6400" width="9.140625" style="1029"/>
    <col min="6401" max="6402" width="5.28515625" style="1029" customWidth="1"/>
    <col min="6403" max="6403" width="36.28515625" style="1029" customWidth="1"/>
    <col min="6404" max="6404" width="6.140625" style="1029" customWidth="1"/>
    <col min="6405" max="6405" width="7" style="1029" bestFit="1" customWidth="1"/>
    <col min="6406" max="6406" width="5.28515625" style="1029" customWidth="1"/>
    <col min="6407" max="6407" width="5.7109375" style="1029" customWidth="1"/>
    <col min="6408" max="6408" width="13.140625" style="1029" customWidth="1"/>
    <col min="6409" max="6409" width="15" style="1029" customWidth="1"/>
    <col min="6410" max="6410" width="12.42578125" style="1029" customWidth="1"/>
    <col min="6411" max="6411" width="11.7109375" style="1029" customWidth="1"/>
    <col min="6412" max="6412" width="12.42578125" style="1029" customWidth="1"/>
    <col min="6413" max="6413" width="12.5703125" style="1029" customWidth="1"/>
    <col min="6414" max="6414" width="11.140625" style="1029" customWidth="1"/>
    <col min="6415" max="6415" width="13.42578125" style="1029" customWidth="1"/>
    <col min="6416" max="6416" width="11.85546875" style="1029" customWidth="1"/>
    <col min="6417" max="6417" width="14.7109375" style="1029" customWidth="1"/>
    <col min="6418" max="6418" width="13.7109375" style="1029" customWidth="1"/>
    <col min="6419" max="6419" width="12.28515625" style="1029" customWidth="1"/>
    <col min="6420" max="6420" width="13" style="1029" customWidth="1"/>
    <col min="6421" max="6421" width="12.28515625" style="1029" customWidth="1"/>
    <col min="6422" max="6422" width="12.7109375" style="1029" customWidth="1"/>
    <col min="6423" max="6423" width="12.28515625" style="1029" customWidth="1"/>
    <col min="6424" max="6424" width="12.7109375" style="1029" customWidth="1"/>
    <col min="6425" max="6656" width="9.140625" style="1029"/>
    <col min="6657" max="6658" width="5.28515625" style="1029" customWidth="1"/>
    <col min="6659" max="6659" width="36.28515625" style="1029" customWidth="1"/>
    <col min="6660" max="6660" width="6.140625" style="1029" customWidth="1"/>
    <col min="6661" max="6661" width="7" style="1029" bestFit="1" customWidth="1"/>
    <col min="6662" max="6662" width="5.28515625" style="1029" customWidth="1"/>
    <col min="6663" max="6663" width="5.7109375" style="1029" customWidth="1"/>
    <col min="6664" max="6664" width="13.140625" style="1029" customWidth="1"/>
    <col min="6665" max="6665" width="15" style="1029" customWidth="1"/>
    <col min="6666" max="6666" width="12.42578125" style="1029" customWidth="1"/>
    <col min="6667" max="6667" width="11.7109375" style="1029" customWidth="1"/>
    <col min="6668" max="6668" width="12.42578125" style="1029" customWidth="1"/>
    <col min="6669" max="6669" width="12.5703125" style="1029" customWidth="1"/>
    <col min="6670" max="6670" width="11.140625" style="1029" customWidth="1"/>
    <col min="6671" max="6671" width="13.42578125" style="1029" customWidth="1"/>
    <col min="6672" max="6672" width="11.85546875" style="1029" customWidth="1"/>
    <col min="6673" max="6673" width="14.7109375" style="1029" customWidth="1"/>
    <col min="6674" max="6674" width="13.7109375" style="1029" customWidth="1"/>
    <col min="6675" max="6675" width="12.28515625" style="1029" customWidth="1"/>
    <col min="6676" max="6676" width="13" style="1029" customWidth="1"/>
    <col min="6677" max="6677" width="12.28515625" style="1029" customWidth="1"/>
    <col min="6678" max="6678" width="12.7109375" style="1029" customWidth="1"/>
    <col min="6679" max="6679" width="12.28515625" style="1029" customWidth="1"/>
    <col min="6680" max="6680" width="12.7109375" style="1029" customWidth="1"/>
    <col min="6681" max="6912" width="9.140625" style="1029"/>
    <col min="6913" max="6914" width="5.28515625" style="1029" customWidth="1"/>
    <col min="6915" max="6915" width="36.28515625" style="1029" customWidth="1"/>
    <col min="6916" max="6916" width="6.140625" style="1029" customWidth="1"/>
    <col min="6917" max="6917" width="7" style="1029" bestFit="1" customWidth="1"/>
    <col min="6918" max="6918" width="5.28515625" style="1029" customWidth="1"/>
    <col min="6919" max="6919" width="5.7109375" style="1029" customWidth="1"/>
    <col min="6920" max="6920" width="13.140625" style="1029" customWidth="1"/>
    <col min="6921" max="6921" width="15" style="1029" customWidth="1"/>
    <col min="6922" max="6922" width="12.42578125" style="1029" customWidth="1"/>
    <col min="6923" max="6923" width="11.7109375" style="1029" customWidth="1"/>
    <col min="6924" max="6924" width="12.42578125" style="1029" customWidth="1"/>
    <col min="6925" max="6925" width="12.5703125" style="1029" customWidth="1"/>
    <col min="6926" max="6926" width="11.140625" style="1029" customWidth="1"/>
    <col min="6927" max="6927" width="13.42578125" style="1029" customWidth="1"/>
    <col min="6928" max="6928" width="11.85546875" style="1029" customWidth="1"/>
    <col min="6929" max="6929" width="14.7109375" style="1029" customWidth="1"/>
    <col min="6930" max="6930" width="13.7109375" style="1029" customWidth="1"/>
    <col min="6931" max="6931" width="12.28515625" style="1029" customWidth="1"/>
    <col min="6932" max="6932" width="13" style="1029" customWidth="1"/>
    <col min="6933" max="6933" width="12.28515625" style="1029" customWidth="1"/>
    <col min="6934" max="6934" width="12.7109375" style="1029" customWidth="1"/>
    <col min="6935" max="6935" width="12.28515625" style="1029" customWidth="1"/>
    <col min="6936" max="6936" width="12.7109375" style="1029" customWidth="1"/>
    <col min="6937" max="7168" width="9.140625" style="1029"/>
    <col min="7169" max="7170" width="5.28515625" style="1029" customWidth="1"/>
    <col min="7171" max="7171" width="36.28515625" style="1029" customWidth="1"/>
    <col min="7172" max="7172" width="6.140625" style="1029" customWidth="1"/>
    <col min="7173" max="7173" width="7" style="1029" bestFit="1" customWidth="1"/>
    <col min="7174" max="7174" width="5.28515625" style="1029" customWidth="1"/>
    <col min="7175" max="7175" width="5.7109375" style="1029" customWidth="1"/>
    <col min="7176" max="7176" width="13.140625" style="1029" customWidth="1"/>
    <col min="7177" max="7177" width="15" style="1029" customWidth="1"/>
    <col min="7178" max="7178" width="12.42578125" style="1029" customWidth="1"/>
    <col min="7179" max="7179" width="11.7109375" style="1029" customWidth="1"/>
    <col min="7180" max="7180" width="12.42578125" style="1029" customWidth="1"/>
    <col min="7181" max="7181" width="12.5703125" style="1029" customWidth="1"/>
    <col min="7182" max="7182" width="11.140625" style="1029" customWidth="1"/>
    <col min="7183" max="7183" width="13.42578125" style="1029" customWidth="1"/>
    <col min="7184" max="7184" width="11.85546875" style="1029" customWidth="1"/>
    <col min="7185" max="7185" width="14.7109375" style="1029" customWidth="1"/>
    <col min="7186" max="7186" width="13.7109375" style="1029" customWidth="1"/>
    <col min="7187" max="7187" width="12.28515625" style="1029" customWidth="1"/>
    <col min="7188" max="7188" width="13" style="1029" customWidth="1"/>
    <col min="7189" max="7189" width="12.28515625" style="1029" customWidth="1"/>
    <col min="7190" max="7190" width="12.7109375" style="1029" customWidth="1"/>
    <col min="7191" max="7191" width="12.28515625" style="1029" customWidth="1"/>
    <col min="7192" max="7192" width="12.7109375" style="1029" customWidth="1"/>
    <col min="7193" max="7424" width="9.140625" style="1029"/>
    <col min="7425" max="7426" width="5.28515625" style="1029" customWidth="1"/>
    <col min="7427" max="7427" width="36.28515625" style="1029" customWidth="1"/>
    <col min="7428" max="7428" width="6.140625" style="1029" customWidth="1"/>
    <col min="7429" max="7429" width="7" style="1029" bestFit="1" customWidth="1"/>
    <col min="7430" max="7430" width="5.28515625" style="1029" customWidth="1"/>
    <col min="7431" max="7431" width="5.7109375" style="1029" customWidth="1"/>
    <col min="7432" max="7432" width="13.140625" style="1029" customWidth="1"/>
    <col min="7433" max="7433" width="15" style="1029" customWidth="1"/>
    <col min="7434" max="7434" width="12.42578125" style="1029" customWidth="1"/>
    <col min="7435" max="7435" width="11.7109375" style="1029" customWidth="1"/>
    <col min="7436" max="7436" width="12.42578125" style="1029" customWidth="1"/>
    <col min="7437" max="7437" width="12.5703125" style="1029" customWidth="1"/>
    <col min="7438" max="7438" width="11.140625" style="1029" customWidth="1"/>
    <col min="7439" max="7439" width="13.42578125" style="1029" customWidth="1"/>
    <col min="7440" max="7440" width="11.85546875" style="1029" customWidth="1"/>
    <col min="7441" max="7441" width="14.7109375" style="1029" customWidth="1"/>
    <col min="7442" max="7442" width="13.7109375" style="1029" customWidth="1"/>
    <col min="7443" max="7443" width="12.28515625" style="1029" customWidth="1"/>
    <col min="7444" max="7444" width="13" style="1029" customWidth="1"/>
    <col min="7445" max="7445" width="12.28515625" style="1029" customWidth="1"/>
    <col min="7446" max="7446" width="12.7109375" style="1029" customWidth="1"/>
    <col min="7447" max="7447" width="12.28515625" style="1029" customWidth="1"/>
    <col min="7448" max="7448" width="12.7109375" style="1029" customWidth="1"/>
    <col min="7449" max="7680" width="9.140625" style="1029"/>
    <col min="7681" max="7682" width="5.28515625" style="1029" customWidth="1"/>
    <col min="7683" max="7683" width="36.28515625" style="1029" customWidth="1"/>
    <col min="7684" max="7684" width="6.140625" style="1029" customWidth="1"/>
    <col min="7685" max="7685" width="7" style="1029" bestFit="1" customWidth="1"/>
    <col min="7686" max="7686" width="5.28515625" style="1029" customWidth="1"/>
    <col min="7687" max="7687" width="5.7109375" style="1029" customWidth="1"/>
    <col min="7688" max="7688" width="13.140625" style="1029" customWidth="1"/>
    <col min="7689" max="7689" width="15" style="1029" customWidth="1"/>
    <col min="7690" max="7690" width="12.42578125" style="1029" customWidth="1"/>
    <col min="7691" max="7691" width="11.7109375" style="1029" customWidth="1"/>
    <col min="7692" max="7692" width="12.42578125" style="1029" customWidth="1"/>
    <col min="7693" max="7693" width="12.5703125" style="1029" customWidth="1"/>
    <col min="7694" max="7694" width="11.140625" style="1029" customWidth="1"/>
    <col min="7695" max="7695" width="13.42578125" style="1029" customWidth="1"/>
    <col min="7696" max="7696" width="11.85546875" style="1029" customWidth="1"/>
    <col min="7697" max="7697" width="14.7109375" style="1029" customWidth="1"/>
    <col min="7698" max="7698" width="13.7109375" style="1029" customWidth="1"/>
    <col min="7699" max="7699" width="12.28515625" style="1029" customWidth="1"/>
    <col min="7700" max="7700" width="13" style="1029" customWidth="1"/>
    <col min="7701" max="7701" width="12.28515625" style="1029" customWidth="1"/>
    <col min="7702" max="7702" width="12.7109375" style="1029" customWidth="1"/>
    <col min="7703" max="7703" width="12.28515625" style="1029" customWidth="1"/>
    <col min="7704" max="7704" width="12.7109375" style="1029" customWidth="1"/>
    <col min="7705" max="7936" width="9.140625" style="1029"/>
    <col min="7937" max="7938" width="5.28515625" style="1029" customWidth="1"/>
    <col min="7939" max="7939" width="36.28515625" style="1029" customWidth="1"/>
    <col min="7940" max="7940" width="6.140625" style="1029" customWidth="1"/>
    <col min="7941" max="7941" width="7" style="1029" bestFit="1" customWidth="1"/>
    <col min="7942" max="7942" width="5.28515625" style="1029" customWidth="1"/>
    <col min="7943" max="7943" width="5.7109375" style="1029" customWidth="1"/>
    <col min="7944" max="7944" width="13.140625" style="1029" customWidth="1"/>
    <col min="7945" max="7945" width="15" style="1029" customWidth="1"/>
    <col min="7946" max="7946" width="12.42578125" style="1029" customWidth="1"/>
    <col min="7947" max="7947" width="11.7109375" style="1029" customWidth="1"/>
    <col min="7948" max="7948" width="12.42578125" style="1029" customWidth="1"/>
    <col min="7949" max="7949" width="12.5703125" style="1029" customWidth="1"/>
    <col min="7950" max="7950" width="11.140625" style="1029" customWidth="1"/>
    <col min="7951" max="7951" width="13.42578125" style="1029" customWidth="1"/>
    <col min="7952" max="7952" width="11.85546875" style="1029" customWidth="1"/>
    <col min="7953" max="7953" width="14.7109375" style="1029" customWidth="1"/>
    <col min="7954" max="7954" width="13.7109375" style="1029" customWidth="1"/>
    <col min="7955" max="7955" width="12.28515625" style="1029" customWidth="1"/>
    <col min="7956" max="7956" width="13" style="1029" customWidth="1"/>
    <col min="7957" max="7957" width="12.28515625" style="1029" customWidth="1"/>
    <col min="7958" max="7958" width="12.7109375" style="1029" customWidth="1"/>
    <col min="7959" max="7959" width="12.28515625" style="1029" customWidth="1"/>
    <col min="7960" max="7960" width="12.7109375" style="1029" customWidth="1"/>
    <col min="7961" max="8192" width="9.140625" style="1029"/>
    <col min="8193" max="8194" width="5.28515625" style="1029" customWidth="1"/>
    <col min="8195" max="8195" width="36.28515625" style="1029" customWidth="1"/>
    <col min="8196" max="8196" width="6.140625" style="1029" customWidth="1"/>
    <col min="8197" max="8197" width="7" style="1029" bestFit="1" customWidth="1"/>
    <col min="8198" max="8198" width="5.28515625" style="1029" customWidth="1"/>
    <col min="8199" max="8199" width="5.7109375" style="1029" customWidth="1"/>
    <col min="8200" max="8200" width="13.140625" style="1029" customWidth="1"/>
    <col min="8201" max="8201" width="15" style="1029" customWidth="1"/>
    <col min="8202" max="8202" width="12.42578125" style="1029" customWidth="1"/>
    <col min="8203" max="8203" width="11.7109375" style="1029" customWidth="1"/>
    <col min="8204" max="8204" width="12.42578125" style="1029" customWidth="1"/>
    <col min="8205" max="8205" width="12.5703125" style="1029" customWidth="1"/>
    <col min="8206" max="8206" width="11.140625" style="1029" customWidth="1"/>
    <col min="8207" max="8207" width="13.42578125" style="1029" customWidth="1"/>
    <col min="8208" max="8208" width="11.85546875" style="1029" customWidth="1"/>
    <col min="8209" max="8209" width="14.7109375" style="1029" customWidth="1"/>
    <col min="8210" max="8210" width="13.7109375" style="1029" customWidth="1"/>
    <col min="8211" max="8211" width="12.28515625" style="1029" customWidth="1"/>
    <col min="8212" max="8212" width="13" style="1029" customWidth="1"/>
    <col min="8213" max="8213" width="12.28515625" style="1029" customWidth="1"/>
    <col min="8214" max="8214" width="12.7109375" style="1029" customWidth="1"/>
    <col min="8215" max="8215" width="12.28515625" style="1029" customWidth="1"/>
    <col min="8216" max="8216" width="12.7109375" style="1029" customWidth="1"/>
    <col min="8217" max="8448" width="9.140625" style="1029"/>
    <col min="8449" max="8450" width="5.28515625" style="1029" customWidth="1"/>
    <col min="8451" max="8451" width="36.28515625" style="1029" customWidth="1"/>
    <col min="8452" max="8452" width="6.140625" style="1029" customWidth="1"/>
    <col min="8453" max="8453" width="7" style="1029" bestFit="1" customWidth="1"/>
    <col min="8454" max="8454" width="5.28515625" style="1029" customWidth="1"/>
    <col min="8455" max="8455" width="5.7109375" style="1029" customWidth="1"/>
    <col min="8456" max="8456" width="13.140625" style="1029" customWidth="1"/>
    <col min="8457" max="8457" width="15" style="1029" customWidth="1"/>
    <col min="8458" max="8458" width="12.42578125" style="1029" customWidth="1"/>
    <col min="8459" max="8459" width="11.7109375" style="1029" customWidth="1"/>
    <col min="8460" max="8460" width="12.42578125" style="1029" customWidth="1"/>
    <col min="8461" max="8461" width="12.5703125" style="1029" customWidth="1"/>
    <col min="8462" max="8462" width="11.140625" style="1029" customWidth="1"/>
    <col min="8463" max="8463" width="13.42578125" style="1029" customWidth="1"/>
    <col min="8464" max="8464" width="11.85546875" style="1029" customWidth="1"/>
    <col min="8465" max="8465" width="14.7109375" style="1029" customWidth="1"/>
    <col min="8466" max="8466" width="13.7109375" style="1029" customWidth="1"/>
    <col min="8467" max="8467" width="12.28515625" style="1029" customWidth="1"/>
    <col min="8468" max="8468" width="13" style="1029" customWidth="1"/>
    <col min="8469" max="8469" width="12.28515625" style="1029" customWidth="1"/>
    <col min="8470" max="8470" width="12.7109375" style="1029" customWidth="1"/>
    <col min="8471" max="8471" width="12.28515625" style="1029" customWidth="1"/>
    <col min="8472" max="8472" width="12.7109375" style="1029" customWidth="1"/>
    <col min="8473" max="8704" width="9.140625" style="1029"/>
    <col min="8705" max="8706" width="5.28515625" style="1029" customWidth="1"/>
    <col min="8707" max="8707" width="36.28515625" style="1029" customWidth="1"/>
    <col min="8708" max="8708" width="6.140625" style="1029" customWidth="1"/>
    <col min="8709" max="8709" width="7" style="1029" bestFit="1" customWidth="1"/>
    <col min="8710" max="8710" width="5.28515625" style="1029" customWidth="1"/>
    <col min="8711" max="8711" width="5.7109375" style="1029" customWidth="1"/>
    <col min="8712" max="8712" width="13.140625" style="1029" customWidth="1"/>
    <col min="8713" max="8713" width="15" style="1029" customWidth="1"/>
    <col min="8714" max="8714" width="12.42578125" style="1029" customWidth="1"/>
    <col min="8715" max="8715" width="11.7109375" style="1029" customWidth="1"/>
    <col min="8716" max="8716" width="12.42578125" style="1029" customWidth="1"/>
    <col min="8717" max="8717" width="12.5703125" style="1029" customWidth="1"/>
    <col min="8718" max="8718" width="11.140625" style="1029" customWidth="1"/>
    <col min="8719" max="8719" width="13.42578125" style="1029" customWidth="1"/>
    <col min="8720" max="8720" width="11.85546875" style="1029" customWidth="1"/>
    <col min="8721" max="8721" width="14.7109375" style="1029" customWidth="1"/>
    <col min="8722" max="8722" width="13.7109375" style="1029" customWidth="1"/>
    <col min="8723" max="8723" width="12.28515625" style="1029" customWidth="1"/>
    <col min="8724" max="8724" width="13" style="1029" customWidth="1"/>
    <col min="8725" max="8725" width="12.28515625" style="1029" customWidth="1"/>
    <col min="8726" max="8726" width="12.7109375" style="1029" customWidth="1"/>
    <col min="8727" max="8727" width="12.28515625" style="1029" customWidth="1"/>
    <col min="8728" max="8728" width="12.7109375" style="1029" customWidth="1"/>
    <col min="8729" max="8960" width="9.140625" style="1029"/>
    <col min="8961" max="8962" width="5.28515625" style="1029" customWidth="1"/>
    <col min="8963" max="8963" width="36.28515625" style="1029" customWidth="1"/>
    <col min="8964" max="8964" width="6.140625" style="1029" customWidth="1"/>
    <col min="8965" max="8965" width="7" style="1029" bestFit="1" customWidth="1"/>
    <col min="8966" max="8966" width="5.28515625" style="1029" customWidth="1"/>
    <col min="8967" max="8967" width="5.7109375" style="1029" customWidth="1"/>
    <col min="8968" max="8968" width="13.140625" style="1029" customWidth="1"/>
    <col min="8969" max="8969" width="15" style="1029" customWidth="1"/>
    <col min="8970" max="8970" width="12.42578125" style="1029" customWidth="1"/>
    <col min="8971" max="8971" width="11.7109375" style="1029" customWidth="1"/>
    <col min="8972" max="8972" width="12.42578125" style="1029" customWidth="1"/>
    <col min="8973" max="8973" width="12.5703125" style="1029" customWidth="1"/>
    <col min="8974" max="8974" width="11.140625" style="1029" customWidth="1"/>
    <col min="8975" max="8975" width="13.42578125" style="1029" customWidth="1"/>
    <col min="8976" max="8976" width="11.85546875" style="1029" customWidth="1"/>
    <col min="8977" max="8977" width="14.7109375" style="1029" customWidth="1"/>
    <col min="8978" max="8978" width="13.7109375" style="1029" customWidth="1"/>
    <col min="8979" max="8979" width="12.28515625" style="1029" customWidth="1"/>
    <col min="8980" max="8980" width="13" style="1029" customWidth="1"/>
    <col min="8981" max="8981" width="12.28515625" style="1029" customWidth="1"/>
    <col min="8982" max="8982" width="12.7109375" style="1029" customWidth="1"/>
    <col min="8983" max="8983" width="12.28515625" style="1029" customWidth="1"/>
    <col min="8984" max="8984" width="12.7109375" style="1029" customWidth="1"/>
    <col min="8985" max="9216" width="9.140625" style="1029"/>
    <col min="9217" max="9218" width="5.28515625" style="1029" customWidth="1"/>
    <col min="9219" max="9219" width="36.28515625" style="1029" customWidth="1"/>
    <col min="9220" max="9220" width="6.140625" style="1029" customWidth="1"/>
    <col min="9221" max="9221" width="7" style="1029" bestFit="1" customWidth="1"/>
    <col min="9222" max="9222" width="5.28515625" style="1029" customWidth="1"/>
    <col min="9223" max="9223" width="5.7109375" style="1029" customWidth="1"/>
    <col min="9224" max="9224" width="13.140625" style="1029" customWidth="1"/>
    <col min="9225" max="9225" width="15" style="1029" customWidth="1"/>
    <col min="9226" max="9226" width="12.42578125" style="1029" customWidth="1"/>
    <col min="9227" max="9227" width="11.7109375" style="1029" customWidth="1"/>
    <col min="9228" max="9228" width="12.42578125" style="1029" customWidth="1"/>
    <col min="9229" max="9229" width="12.5703125" style="1029" customWidth="1"/>
    <col min="9230" max="9230" width="11.140625" style="1029" customWidth="1"/>
    <col min="9231" max="9231" width="13.42578125" style="1029" customWidth="1"/>
    <col min="9232" max="9232" width="11.85546875" style="1029" customWidth="1"/>
    <col min="9233" max="9233" width="14.7109375" style="1029" customWidth="1"/>
    <col min="9234" max="9234" width="13.7109375" style="1029" customWidth="1"/>
    <col min="9235" max="9235" width="12.28515625" style="1029" customWidth="1"/>
    <col min="9236" max="9236" width="13" style="1029" customWidth="1"/>
    <col min="9237" max="9237" width="12.28515625" style="1029" customWidth="1"/>
    <col min="9238" max="9238" width="12.7109375" style="1029" customWidth="1"/>
    <col min="9239" max="9239" width="12.28515625" style="1029" customWidth="1"/>
    <col min="9240" max="9240" width="12.7109375" style="1029" customWidth="1"/>
    <col min="9241" max="9472" width="9.140625" style="1029"/>
    <col min="9473" max="9474" width="5.28515625" style="1029" customWidth="1"/>
    <col min="9475" max="9475" width="36.28515625" style="1029" customWidth="1"/>
    <col min="9476" max="9476" width="6.140625" style="1029" customWidth="1"/>
    <col min="9477" max="9477" width="7" style="1029" bestFit="1" customWidth="1"/>
    <col min="9478" max="9478" width="5.28515625" style="1029" customWidth="1"/>
    <col min="9479" max="9479" width="5.7109375" style="1029" customWidth="1"/>
    <col min="9480" max="9480" width="13.140625" style="1029" customWidth="1"/>
    <col min="9481" max="9481" width="15" style="1029" customWidth="1"/>
    <col min="9482" max="9482" width="12.42578125" style="1029" customWidth="1"/>
    <col min="9483" max="9483" width="11.7109375" style="1029" customWidth="1"/>
    <col min="9484" max="9484" width="12.42578125" style="1029" customWidth="1"/>
    <col min="9485" max="9485" width="12.5703125" style="1029" customWidth="1"/>
    <col min="9486" max="9486" width="11.140625" style="1029" customWidth="1"/>
    <col min="9487" max="9487" width="13.42578125" style="1029" customWidth="1"/>
    <col min="9488" max="9488" width="11.85546875" style="1029" customWidth="1"/>
    <col min="9489" max="9489" width="14.7109375" style="1029" customWidth="1"/>
    <col min="9490" max="9490" width="13.7109375" style="1029" customWidth="1"/>
    <col min="9491" max="9491" width="12.28515625" style="1029" customWidth="1"/>
    <col min="9492" max="9492" width="13" style="1029" customWidth="1"/>
    <col min="9493" max="9493" width="12.28515625" style="1029" customWidth="1"/>
    <col min="9494" max="9494" width="12.7109375" style="1029" customWidth="1"/>
    <col min="9495" max="9495" width="12.28515625" style="1029" customWidth="1"/>
    <col min="9496" max="9496" width="12.7109375" style="1029" customWidth="1"/>
    <col min="9497" max="9728" width="9.140625" style="1029"/>
    <col min="9729" max="9730" width="5.28515625" style="1029" customWidth="1"/>
    <col min="9731" max="9731" width="36.28515625" style="1029" customWidth="1"/>
    <col min="9732" max="9732" width="6.140625" style="1029" customWidth="1"/>
    <col min="9733" max="9733" width="7" style="1029" bestFit="1" customWidth="1"/>
    <col min="9734" max="9734" width="5.28515625" style="1029" customWidth="1"/>
    <col min="9735" max="9735" width="5.7109375" style="1029" customWidth="1"/>
    <col min="9736" max="9736" width="13.140625" style="1029" customWidth="1"/>
    <col min="9737" max="9737" width="15" style="1029" customWidth="1"/>
    <col min="9738" max="9738" width="12.42578125" style="1029" customWidth="1"/>
    <col min="9739" max="9739" width="11.7109375" style="1029" customWidth="1"/>
    <col min="9740" max="9740" width="12.42578125" style="1029" customWidth="1"/>
    <col min="9741" max="9741" width="12.5703125" style="1029" customWidth="1"/>
    <col min="9742" max="9742" width="11.140625" style="1029" customWidth="1"/>
    <col min="9743" max="9743" width="13.42578125" style="1029" customWidth="1"/>
    <col min="9744" max="9744" width="11.85546875" style="1029" customWidth="1"/>
    <col min="9745" max="9745" width="14.7109375" style="1029" customWidth="1"/>
    <col min="9746" max="9746" width="13.7109375" style="1029" customWidth="1"/>
    <col min="9747" max="9747" width="12.28515625" style="1029" customWidth="1"/>
    <col min="9748" max="9748" width="13" style="1029" customWidth="1"/>
    <col min="9749" max="9749" width="12.28515625" style="1029" customWidth="1"/>
    <col min="9750" max="9750" width="12.7109375" style="1029" customWidth="1"/>
    <col min="9751" max="9751" width="12.28515625" style="1029" customWidth="1"/>
    <col min="9752" max="9752" width="12.7109375" style="1029" customWidth="1"/>
    <col min="9753" max="9984" width="9.140625" style="1029"/>
    <col min="9985" max="9986" width="5.28515625" style="1029" customWidth="1"/>
    <col min="9987" max="9987" width="36.28515625" style="1029" customWidth="1"/>
    <col min="9988" max="9988" width="6.140625" style="1029" customWidth="1"/>
    <col min="9989" max="9989" width="7" style="1029" bestFit="1" customWidth="1"/>
    <col min="9990" max="9990" width="5.28515625" style="1029" customWidth="1"/>
    <col min="9991" max="9991" width="5.7109375" style="1029" customWidth="1"/>
    <col min="9992" max="9992" width="13.140625" style="1029" customWidth="1"/>
    <col min="9993" max="9993" width="15" style="1029" customWidth="1"/>
    <col min="9994" max="9994" width="12.42578125" style="1029" customWidth="1"/>
    <col min="9995" max="9995" width="11.7109375" style="1029" customWidth="1"/>
    <col min="9996" max="9996" width="12.42578125" style="1029" customWidth="1"/>
    <col min="9997" max="9997" width="12.5703125" style="1029" customWidth="1"/>
    <col min="9998" max="9998" width="11.140625" style="1029" customWidth="1"/>
    <col min="9999" max="9999" width="13.42578125" style="1029" customWidth="1"/>
    <col min="10000" max="10000" width="11.85546875" style="1029" customWidth="1"/>
    <col min="10001" max="10001" width="14.7109375" style="1029" customWidth="1"/>
    <col min="10002" max="10002" width="13.7109375" style="1029" customWidth="1"/>
    <col min="10003" max="10003" width="12.28515625" style="1029" customWidth="1"/>
    <col min="10004" max="10004" width="13" style="1029" customWidth="1"/>
    <col min="10005" max="10005" width="12.28515625" style="1029" customWidth="1"/>
    <col min="10006" max="10006" width="12.7109375" style="1029" customWidth="1"/>
    <col min="10007" max="10007" width="12.28515625" style="1029" customWidth="1"/>
    <col min="10008" max="10008" width="12.7109375" style="1029" customWidth="1"/>
    <col min="10009" max="10240" width="9.140625" style="1029"/>
    <col min="10241" max="10242" width="5.28515625" style="1029" customWidth="1"/>
    <col min="10243" max="10243" width="36.28515625" style="1029" customWidth="1"/>
    <col min="10244" max="10244" width="6.140625" style="1029" customWidth="1"/>
    <col min="10245" max="10245" width="7" style="1029" bestFit="1" customWidth="1"/>
    <col min="10246" max="10246" width="5.28515625" style="1029" customWidth="1"/>
    <col min="10247" max="10247" width="5.7109375" style="1029" customWidth="1"/>
    <col min="10248" max="10248" width="13.140625" style="1029" customWidth="1"/>
    <col min="10249" max="10249" width="15" style="1029" customWidth="1"/>
    <col min="10250" max="10250" width="12.42578125" style="1029" customWidth="1"/>
    <col min="10251" max="10251" width="11.7109375" style="1029" customWidth="1"/>
    <col min="10252" max="10252" width="12.42578125" style="1029" customWidth="1"/>
    <col min="10253" max="10253" width="12.5703125" style="1029" customWidth="1"/>
    <col min="10254" max="10254" width="11.140625" style="1029" customWidth="1"/>
    <col min="10255" max="10255" width="13.42578125" style="1029" customWidth="1"/>
    <col min="10256" max="10256" width="11.85546875" style="1029" customWidth="1"/>
    <col min="10257" max="10257" width="14.7109375" style="1029" customWidth="1"/>
    <col min="10258" max="10258" width="13.7109375" style="1029" customWidth="1"/>
    <col min="10259" max="10259" width="12.28515625" style="1029" customWidth="1"/>
    <col min="10260" max="10260" width="13" style="1029" customWidth="1"/>
    <col min="10261" max="10261" width="12.28515625" style="1029" customWidth="1"/>
    <col min="10262" max="10262" width="12.7109375" style="1029" customWidth="1"/>
    <col min="10263" max="10263" width="12.28515625" style="1029" customWidth="1"/>
    <col min="10264" max="10264" width="12.7109375" style="1029" customWidth="1"/>
    <col min="10265" max="10496" width="9.140625" style="1029"/>
    <col min="10497" max="10498" width="5.28515625" style="1029" customWidth="1"/>
    <col min="10499" max="10499" width="36.28515625" style="1029" customWidth="1"/>
    <col min="10500" max="10500" width="6.140625" style="1029" customWidth="1"/>
    <col min="10501" max="10501" width="7" style="1029" bestFit="1" customWidth="1"/>
    <col min="10502" max="10502" width="5.28515625" style="1029" customWidth="1"/>
    <col min="10503" max="10503" width="5.7109375" style="1029" customWidth="1"/>
    <col min="10504" max="10504" width="13.140625" style="1029" customWidth="1"/>
    <col min="10505" max="10505" width="15" style="1029" customWidth="1"/>
    <col min="10506" max="10506" width="12.42578125" style="1029" customWidth="1"/>
    <col min="10507" max="10507" width="11.7109375" style="1029" customWidth="1"/>
    <col min="10508" max="10508" width="12.42578125" style="1029" customWidth="1"/>
    <col min="10509" max="10509" width="12.5703125" style="1029" customWidth="1"/>
    <col min="10510" max="10510" width="11.140625" style="1029" customWidth="1"/>
    <col min="10511" max="10511" width="13.42578125" style="1029" customWidth="1"/>
    <col min="10512" max="10512" width="11.85546875" style="1029" customWidth="1"/>
    <col min="10513" max="10513" width="14.7109375" style="1029" customWidth="1"/>
    <col min="10514" max="10514" width="13.7109375" style="1029" customWidth="1"/>
    <col min="10515" max="10515" width="12.28515625" style="1029" customWidth="1"/>
    <col min="10516" max="10516" width="13" style="1029" customWidth="1"/>
    <col min="10517" max="10517" width="12.28515625" style="1029" customWidth="1"/>
    <col min="10518" max="10518" width="12.7109375" style="1029" customWidth="1"/>
    <col min="10519" max="10519" width="12.28515625" style="1029" customWidth="1"/>
    <col min="10520" max="10520" width="12.7109375" style="1029" customWidth="1"/>
    <col min="10521" max="10752" width="9.140625" style="1029"/>
    <col min="10753" max="10754" width="5.28515625" style="1029" customWidth="1"/>
    <col min="10755" max="10755" width="36.28515625" style="1029" customWidth="1"/>
    <col min="10756" max="10756" width="6.140625" style="1029" customWidth="1"/>
    <col min="10757" max="10757" width="7" style="1029" bestFit="1" customWidth="1"/>
    <col min="10758" max="10758" width="5.28515625" style="1029" customWidth="1"/>
    <col min="10759" max="10759" width="5.7109375" style="1029" customWidth="1"/>
    <col min="10760" max="10760" width="13.140625" style="1029" customWidth="1"/>
    <col min="10761" max="10761" width="15" style="1029" customWidth="1"/>
    <col min="10762" max="10762" width="12.42578125" style="1029" customWidth="1"/>
    <col min="10763" max="10763" width="11.7109375" style="1029" customWidth="1"/>
    <col min="10764" max="10764" width="12.42578125" style="1029" customWidth="1"/>
    <col min="10765" max="10765" width="12.5703125" style="1029" customWidth="1"/>
    <col min="10766" max="10766" width="11.140625" style="1029" customWidth="1"/>
    <col min="10767" max="10767" width="13.42578125" style="1029" customWidth="1"/>
    <col min="10768" max="10768" width="11.85546875" style="1029" customWidth="1"/>
    <col min="10769" max="10769" width="14.7109375" style="1029" customWidth="1"/>
    <col min="10770" max="10770" width="13.7109375" style="1029" customWidth="1"/>
    <col min="10771" max="10771" width="12.28515625" style="1029" customWidth="1"/>
    <col min="10772" max="10772" width="13" style="1029" customWidth="1"/>
    <col min="10773" max="10773" width="12.28515625" style="1029" customWidth="1"/>
    <col min="10774" max="10774" width="12.7109375" style="1029" customWidth="1"/>
    <col min="10775" max="10775" width="12.28515625" style="1029" customWidth="1"/>
    <col min="10776" max="10776" width="12.7109375" style="1029" customWidth="1"/>
    <col min="10777" max="11008" width="9.140625" style="1029"/>
    <col min="11009" max="11010" width="5.28515625" style="1029" customWidth="1"/>
    <col min="11011" max="11011" width="36.28515625" style="1029" customWidth="1"/>
    <col min="11012" max="11012" width="6.140625" style="1029" customWidth="1"/>
    <col min="11013" max="11013" width="7" style="1029" bestFit="1" customWidth="1"/>
    <col min="11014" max="11014" width="5.28515625" style="1029" customWidth="1"/>
    <col min="11015" max="11015" width="5.7109375" style="1029" customWidth="1"/>
    <col min="11016" max="11016" width="13.140625" style="1029" customWidth="1"/>
    <col min="11017" max="11017" width="15" style="1029" customWidth="1"/>
    <col min="11018" max="11018" width="12.42578125" style="1029" customWidth="1"/>
    <col min="11019" max="11019" width="11.7109375" style="1029" customWidth="1"/>
    <col min="11020" max="11020" width="12.42578125" style="1029" customWidth="1"/>
    <col min="11021" max="11021" width="12.5703125" style="1029" customWidth="1"/>
    <col min="11022" max="11022" width="11.140625" style="1029" customWidth="1"/>
    <col min="11023" max="11023" width="13.42578125" style="1029" customWidth="1"/>
    <col min="11024" max="11024" width="11.85546875" style="1029" customWidth="1"/>
    <col min="11025" max="11025" width="14.7109375" style="1029" customWidth="1"/>
    <col min="11026" max="11026" width="13.7109375" style="1029" customWidth="1"/>
    <col min="11027" max="11027" width="12.28515625" style="1029" customWidth="1"/>
    <col min="11028" max="11028" width="13" style="1029" customWidth="1"/>
    <col min="11029" max="11029" width="12.28515625" style="1029" customWidth="1"/>
    <col min="11030" max="11030" width="12.7109375" style="1029" customWidth="1"/>
    <col min="11031" max="11031" width="12.28515625" style="1029" customWidth="1"/>
    <col min="11032" max="11032" width="12.7109375" style="1029" customWidth="1"/>
    <col min="11033" max="11264" width="9.140625" style="1029"/>
    <col min="11265" max="11266" width="5.28515625" style="1029" customWidth="1"/>
    <col min="11267" max="11267" width="36.28515625" style="1029" customWidth="1"/>
    <col min="11268" max="11268" width="6.140625" style="1029" customWidth="1"/>
    <col min="11269" max="11269" width="7" style="1029" bestFit="1" customWidth="1"/>
    <col min="11270" max="11270" width="5.28515625" style="1029" customWidth="1"/>
    <col min="11271" max="11271" width="5.7109375" style="1029" customWidth="1"/>
    <col min="11272" max="11272" width="13.140625" style="1029" customWidth="1"/>
    <col min="11273" max="11273" width="15" style="1029" customWidth="1"/>
    <col min="11274" max="11274" width="12.42578125" style="1029" customWidth="1"/>
    <col min="11275" max="11275" width="11.7109375" style="1029" customWidth="1"/>
    <col min="11276" max="11276" width="12.42578125" style="1029" customWidth="1"/>
    <col min="11277" max="11277" width="12.5703125" style="1029" customWidth="1"/>
    <col min="11278" max="11278" width="11.140625" style="1029" customWidth="1"/>
    <col min="11279" max="11279" width="13.42578125" style="1029" customWidth="1"/>
    <col min="11280" max="11280" width="11.85546875" style="1029" customWidth="1"/>
    <col min="11281" max="11281" width="14.7109375" style="1029" customWidth="1"/>
    <col min="11282" max="11282" width="13.7109375" style="1029" customWidth="1"/>
    <col min="11283" max="11283" width="12.28515625" style="1029" customWidth="1"/>
    <col min="11284" max="11284" width="13" style="1029" customWidth="1"/>
    <col min="11285" max="11285" width="12.28515625" style="1029" customWidth="1"/>
    <col min="11286" max="11286" width="12.7109375" style="1029" customWidth="1"/>
    <col min="11287" max="11287" width="12.28515625" style="1029" customWidth="1"/>
    <col min="11288" max="11288" width="12.7109375" style="1029" customWidth="1"/>
    <col min="11289" max="11520" width="9.140625" style="1029"/>
    <col min="11521" max="11522" width="5.28515625" style="1029" customWidth="1"/>
    <col min="11523" max="11523" width="36.28515625" style="1029" customWidth="1"/>
    <col min="11524" max="11524" width="6.140625" style="1029" customWidth="1"/>
    <col min="11525" max="11525" width="7" style="1029" bestFit="1" customWidth="1"/>
    <col min="11526" max="11526" width="5.28515625" style="1029" customWidth="1"/>
    <col min="11527" max="11527" width="5.7109375" style="1029" customWidth="1"/>
    <col min="11528" max="11528" width="13.140625" style="1029" customWidth="1"/>
    <col min="11529" max="11529" width="15" style="1029" customWidth="1"/>
    <col min="11530" max="11530" width="12.42578125" style="1029" customWidth="1"/>
    <col min="11531" max="11531" width="11.7109375" style="1029" customWidth="1"/>
    <col min="11532" max="11532" width="12.42578125" style="1029" customWidth="1"/>
    <col min="11533" max="11533" width="12.5703125" style="1029" customWidth="1"/>
    <col min="11534" max="11534" width="11.140625" style="1029" customWidth="1"/>
    <col min="11535" max="11535" width="13.42578125" style="1029" customWidth="1"/>
    <col min="11536" max="11536" width="11.85546875" style="1029" customWidth="1"/>
    <col min="11537" max="11537" width="14.7109375" style="1029" customWidth="1"/>
    <col min="11538" max="11538" width="13.7109375" style="1029" customWidth="1"/>
    <col min="11539" max="11539" width="12.28515625" style="1029" customWidth="1"/>
    <col min="11540" max="11540" width="13" style="1029" customWidth="1"/>
    <col min="11541" max="11541" width="12.28515625" style="1029" customWidth="1"/>
    <col min="11542" max="11542" width="12.7109375" style="1029" customWidth="1"/>
    <col min="11543" max="11543" width="12.28515625" style="1029" customWidth="1"/>
    <col min="11544" max="11544" width="12.7109375" style="1029" customWidth="1"/>
    <col min="11545" max="11776" width="9.140625" style="1029"/>
    <col min="11777" max="11778" width="5.28515625" style="1029" customWidth="1"/>
    <col min="11779" max="11779" width="36.28515625" style="1029" customWidth="1"/>
    <col min="11780" max="11780" width="6.140625" style="1029" customWidth="1"/>
    <col min="11781" max="11781" width="7" style="1029" bestFit="1" customWidth="1"/>
    <col min="11782" max="11782" width="5.28515625" style="1029" customWidth="1"/>
    <col min="11783" max="11783" width="5.7109375" style="1029" customWidth="1"/>
    <col min="11784" max="11784" width="13.140625" style="1029" customWidth="1"/>
    <col min="11785" max="11785" width="15" style="1029" customWidth="1"/>
    <col min="11786" max="11786" width="12.42578125" style="1029" customWidth="1"/>
    <col min="11787" max="11787" width="11.7109375" style="1029" customWidth="1"/>
    <col min="11788" max="11788" width="12.42578125" style="1029" customWidth="1"/>
    <col min="11789" max="11789" width="12.5703125" style="1029" customWidth="1"/>
    <col min="11790" max="11790" width="11.140625" style="1029" customWidth="1"/>
    <col min="11791" max="11791" width="13.42578125" style="1029" customWidth="1"/>
    <col min="11792" max="11792" width="11.85546875" style="1029" customWidth="1"/>
    <col min="11793" max="11793" width="14.7109375" style="1029" customWidth="1"/>
    <col min="11794" max="11794" width="13.7109375" style="1029" customWidth="1"/>
    <col min="11795" max="11795" width="12.28515625" style="1029" customWidth="1"/>
    <col min="11796" max="11796" width="13" style="1029" customWidth="1"/>
    <col min="11797" max="11797" width="12.28515625" style="1029" customWidth="1"/>
    <col min="11798" max="11798" width="12.7109375" style="1029" customWidth="1"/>
    <col min="11799" max="11799" width="12.28515625" style="1029" customWidth="1"/>
    <col min="11800" max="11800" width="12.7109375" style="1029" customWidth="1"/>
    <col min="11801" max="12032" width="9.140625" style="1029"/>
    <col min="12033" max="12034" width="5.28515625" style="1029" customWidth="1"/>
    <col min="12035" max="12035" width="36.28515625" style="1029" customWidth="1"/>
    <col min="12036" max="12036" width="6.140625" style="1029" customWidth="1"/>
    <col min="12037" max="12037" width="7" style="1029" bestFit="1" customWidth="1"/>
    <col min="12038" max="12038" width="5.28515625" style="1029" customWidth="1"/>
    <col min="12039" max="12039" width="5.7109375" style="1029" customWidth="1"/>
    <col min="12040" max="12040" width="13.140625" style="1029" customWidth="1"/>
    <col min="12041" max="12041" width="15" style="1029" customWidth="1"/>
    <col min="12042" max="12042" width="12.42578125" style="1029" customWidth="1"/>
    <col min="12043" max="12043" width="11.7109375" style="1029" customWidth="1"/>
    <col min="12044" max="12044" width="12.42578125" style="1029" customWidth="1"/>
    <col min="12045" max="12045" width="12.5703125" style="1029" customWidth="1"/>
    <col min="12046" max="12046" width="11.140625" style="1029" customWidth="1"/>
    <col min="12047" max="12047" width="13.42578125" style="1029" customWidth="1"/>
    <col min="12048" max="12048" width="11.85546875" style="1029" customWidth="1"/>
    <col min="12049" max="12049" width="14.7109375" style="1029" customWidth="1"/>
    <col min="12050" max="12050" width="13.7109375" style="1029" customWidth="1"/>
    <col min="12051" max="12051" width="12.28515625" style="1029" customWidth="1"/>
    <col min="12052" max="12052" width="13" style="1029" customWidth="1"/>
    <col min="12053" max="12053" width="12.28515625" style="1029" customWidth="1"/>
    <col min="12054" max="12054" width="12.7109375" style="1029" customWidth="1"/>
    <col min="12055" max="12055" width="12.28515625" style="1029" customWidth="1"/>
    <col min="12056" max="12056" width="12.7109375" style="1029" customWidth="1"/>
    <col min="12057" max="12288" width="9.140625" style="1029"/>
    <col min="12289" max="12290" width="5.28515625" style="1029" customWidth="1"/>
    <col min="12291" max="12291" width="36.28515625" style="1029" customWidth="1"/>
    <col min="12292" max="12292" width="6.140625" style="1029" customWidth="1"/>
    <col min="12293" max="12293" width="7" style="1029" bestFit="1" customWidth="1"/>
    <col min="12294" max="12294" width="5.28515625" style="1029" customWidth="1"/>
    <col min="12295" max="12295" width="5.7109375" style="1029" customWidth="1"/>
    <col min="12296" max="12296" width="13.140625" style="1029" customWidth="1"/>
    <col min="12297" max="12297" width="15" style="1029" customWidth="1"/>
    <col min="12298" max="12298" width="12.42578125" style="1029" customWidth="1"/>
    <col min="12299" max="12299" width="11.7109375" style="1029" customWidth="1"/>
    <col min="12300" max="12300" width="12.42578125" style="1029" customWidth="1"/>
    <col min="12301" max="12301" width="12.5703125" style="1029" customWidth="1"/>
    <col min="12302" max="12302" width="11.140625" style="1029" customWidth="1"/>
    <col min="12303" max="12303" width="13.42578125" style="1029" customWidth="1"/>
    <col min="12304" max="12304" width="11.85546875" style="1029" customWidth="1"/>
    <col min="12305" max="12305" width="14.7109375" style="1029" customWidth="1"/>
    <col min="12306" max="12306" width="13.7109375" style="1029" customWidth="1"/>
    <col min="12307" max="12307" width="12.28515625" style="1029" customWidth="1"/>
    <col min="12308" max="12308" width="13" style="1029" customWidth="1"/>
    <col min="12309" max="12309" width="12.28515625" style="1029" customWidth="1"/>
    <col min="12310" max="12310" width="12.7109375" style="1029" customWidth="1"/>
    <col min="12311" max="12311" width="12.28515625" style="1029" customWidth="1"/>
    <col min="12312" max="12312" width="12.7109375" style="1029" customWidth="1"/>
    <col min="12313" max="12544" width="9.140625" style="1029"/>
    <col min="12545" max="12546" width="5.28515625" style="1029" customWidth="1"/>
    <col min="12547" max="12547" width="36.28515625" style="1029" customWidth="1"/>
    <col min="12548" max="12548" width="6.140625" style="1029" customWidth="1"/>
    <col min="12549" max="12549" width="7" style="1029" bestFit="1" customWidth="1"/>
    <col min="12550" max="12550" width="5.28515625" style="1029" customWidth="1"/>
    <col min="12551" max="12551" width="5.7109375" style="1029" customWidth="1"/>
    <col min="12552" max="12552" width="13.140625" style="1029" customWidth="1"/>
    <col min="12553" max="12553" width="15" style="1029" customWidth="1"/>
    <col min="12554" max="12554" width="12.42578125" style="1029" customWidth="1"/>
    <col min="12555" max="12555" width="11.7109375" style="1029" customWidth="1"/>
    <col min="12556" max="12556" width="12.42578125" style="1029" customWidth="1"/>
    <col min="12557" max="12557" width="12.5703125" style="1029" customWidth="1"/>
    <col min="12558" max="12558" width="11.140625" style="1029" customWidth="1"/>
    <col min="12559" max="12559" width="13.42578125" style="1029" customWidth="1"/>
    <col min="12560" max="12560" width="11.85546875" style="1029" customWidth="1"/>
    <col min="12561" max="12561" width="14.7109375" style="1029" customWidth="1"/>
    <col min="12562" max="12562" width="13.7109375" style="1029" customWidth="1"/>
    <col min="12563" max="12563" width="12.28515625" style="1029" customWidth="1"/>
    <col min="12564" max="12564" width="13" style="1029" customWidth="1"/>
    <col min="12565" max="12565" width="12.28515625" style="1029" customWidth="1"/>
    <col min="12566" max="12566" width="12.7109375" style="1029" customWidth="1"/>
    <col min="12567" max="12567" width="12.28515625" style="1029" customWidth="1"/>
    <col min="12568" max="12568" width="12.7109375" style="1029" customWidth="1"/>
    <col min="12569" max="12800" width="9.140625" style="1029"/>
    <col min="12801" max="12802" width="5.28515625" style="1029" customWidth="1"/>
    <col min="12803" max="12803" width="36.28515625" style="1029" customWidth="1"/>
    <col min="12804" max="12804" width="6.140625" style="1029" customWidth="1"/>
    <col min="12805" max="12805" width="7" style="1029" bestFit="1" customWidth="1"/>
    <col min="12806" max="12806" width="5.28515625" style="1029" customWidth="1"/>
    <col min="12807" max="12807" width="5.7109375" style="1029" customWidth="1"/>
    <col min="12808" max="12808" width="13.140625" style="1029" customWidth="1"/>
    <col min="12809" max="12809" width="15" style="1029" customWidth="1"/>
    <col min="12810" max="12810" width="12.42578125" style="1029" customWidth="1"/>
    <col min="12811" max="12811" width="11.7109375" style="1029" customWidth="1"/>
    <col min="12812" max="12812" width="12.42578125" style="1029" customWidth="1"/>
    <col min="12813" max="12813" width="12.5703125" style="1029" customWidth="1"/>
    <col min="12814" max="12814" width="11.140625" style="1029" customWidth="1"/>
    <col min="12815" max="12815" width="13.42578125" style="1029" customWidth="1"/>
    <col min="12816" max="12816" width="11.85546875" style="1029" customWidth="1"/>
    <col min="12817" max="12817" width="14.7109375" style="1029" customWidth="1"/>
    <col min="12818" max="12818" width="13.7109375" style="1029" customWidth="1"/>
    <col min="12819" max="12819" width="12.28515625" style="1029" customWidth="1"/>
    <col min="12820" max="12820" width="13" style="1029" customWidth="1"/>
    <col min="12821" max="12821" width="12.28515625" style="1029" customWidth="1"/>
    <col min="12822" max="12822" width="12.7109375" style="1029" customWidth="1"/>
    <col min="12823" max="12823" width="12.28515625" style="1029" customWidth="1"/>
    <col min="12824" max="12824" width="12.7109375" style="1029" customWidth="1"/>
    <col min="12825" max="13056" width="9.140625" style="1029"/>
    <col min="13057" max="13058" width="5.28515625" style="1029" customWidth="1"/>
    <col min="13059" max="13059" width="36.28515625" style="1029" customWidth="1"/>
    <col min="13060" max="13060" width="6.140625" style="1029" customWidth="1"/>
    <col min="13061" max="13061" width="7" style="1029" bestFit="1" customWidth="1"/>
    <col min="13062" max="13062" width="5.28515625" style="1029" customWidth="1"/>
    <col min="13063" max="13063" width="5.7109375" style="1029" customWidth="1"/>
    <col min="13064" max="13064" width="13.140625" style="1029" customWidth="1"/>
    <col min="13065" max="13065" width="15" style="1029" customWidth="1"/>
    <col min="13066" max="13066" width="12.42578125" style="1029" customWidth="1"/>
    <col min="13067" max="13067" width="11.7109375" style="1029" customWidth="1"/>
    <col min="13068" max="13068" width="12.42578125" style="1029" customWidth="1"/>
    <col min="13069" max="13069" width="12.5703125" style="1029" customWidth="1"/>
    <col min="13070" max="13070" width="11.140625" style="1029" customWidth="1"/>
    <col min="13071" max="13071" width="13.42578125" style="1029" customWidth="1"/>
    <col min="13072" max="13072" width="11.85546875" style="1029" customWidth="1"/>
    <col min="13073" max="13073" width="14.7109375" style="1029" customWidth="1"/>
    <col min="13074" max="13074" width="13.7109375" style="1029" customWidth="1"/>
    <col min="13075" max="13075" width="12.28515625" style="1029" customWidth="1"/>
    <col min="13076" max="13076" width="13" style="1029" customWidth="1"/>
    <col min="13077" max="13077" width="12.28515625" style="1029" customWidth="1"/>
    <col min="13078" max="13078" width="12.7109375" style="1029" customWidth="1"/>
    <col min="13079" max="13079" width="12.28515625" style="1029" customWidth="1"/>
    <col min="13080" max="13080" width="12.7109375" style="1029" customWidth="1"/>
    <col min="13081" max="13312" width="9.140625" style="1029"/>
    <col min="13313" max="13314" width="5.28515625" style="1029" customWidth="1"/>
    <col min="13315" max="13315" width="36.28515625" style="1029" customWidth="1"/>
    <col min="13316" max="13316" width="6.140625" style="1029" customWidth="1"/>
    <col min="13317" max="13317" width="7" style="1029" bestFit="1" customWidth="1"/>
    <col min="13318" max="13318" width="5.28515625" style="1029" customWidth="1"/>
    <col min="13319" max="13319" width="5.7109375" style="1029" customWidth="1"/>
    <col min="13320" max="13320" width="13.140625" style="1029" customWidth="1"/>
    <col min="13321" max="13321" width="15" style="1029" customWidth="1"/>
    <col min="13322" max="13322" width="12.42578125" style="1029" customWidth="1"/>
    <col min="13323" max="13323" width="11.7109375" style="1029" customWidth="1"/>
    <col min="13324" max="13324" width="12.42578125" style="1029" customWidth="1"/>
    <col min="13325" max="13325" width="12.5703125" style="1029" customWidth="1"/>
    <col min="13326" max="13326" width="11.140625" style="1029" customWidth="1"/>
    <col min="13327" max="13327" width="13.42578125" style="1029" customWidth="1"/>
    <col min="13328" max="13328" width="11.85546875" style="1029" customWidth="1"/>
    <col min="13329" max="13329" width="14.7109375" style="1029" customWidth="1"/>
    <col min="13330" max="13330" width="13.7109375" style="1029" customWidth="1"/>
    <col min="13331" max="13331" width="12.28515625" style="1029" customWidth="1"/>
    <col min="13332" max="13332" width="13" style="1029" customWidth="1"/>
    <col min="13333" max="13333" width="12.28515625" style="1029" customWidth="1"/>
    <col min="13334" max="13334" width="12.7109375" style="1029" customWidth="1"/>
    <col min="13335" max="13335" width="12.28515625" style="1029" customWidth="1"/>
    <col min="13336" max="13336" width="12.7109375" style="1029" customWidth="1"/>
    <col min="13337" max="13568" width="9.140625" style="1029"/>
    <col min="13569" max="13570" width="5.28515625" style="1029" customWidth="1"/>
    <col min="13571" max="13571" width="36.28515625" style="1029" customWidth="1"/>
    <col min="13572" max="13572" width="6.140625" style="1029" customWidth="1"/>
    <col min="13573" max="13573" width="7" style="1029" bestFit="1" customWidth="1"/>
    <col min="13574" max="13574" width="5.28515625" style="1029" customWidth="1"/>
    <col min="13575" max="13575" width="5.7109375" style="1029" customWidth="1"/>
    <col min="13576" max="13576" width="13.140625" style="1029" customWidth="1"/>
    <col min="13577" max="13577" width="15" style="1029" customWidth="1"/>
    <col min="13578" max="13578" width="12.42578125" style="1029" customWidth="1"/>
    <col min="13579" max="13579" width="11.7109375" style="1029" customWidth="1"/>
    <col min="13580" max="13580" width="12.42578125" style="1029" customWidth="1"/>
    <col min="13581" max="13581" width="12.5703125" style="1029" customWidth="1"/>
    <col min="13582" max="13582" width="11.140625" style="1029" customWidth="1"/>
    <col min="13583" max="13583" width="13.42578125" style="1029" customWidth="1"/>
    <col min="13584" max="13584" width="11.85546875" style="1029" customWidth="1"/>
    <col min="13585" max="13585" width="14.7109375" style="1029" customWidth="1"/>
    <col min="13586" max="13586" width="13.7109375" style="1029" customWidth="1"/>
    <col min="13587" max="13587" width="12.28515625" style="1029" customWidth="1"/>
    <col min="13588" max="13588" width="13" style="1029" customWidth="1"/>
    <col min="13589" max="13589" width="12.28515625" style="1029" customWidth="1"/>
    <col min="13590" max="13590" width="12.7109375" style="1029" customWidth="1"/>
    <col min="13591" max="13591" width="12.28515625" style="1029" customWidth="1"/>
    <col min="13592" max="13592" width="12.7109375" style="1029" customWidth="1"/>
    <col min="13593" max="13824" width="9.140625" style="1029"/>
    <col min="13825" max="13826" width="5.28515625" style="1029" customWidth="1"/>
    <col min="13827" max="13827" width="36.28515625" style="1029" customWidth="1"/>
    <col min="13828" max="13828" width="6.140625" style="1029" customWidth="1"/>
    <col min="13829" max="13829" width="7" style="1029" bestFit="1" customWidth="1"/>
    <col min="13830" max="13830" width="5.28515625" style="1029" customWidth="1"/>
    <col min="13831" max="13831" width="5.7109375" style="1029" customWidth="1"/>
    <col min="13832" max="13832" width="13.140625" style="1029" customWidth="1"/>
    <col min="13833" max="13833" width="15" style="1029" customWidth="1"/>
    <col min="13834" max="13834" width="12.42578125" style="1029" customWidth="1"/>
    <col min="13835" max="13835" width="11.7109375" style="1029" customWidth="1"/>
    <col min="13836" max="13836" width="12.42578125" style="1029" customWidth="1"/>
    <col min="13837" max="13837" width="12.5703125" style="1029" customWidth="1"/>
    <col min="13838" max="13838" width="11.140625" style="1029" customWidth="1"/>
    <col min="13839" max="13839" width="13.42578125" style="1029" customWidth="1"/>
    <col min="13840" max="13840" width="11.85546875" style="1029" customWidth="1"/>
    <col min="13841" max="13841" width="14.7109375" style="1029" customWidth="1"/>
    <col min="13842" max="13842" width="13.7109375" style="1029" customWidth="1"/>
    <col min="13843" max="13843" width="12.28515625" style="1029" customWidth="1"/>
    <col min="13844" max="13844" width="13" style="1029" customWidth="1"/>
    <col min="13845" max="13845" width="12.28515625" style="1029" customWidth="1"/>
    <col min="13846" max="13846" width="12.7109375" style="1029" customWidth="1"/>
    <col min="13847" max="13847" width="12.28515625" style="1029" customWidth="1"/>
    <col min="13848" max="13848" width="12.7109375" style="1029" customWidth="1"/>
    <col min="13849" max="14080" width="9.140625" style="1029"/>
    <col min="14081" max="14082" width="5.28515625" style="1029" customWidth="1"/>
    <col min="14083" max="14083" width="36.28515625" style="1029" customWidth="1"/>
    <col min="14084" max="14084" width="6.140625" style="1029" customWidth="1"/>
    <col min="14085" max="14085" width="7" style="1029" bestFit="1" customWidth="1"/>
    <col min="14086" max="14086" width="5.28515625" style="1029" customWidth="1"/>
    <col min="14087" max="14087" width="5.7109375" style="1029" customWidth="1"/>
    <col min="14088" max="14088" width="13.140625" style="1029" customWidth="1"/>
    <col min="14089" max="14089" width="15" style="1029" customWidth="1"/>
    <col min="14090" max="14090" width="12.42578125" style="1029" customWidth="1"/>
    <col min="14091" max="14091" width="11.7109375" style="1029" customWidth="1"/>
    <col min="14092" max="14092" width="12.42578125" style="1029" customWidth="1"/>
    <col min="14093" max="14093" width="12.5703125" style="1029" customWidth="1"/>
    <col min="14094" max="14094" width="11.140625" style="1029" customWidth="1"/>
    <col min="14095" max="14095" width="13.42578125" style="1029" customWidth="1"/>
    <col min="14096" max="14096" width="11.85546875" style="1029" customWidth="1"/>
    <col min="14097" max="14097" width="14.7109375" style="1029" customWidth="1"/>
    <col min="14098" max="14098" width="13.7109375" style="1029" customWidth="1"/>
    <col min="14099" max="14099" width="12.28515625" style="1029" customWidth="1"/>
    <col min="14100" max="14100" width="13" style="1029" customWidth="1"/>
    <col min="14101" max="14101" width="12.28515625" style="1029" customWidth="1"/>
    <col min="14102" max="14102" width="12.7109375" style="1029" customWidth="1"/>
    <col min="14103" max="14103" width="12.28515625" style="1029" customWidth="1"/>
    <col min="14104" max="14104" width="12.7109375" style="1029" customWidth="1"/>
    <col min="14105" max="14336" width="9.140625" style="1029"/>
    <col min="14337" max="14338" width="5.28515625" style="1029" customWidth="1"/>
    <col min="14339" max="14339" width="36.28515625" style="1029" customWidth="1"/>
    <col min="14340" max="14340" width="6.140625" style="1029" customWidth="1"/>
    <col min="14341" max="14341" width="7" style="1029" bestFit="1" customWidth="1"/>
    <col min="14342" max="14342" width="5.28515625" style="1029" customWidth="1"/>
    <col min="14343" max="14343" width="5.7109375" style="1029" customWidth="1"/>
    <col min="14344" max="14344" width="13.140625" style="1029" customWidth="1"/>
    <col min="14345" max="14345" width="15" style="1029" customWidth="1"/>
    <col min="14346" max="14346" width="12.42578125" style="1029" customWidth="1"/>
    <col min="14347" max="14347" width="11.7109375" style="1029" customWidth="1"/>
    <col min="14348" max="14348" width="12.42578125" style="1029" customWidth="1"/>
    <col min="14349" max="14349" width="12.5703125" style="1029" customWidth="1"/>
    <col min="14350" max="14350" width="11.140625" style="1029" customWidth="1"/>
    <col min="14351" max="14351" width="13.42578125" style="1029" customWidth="1"/>
    <col min="14352" max="14352" width="11.85546875" style="1029" customWidth="1"/>
    <col min="14353" max="14353" width="14.7109375" style="1029" customWidth="1"/>
    <col min="14354" max="14354" width="13.7109375" style="1029" customWidth="1"/>
    <col min="14355" max="14355" width="12.28515625" style="1029" customWidth="1"/>
    <col min="14356" max="14356" width="13" style="1029" customWidth="1"/>
    <col min="14357" max="14357" width="12.28515625" style="1029" customWidth="1"/>
    <col min="14358" max="14358" width="12.7109375" style="1029" customWidth="1"/>
    <col min="14359" max="14359" width="12.28515625" style="1029" customWidth="1"/>
    <col min="14360" max="14360" width="12.7109375" style="1029" customWidth="1"/>
    <col min="14361" max="14592" width="9.140625" style="1029"/>
    <col min="14593" max="14594" width="5.28515625" style="1029" customWidth="1"/>
    <col min="14595" max="14595" width="36.28515625" style="1029" customWidth="1"/>
    <col min="14596" max="14596" width="6.140625" style="1029" customWidth="1"/>
    <col min="14597" max="14597" width="7" style="1029" bestFit="1" customWidth="1"/>
    <col min="14598" max="14598" width="5.28515625" style="1029" customWidth="1"/>
    <col min="14599" max="14599" width="5.7109375" style="1029" customWidth="1"/>
    <col min="14600" max="14600" width="13.140625" style="1029" customWidth="1"/>
    <col min="14601" max="14601" width="15" style="1029" customWidth="1"/>
    <col min="14602" max="14602" width="12.42578125" style="1029" customWidth="1"/>
    <col min="14603" max="14603" width="11.7109375" style="1029" customWidth="1"/>
    <col min="14604" max="14604" width="12.42578125" style="1029" customWidth="1"/>
    <col min="14605" max="14605" width="12.5703125" style="1029" customWidth="1"/>
    <col min="14606" max="14606" width="11.140625" style="1029" customWidth="1"/>
    <col min="14607" max="14607" width="13.42578125" style="1029" customWidth="1"/>
    <col min="14608" max="14608" width="11.85546875" style="1029" customWidth="1"/>
    <col min="14609" max="14609" width="14.7109375" style="1029" customWidth="1"/>
    <col min="14610" max="14610" width="13.7109375" style="1029" customWidth="1"/>
    <col min="14611" max="14611" width="12.28515625" style="1029" customWidth="1"/>
    <col min="14612" max="14612" width="13" style="1029" customWidth="1"/>
    <col min="14613" max="14613" width="12.28515625" style="1029" customWidth="1"/>
    <col min="14614" max="14614" width="12.7109375" style="1029" customWidth="1"/>
    <col min="14615" max="14615" width="12.28515625" style="1029" customWidth="1"/>
    <col min="14616" max="14616" width="12.7109375" style="1029" customWidth="1"/>
    <col min="14617" max="14848" width="9.140625" style="1029"/>
    <col min="14849" max="14850" width="5.28515625" style="1029" customWidth="1"/>
    <col min="14851" max="14851" width="36.28515625" style="1029" customWidth="1"/>
    <col min="14852" max="14852" width="6.140625" style="1029" customWidth="1"/>
    <col min="14853" max="14853" width="7" style="1029" bestFit="1" customWidth="1"/>
    <col min="14854" max="14854" width="5.28515625" style="1029" customWidth="1"/>
    <col min="14855" max="14855" width="5.7109375" style="1029" customWidth="1"/>
    <col min="14856" max="14856" width="13.140625" style="1029" customWidth="1"/>
    <col min="14857" max="14857" width="15" style="1029" customWidth="1"/>
    <col min="14858" max="14858" width="12.42578125" style="1029" customWidth="1"/>
    <col min="14859" max="14859" width="11.7109375" style="1029" customWidth="1"/>
    <col min="14860" max="14860" width="12.42578125" style="1029" customWidth="1"/>
    <col min="14861" max="14861" width="12.5703125" style="1029" customWidth="1"/>
    <col min="14862" max="14862" width="11.140625" style="1029" customWidth="1"/>
    <col min="14863" max="14863" width="13.42578125" style="1029" customWidth="1"/>
    <col min="14864" max="14864" width="11.85546875" style="1029" customWidth="1"/>
    <col min="14865" max="14865" width="14.7109375" style="1029" customWidth="1"/>
    <col min="14866" max="14866" width="13.7109375" style="1029" customWidth="1"/>
    <col min="14867" max="14867" width="12.28515625" style="1029" customWidth="1"/>
    <col min="14868" max="14868" width="13" style="1029" customWidth="1"/>
    <col min="14869" max="14869" width="12.28515625" style="1029" customWidth="1"/>
    <col min="14870" max="14870" width="12.7109375" style="1029" customWidth="1"/>
    <col min="14871" max="14871" width="12.28515625" style="1029" customWidth="1"/>
    <col min="14872" max="14872" width="12.7109375" style="1029" customWidth="1"/>
    <col min="14873" max="15104" width="9.140625" style="1029"/>
    <col min="15105" max="15106" width="5.28515625" style="1029" customWidth="1"/>
    <col min="15107" max="15107" width="36.28515625" style="1029" customWidth="1"/>
    <col min="15108" max="15108" width="6.140625" style="1029" customWidth="1"/>
    <col min="15109" max="15109" width="7" style="1029" bestFit="1" customWidth="1"/>
    <col min="15110" max="15110" width="5.28515625" style="1029" customWidth="1"/>
    <col min="15111" max="15111" width="5.7109375" style="1029" customWidth="1"/>
    <col min="15112" max="15112" width="13.140625" style="1029" customWidth="1"/>
    <col min="15113" max="15113" width="15" style="1029" customWidth="1"/>
    <col min="15114" max="15114" width="12.42578125" style="1029" customWidth="1"/>
    <col min="15115" max="15115" width="11.7109375" style="1029" customWidth="1"/>
    <col min="15116" max="15116" width="12.42578125" style="1029" customWidth="1"/>
    <col min="15117" max="15117" width="12.5703125" style="1029" customWidth="1"/>
    <col min="15118" max="15118" width="11.140625" style="1029" customWidth="1"/>
    <col min="15119" max="15119" width="13.42578125" style="1029" customWidth="1"/>
    <col min="15120" max="15120" width="11.85546875" style="1029" customWidth="1"/>
    <col min="15121" max="15121" width="14.7109375" style="1029" customWidth="1"/>
    <col min="15122" max="15122" width="13.7109375" style="1029" customWidth="1"/>
    <col min="15123" max="15123" width="12.28515625" style="1029" customWidth="1"/>
    <col min="15124" max="15124" width="13" style="1029" customWidth="1"/>
    <col min="15125" max="15125" width="12.28515625" style="1029" customWidth="1"/>
    <col min="15126" max="15126" width="12.7109375" style="1029" customWidth="1"/>
    <col min="15127" max="15127" width="12.28515625" style="1029" customWidth="1"/>
    <col min="15128" max="15128" width="12.7109375" style="1029" customWidth="1"/>
    <col min="15129" max="15360" width="9.140625" style="1029"/>
    <col min="15361" max="15362" width="5.28515625" style="1029" customWidth="1"/>
    <col min="15363" max="15363" width="36.28515625" style="1029" customWidth="1"/>
    <col min="15364" max="15364" width="6.140625" style="1029" customWidth="1"/>
    <col min="15365" max="15365" width="7" style="1029" bestFit="1" customWidth="1"/>
    <col min="15366" max="15366" width="5.28515625" style="1029" customWidth="1"/>
    <col min="15367" max="15367" width="5.7109375" style="1029" customWidth="1"/>
    <col min="15368" max="15368" width="13.140625" style="1029" customWidth="1"/>
    <col min="15369" max="15369" width="15" style="1029" customWidth="1"/>
    <col min="15370" max="15370" width="12.42578125" style="1029" customWidth="1"/>
    <col min="15371" max="15371" width="11.7109375" style="1029" customWidth="1"/>
    <col min="15372" max="15372" width="12.42578125" style="1029" customWidth="1"/>
    <col min="15373" max="15373" width="12.5703125" style="1029" customWidth="1"/>
    <col min="15374" max="15374" width="11.140625" style="1029" customWidth="1"/>
    <col min="15375" max="15375" width="13.42578125" style="1029" customWidth="1"/>
    <col min="15376" max="15376" width="11.85546875" style="1029" customWidth="1"/>
    <col min="15377" max="15377" width="14.7109375" style="1029" customWidth="1"/>
    <col min="15378" max="15378" width="13.7109375" style="1029" customWidth="1"/>
    <col min="15379" max="15379" width="12.28515625" style="1029" customWidth="1"/>
    <col min="15380" max="15380" width="13" style="1029" customWidth="1"/>
    <col min="15381" max="15381" width="12.28515625" style="1029" customWidth="1"/>
    <col min="15382" max="15382" width="12.7109375" style="1029" customWidth="1"/>
    <col min="15383" max="15383" width="12.28515625" style="1029" customWidth="1"/>
    <col min="15384" max="15384" width="12.7109375" style="1029" customWidth="1"/>
    <col min="15385" max="15616" width="9.140625" style="1029"/>
    <col min="15617" max="15618" width="5.28515625" style="1029" customWidth="1"/>
    <col min="15619" max="15619" width="36.28515625" style="1029" customWidth="1"/>
    <col min="15620" max="15620" width="6.140625" style="1029" customWidth="1"/>
    <col min="15621" max="15621" width="7" style="1029" bestFit="1" customWidth="1"/>
    <col min="15622" max="15622" width="5.28515625" style="1029" customWidth="1"/>
    <col min="15623" max="15623" width="5.7109375" style="1029" customWidth="1"/>
    <col min="15624" max="15624" width="13.140625" style="1029" customWidth="1"/>
    <col min="15625" max="15625" width="15" style="1029" customWidth="1"/>
    <col min="15626" max="15626" width="12.42578125" style="1029" customWidth="1"/>
    <col min="15627" max="15627" width="11.7109375" style="1029" customWidth="1"/>
    <col min="15628" max="15628" width="12.42578125" style="1029" customWidth="1"/>
    <col min="15629" max="15629" width="12.5703125" style="1029" customWidth="1"/>
    <col min="15630" max="15630" width="11.140625" style="1029" customWidth="1"/>
    <col min="15631" max="15631" width="13.42578125" style="1029" customWidth="1"/>
    <col min="15632" max="15632" width="11.85546875" style="1029" customWidth="1"/>
    <col min="15633" max="15633" width="14.7109375" style="1029" customWidth="1"/>
    <col min="15634" max="15634" width="13.7109375" style="1029" customWidth="1"/>
    <col min="15635" max="15635" width="12.28515625" style="1029" customWidth="1"/>
    <col min="15636" max="15636" width="13" style="1029" customWidth="1"/>
    <col min="15637" max="15637" width="12.28515625" style="1029" customWidth="1"/>
    <col min="15638" max="15638" width="12.7109375" style="1029" customWidth="1"/>
    <col min="15639" max="15639" width="12.28515625" style="1029" customWidth="1"/>
    <col min="15640" max="15640" width="12.7109375" style="1029" customWidth="1"/>
    <col min="15641" max="15872" width="9.140625" style="1029"/>
    <col min="15873" max="15874" width="5.28515625" style="1029" customWidth="1"/>
    <col min="15875" max="15875" width="36.28515625" style="1029" customWidth="1"/>
    <col min="15876" max="15876" width="6.140625" style="1029" customWidth="1"/>
    <col min="15877" max="15877" width="7" style="1029" bestFit="1" customWidth="1"/>
    <col min="15878" max="15878" width="5.28515625" style="1029" customWidth="1"/>
    <col min="15879" max="15879" width="5.7109375" style="1029" customWidth="1"/>
    <col min="15880" max="15880" width="13.140625" style="1029" customWidth="1"/>
    <col min="15881" max="15881" width="15" style="1029" customWidth="1"/>
    <col min="15882" max="15882" width="12.42578125" style="1029" customWidth="1"/>
    <col min="15883" max="15883" width="11.7109375" style="1029" customWidth="1"/>
    <col min="15884" max="15884" width="12.42578125" style="1029" customWidth="1"/>
    <col min="15885" max="15885" width="12.5703125" style="1029" customWidth="1"/>
    <col min="15886" max="15886" width="11.140625" style="1029" customWidth="1"/>
    <col min="15887" max="15887" width="13.42578125" style="1029" customWidth="1"/>
    <col min="15888" max="15888" width="11.85546875" style="1029" customWidth="1"/>
    <col min="15889" max="15889" width="14.7109375" style="1029" customWidth="1"/>
    <col min="15890" max="15890" width="13.7109375" style="1029" customWidth="1"/>
    <col min="15891" max="15891" width="12.28515625" style="1029" customWidth="1"/>
    <col min="15892" max="15892" width="13" style="1029" customWidth="1"/>
    <col min="15893" max="15893" width="12.28515625" style="1029" customWidth="1"/>
    <col min="15894" max="15894" width="12.7109375" style="1029" customWidth="1"/>
    <col min="15895" max="15895" width="12.28515625" style="1029" customWidth="1"/>
    <col min="15896" max="15896" width="12.7109375" style="1029" customWidth="1"/>
    <col min="15897" max="16128" width="9.140625" style="1029"/>
    <col min="16129" max="16130" width="5.28515625" style="1029" customWidth="1"/>
    <col min="16131" max="16131" width="36.28515625" style="1029" customWidth="1"/>
    <col min="16132" max="16132" width="6.140625" style="1029" customWidth="1"/>
    <col min="16133" max="16133" width="7" style="1029" bestFit="1" customWidth="1"/>
    <col min="16134" max="16134" width="5.28515625" style="1029" customWidth="1"/>
    <col min="16135" max="16135" width="5.7109375" style="1029" customWidth="1"/>
    <col min="16136" max="16136" width="13.140625" style="1029" customWidth="1"/>
    <col min="16137" max="16137" width="15" style="1029" customWidth="1"/>
    <col min="16138" max="16138" width="12.42578125" style="1029" customWidth="1"/>
    <col min="16139" max="16139" width="11.7109375" style="1029" customWidth="1"/>
    <col min="16140" max="16140" width="12.42578125" style="1029" customWidth="1"/>
    <col min="16141" max="16141" width="12.5703125" style="1029" customWidth="1"/>
    <col min="16142" max="16142" width="11.140625" style="1029" customWidth="1"/>
    <col min="16143" max="16143" width="13.42578125" style="1029" customWidth="1"/>
    <col min="16144" max="16144" width="11.85546875" style="1029" customWidth="1"/>
    <col min="16145" max="16145" width="14.7109375" style="1029" customWidth="1"/>
    <col min="16146" max="16146" width="13.7109375" style="1029" customWidth="1"/>
    <col min="16147" max="16147" width="12.28515625" style="1029" customWidth="1"/>
    <col min="16148" max="16148" width="13" style="1029" customWidth="1"/>
    <col min="16149" max="16149" width="12.28515625" style="1029" customWidth="1"/>
    <col min="16150" max="16150" width="12.7109375" style="1029" customWidth="1"/>
    <col min="16151" max="16151" width="12.28515625" style="1029" customWidth="1"/>
    <col min="16152" max="16152" width="12.7109375" style="1029" customWidth="1"/>
    <col min="16153" max="16384" width="9.140625" style="1029"/>
  </cols>
  <sheetData>
    <row r="1" spans="1:24" ht="26.2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4" ht="15" customHeight="1" x14ac:dyDescent="0.25">
      <c r="A2" s="970"/>
      <c r="B2" s="970"/>
      <c r="C2" s="970"/>
      <c r="D2" s="970"/>
      <c r="E2" s="970"/>
      <c r="F2" s="970"/>
      <c r="G2" s="970"/>
      <c r="H2" s="970"/>
      <c r="I2" s="970"/>
      <c r="J2" s="970"/>
      <c r="K2" s="970"/>
      <c r="L2" s="970"/>
      <c r="M2" s="970"/>
      <c r="N2" s="970"/>
      <c r="O2" s="970"/>
      <c r="P2" s="970"/>
      <c r="Q2" s="970"/>
      <c r="R2" s="970"/>
      <c r="S2" s="970"/>
      <c r="T2" s="970"/>
      <c r="U2" s="970"/>
      <c r="V2" s="970"/>
      <c r="W2" s="970"/>
      <c r="X2" s="970"/>
    </row>
    <row r="3" spans="1:24" ht="26.25" customHeight="1" x14ac:dyDescent="0.25">
      <c r="A3" s="2055" t="s">
        <v>1708</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24" x14ac:dyDescent="0.25">
      <c r="A4" s="968"/>
      <c r="B4" s="968"/>
      <c r="C4" s="998"/>
      <c r="D4" s="968"/>
      <c r="E4" s="968"/>
      <c r="F4" s="968"/>
      <c r="G4" s="968"/>
      <c r="H4" s="968"/>
      <c r="I4" s="968"/>
      <c r="J4" s="968"/>
      <c r="K4" s="968"/>
      <c r="L4" s="968"/>
      <c r="M4" s="968"/>
      <c r="N4" s="968"/>
      <c r="O4" s="968"/>
      <c r="P4" s="968"/>
      <c r="Q4" s="972"/>
      <c r="R4" s="968"/>
      <c r="S4" s="968"/>
      <c r="T4" s="968"/>
      <c r="U4" s="968"/>
      <c r="V4" s="968"/>
      <c r="W4" s="968"/>
      <c r="X4" s="968"/>
    </row>
    <row r="5" spans="1:24" x14ac:dyDescent="0.25">
      <c r="A5" s="2098" t="s">
        <v>37</v>
      </c>
      <c r="B5" s="1773" t="s">
        <v>1640</v>
      </c>
      <c r="C5" s="2097" t="s">
        <v>2</v>
      </c>
      <c r="D5" s="2099" t="s">
        <v>1641</v>
      </c>
      <c r="E5" s="2099" t="s">
        <v>116</v>
      </c>
      <c r="F5" s="2099" t="s">
        <v>1642</v>
      </c>
      <c r="G5" s="2099" t="s">
        <v>1643</v>
      </c>
      <c r="H5" s="2101" t="s">
        <v>1644</v>
      </c>
      <c r="I5" s="2101"/>
      <c r="J5" s="2101"/>
      <c r="K5" s="2101"/>
      <c r="L5" s="2101"/>
      <c r="M5" s="2101"/>
      <c r="N5" s="2101"/>
      <c r="O5" s="2102"/>
      <c r="P5" s="1031"/>
      <c r="Q5" s="2103" t="s">
        <v>1645</v>
      </c>
      <c r="R5" s="2101"/>
      <c r="S5" s="2101"/>
      <c r="T5" s="2101"/>
      <c r="U5" s="2101"/>
      <c r="V5" s="2101"/>
      <c r="W5" s="2101"/>
      <c r="X5" s="2104"/>
    </row>
    <row r="6" spans="1:24" ht="85.15" customHeight="1" x14ac:dyDescent="0.25">
      <c r="A6" s="2093"/>
      <c r="B6" s="1774"/>
      <c r="C6" s="2092"/>
      <c r="D6" s="2100"/>
      <c r="E6" s="2100"/>
      <c r="F6" s="2100"/>
      <c r="G6" s="2100"/>
      <c r="H6" s="1093" t="s">
        <v>1709</v>
      </c>
      <c r="I6" s="1093" t="s">
        <v>1710</v>
      </c>
      <c r="J6" s="1093" t="s">
        <v>1711</v>
      </c>
      <c r="K6" s="1093" t="s">
        <v>1670</v>
      </c>
      <c r="L6" s="1093" t="s">
        <v>1706</v>
      </c>
      <c r="M6" s="1093" t="s">
        <v>1672</v>
      </c>
      <c r="N6" s="1093" t="s">
        <v>1673</v>
      </c>
      <c r="O6" s="1093" t="s">
        <v>1653</v>
      </c>
      <c r="P6" s="1095" t="s">
        <v>1654</v>
      </c>
      <c r="Q6" s="1033" t="s">
        <v>1655</v>
      </c>
      <c r="R6" s="1032" t="s">
        <v>1656</v>
      </c>
      <c r="S6" s="1032" t="s">
        <v>1712</v>
      </c>
      <c r="T6" s="1032" t="s">
        <v>1713</v>
      </c>
      <c r="U6" s="1032" t="s">
        <v>1659</v>
      </c>
      <c r="V6" s="1032" t="s">
        <v>1660</v>
      </c>
      <c r="W6" s="1032" t="s">
        <v>1661</v>
      </c>
      <c r="X6" s="1034" t="s">
        <v>1714</v>
      </c>
    </row>
    <row r="7" spans="1:24" ht="17.25" customHeight="1" x14ac:dyDescent="0.25">
      <c r="A7" s="2098" t="s">
        <v>194</v>
      </c>
      <c r="B7" s="2097" t="s">
        <v>199</v>
      </c>
      <c r="C7" s="2096" t="s">
        <v>1814</v>
      </c>
      <c r="D7" s="974" t="s">
        <v>1815</v>
      </c>
      <c r="E7" s="1169" t="s">
        <v>561</v>
      </c>
      <c r="F7" s="1169" t="s">
        <v>151</v>
      </c>
      <c r="G7" s="1035" t="s">
        <v>1752</v>
      </c>
      <c r="H7" s="1036"/>
      <c r="I7" s="1036"/>
      <c r="J7" s="1036"/>
      <c r="K7" s="1036"/>
      <c r="L7" s="1036"/>
      <c r="M7" s="1036"/>
      <c r="N7" s="1036"/>
      <c r="O7" s="1036"/>
      <c r="P7" s="1037"/>
      <c r="Q7" s="1326"/>
      <c r="R7" s="1036"/>
      <c r="S7" s="1036"/>
      <c r="T7" s="1036">
        <f>-858382-46080</f>
        <v>-904462</v>
      </c>
      <c r="U7" s="1036"/>
      <c r="V7" s="1036"/>
      <c r="W7" s="1036"/>
      <c r="X7" s="1037"/>
    </row>
    <row r="8" spans="1:24" ht="17.25" customHeight="1" x14ac:dyDescent="0.25">
      <c r="A8" s="2095"/>
      <c r="B8" s="2094"/>
      <c r="C8" s="2084"/>
      <c r="D8" s="978" t="s">
        <v>1815</v>
      </c>
      <c r="E8" s="1038" t="s">
        <v>571</v>
      </c>
      <c r="F8" s="1039" t="s">
        <v>90</v>
      </c>
      <c r="G8" s="1042" t="s">
        <v>1754</v>
      </c>
      <c r="H8" s="1040"/>
      <c r="I8" s="1040"/>
      <c r="J8" s="1040">
        <f>170680+46080</f>
        <v>216760</v>
      </c>
      <c r="K8" s="1040"/>
      <c r="L8" s="1040"/>
      <c r="M8" s="1040"/>
      <c r="N8" s="1040"/>
      <c r="O8" s="1040"/>
      <c r="P8" s="1041"/>
      <c r="Q8" s="1327"/>
      <c r="R8" s="1040"/>
      <c r="S8" s="1040"/>
      <c r="T8" s="1040">
        <f>170680+46080</f>
        <v>216760</v>
      </c>
      <c r="U8" s="1040"/>
      <c r="V8" s="1040"/>
      <c r="W8" s="1040"/>
      <c r="X8" s="1041"/>
    </row>
    <row r="9" spans="1:24" ht="17.25" customHeight="1" x14ac:dyDescent="0.25">
      <c r="A9" s="2095"/>
      <c r="B9" s="2094"/>
      <c r="C9" s="2084"/>
      <c r="D9" s="978" t="s">
        <v>1815</v>
      </c>
      <c r="E9" s="1264" t="s">
        <v>561</v>
      </c>
      <c r="F9" s="1264" t="s">
        <v>131</v>
      </c>
      <c r="G9" s="1039" t="s">
        <v>1754</v>
      </c>
      <c r="H9" s="1040"/>
      <c r="I9" s="1040"/>
      <c r="J9" s="1040">
        <v>415800</v>
      </c>
      <c r="K9" s="1040"/>
      <c r="L9" s="1040"/>
      <c r="M9" s="1040"/>
      <c r="N9" s="1040"/>
      <c r="O9" s="1040"/>
      <c r="P9" s="1041"/>
      <c r="Q9" s="1327"/>
      <c r="R9" s="1040"/>
      <c r="S9" s="1040"/>
      <c r="T9" s="1040">
        <v>415800</v>
      </c>
      <c r="U9" s="1040"/>
      <c r="V9" s="1040"/>
      <c r="W9" s="1040"/>
      <c r="X9" s="1041"/>
    </row>
    <row r="10" spans="1:24" ht="17.25" customHeight="1" x14ac:dyDescent="0.25">
      <c r="A10" s="2095"/>
      <c r="B10" s="2094"/>
      <c r="C10" s="2084"/>
      <c r="D10" s="978" t="s">
        <v>1815</v>
      </c>
      <c r="E10" s="1039" t="s">
        <v>561</v>
      </c>
      <c r="F10" s="1039" t="s">
        <v>150</v>
      </c>
      <c r="G10" s="1039" t="s">
        <v>1754</v>
      </c>
      <c r="H10" s="1040"/>
      <c r="I10" s="1040"/>
      <c r="J10" s="1040">
        <v>271902</v>
      </c>
      <c r="K10" s="1040"/>
      <c r="L10" s="1040"/>
      <c r="M10" s="1040"/>
      <c r="N10" s="1040"/>
      <c r="O10" s="1040"/>
      <c r="P10" s="1041"/>
      <c r="Q10" s="1327"/>
      <c r="R10" s="1040"/>
      <c r="S10" s="1040"/>
      <c r="T10" s="1040">
        <v>271902</v>
      </c>
      <c r="U10" s="1040"/>
      <c r="V10" s="1040"/>
      <c r="W10" s="1040"/>
      <c r="X10" s="1041"/>
    </row>
    <row r="11" spans="1:24" ht="17.25" customHeight="1" x14ac:dyDescent="0.25">
      <c r="A11" s="2095"/>
      <c r="B11" s="2094"/>
      <c r="C11" s="2084"/>
      <c r="D11" s="978" t="s">
        <v>1815</v>
      </c>
      <c r="E11" s="1038" t="s">
        <v>1297</v>
      </c>
      <c r="F11" s="1039" t="s">
        <v>127</v>
      </c>
      <c r="G11" s="1042" t="s">
        <v>1752</v>
      </c>
      <c r="H11" s="1040"/>
      <c r="I11" s="1040"/>
      <c r="J11" s="1040">
        <v>-904462</v>
      </c>
      <c r="K11" s="1040"/>
      <c r="L11" s="1040"/>
      <c r="M11" s="1040"/>
      <c r="N11" s="1040"/>
      <c r="O11" s="1040"/>
      <c r="P11" s="1041"/>
      <c r="Q11" s="1327"/>
      <c r="R11" s="1040"/>
      <c r="S11" s="1040"/>
      <c r="T11" s="1040"/>
      <c r="U11" s="1040"/>
      <c r="V11" s="1040"/>
      <c r="W11" s="1040"/>
      <c r="X11" s="1041"/>
    </row>
    <row r="12" spans="1:24" ht="17.25" customHeight="1" x14ac:dyDescent="0.25">
      <c r="A12" s="2095" t="s">
        <v>195</v>
      </c>
      <c r="B12" s="2094" t="s">
        <v>200</v>
      </c>
      <c r="C12" s="2028" t="s">
        <v>1765</v>
      </c>
      <c r="D12" s="978" t="s">
        <v>1815</v>
      </c>
      <c r="E12" s="1038" t="s">
        <v>571</v>
      </c>
      <c r="F12" s="1039" t="s">
        <v>90</v>
      </c>
      <c r="G12" s="1042" t="s">
        <v>1766</v>
      </c>
      <c r="H12" s="1040">
        <f>-2020+2020</f>
        <v>0</v>
      </c>
      <c r="I12" s="1040"/>
      <c r="J12" s="1040"/>
      <c r="K12" s="1040"/>
      <c r="L12" s="1040"/>
      <c r="M12" s="1040"/>
      <c r="N12" s="1040"/>
      <c r="O12" s="1040"/>
      <c r="P12" s="1041"/>
      <c r="Q12" s="1327"/>
      <c r="R12" s="1040"/>
      <c r="S12" s="1040"/>
      <c r="T12" s="1040"/>
      <c r="U12" s="1040"/>
      <c r="V12" s="1040"/>
      <c r="W12" s="1040"/>
      <c r="X12" s="1041"/>
    </row>
    <row r="13" spans="1:24" ht="17.25" customHeight="1" x14ac:dyDescent="0.25">
      <c r="A13" s="2095"/>
      <c r="B13" s="2094"/>
      <c r="C13" s="2028"/>
      <c r="D13" s="978" t="s">
        <v>1815</v>
      </c>
      <c r="E13" s="1038" t="s">
        <v>561</v>
      </c>
      <c r="F13" s="1039" t="s">
        <v>150</v>
      </c>
      <c r="G13" s="1042" t="s">
        <v>1766</v>
      </c>
      <c r="H13" s="1040">
        <f>-52860+52860</f>
        <v>0</v>
      </c>
      <c r="I13" s="1040"/>
      <c r="J13" s="1040"/>
      <c r="K13" s="1040"/>
      <c r="L13" s="1040"/>
      <c r="M13" s="1040"/>
      <c r="N13" s="1040"/>
      <c r="O13" s="1040"/>
      <c r="P13" s="1041"/>
      <c r="Q13" s="1327"/>
      <c r="R13" s="1040"/>
      <c r="S13" s="1040"/>
      <c r="T13" s="1040"/>
      <c r="U13" s="1040"/>
      <c r="V13" s="1040"/>
      <c r="W13" s="1040"/>
      <c r="X13" s="1041"/>
    </row>
    <row r="14" spans="1:24" ht="16.5" customHeight="1" x14ac:dyDescent="0.25">
      <c r="A14" s="2095" t="s">
        <v>196</v>
      </c>
      <c r="B14" s="2094" t="s">
        <v>201</v>
      </c>
      <c r="C14" s="2028" t="s">
        <v>1767</v>
      </c>
      <c r="D14" s="978" t="s">
        <v>1815</v>
      </c>
      <c r="E14" s="1038" t="s">
        <v>571</v>
      </c>
      <c r="F14" s="1039" t="s">
        <v>90</v>
      </c>
      <c r="G14" s="1042" t="s">
        <v>1766</v>
      </c>
      <c r="H14" s="1040">
        <f>-3030+3030</f>
        <v>0</v>
      </c>
      <c r="I14" s="1040"/>
      <c r="J14" s="1040"/>
      <c r="K14" s="1040"/>
      <c r="L14" s="1040"/>
      <c r="M14" s="1040"/>
      <c r="N14" s="1040"/>
      <c r="O14" s="1040"/>
      <c r="P14" s="1041"/>
      <c r="Q14" s="1327"/>
      <c r="R14" s="1040"/>
      <c r="S14" s="1040"/>
      <c r="T14" s="1040"/>
      <c r="U14" s="1040"/>
      <c r="V14" s="1040"/>
      <c r="W14" s="1040"/>
      <c r="X14" s="1041"/>
    </row>
    <row r="15" spans="1:24" ht="16.5" customHeight="1" x14ac:dyDescent="0.25">
      <c r="A15" s="2095"/>
      <c r="B15" s="2094"/>
      <c r="C15" s="2028"/>
      <c r="D15" s="978" t="s">
        <v>1815</v>
      </c>
      <c r="E15" s="1038" t="s">
        <v>561</v>
      </c>
      <c r="F15" s="1039" t="s">
        <v>150</v>
      </c>
      <c r="G15" s="1042" t="s">
        <v>1766</v>
      </c>
      <c r="H15" s="1040">
        <f>-102760+102760</f>
        <v>0</v>
      </c>
      <c r="I15" s="1040"/>
      <c r="J15" s="1040"/>
      <c r="K15" s="1040"/>
      <c r="L15" s="1040"/>
      <c r="M15" s="1040"/>
      <c r="N15" s="1040"/>
      <c r="O15" s="1040"/>
      <c r="P15" s="1041"/>
      <c r="Q15" s="1327"/>
      <c r="R15" s="1040"/>
      <c r="S15" s="1040"/>
      <c r="T15" s="1040"/>
      <c r="U15" s="1040"/>
      <c r="V15" s="1040"/>
      <c r="W15" s="1040"/>
      <c r="X15" s="1041"/>
    </row>
    <row r="16" spans="1:24" ht="26.25" customHeight="1" x14ac:dyDescent="0.25">
      <c r="A16" s="1437" t="s">
        <v>197</v>
      </c>
      <c r="B16" s="1436" t="s">
        <v>202</v>
      </c>
      <c r="C16" s="977" t="s">
        <v>1816</v>
      </c>
      <c r="D16" s="978" t="s">
        <v>1815</v>
      </c>
      <c r="E16" s="1038" t="s">
        <v>571</v>
      </c>
      <c r="F16" s="1039" t="s">
        <v>90</v>
      </c>
      <c r="G16" s="1042" t="s">
        <v>1766</v>
      </c>
      <c r="H16" s="1040"/>
      <c r="I16" s="1040"/>
      <c r="J16" s="1040">
        <f>-120000+120000</f>
        <v>0</v>
      </c>
      <c r="K16" s="1040"/>
      <c r="L16" s="1040"/>
      <c r="M16" s="1040"/>
      <c r="N16" s="1040"/>
      <c r="O16" s="1040"/>
      <c r="P16" s="1041"/>
      <c r="Q16" s="1327"/>
      <c r="R16" s="1040"/>
      <c r="S16" s="1040"/>
      <c r="T16" s="1040"/>
      <c r="U16" s="1040"/>
      <c r="V16" s="1040"/>
      <c r="W16" s="1040"/>
      <c r="X16" s="1041"/>
    </row>
    <row r="17" spans="1:37" ht="21" customHeight="1" x14ac:dyDescent="0.25">
      <c r="A17" s="2095" t="s">
        <v>198</v>
      </c>
      <c r="B17" s="2106" t="s">
        <v>1849</v>
      </c>
      <c r="C17" s="2028" t="s">
        <v>2154</v>
      </c>
      <c r="D17" s="978" t="s">
        <v>1815</v>
      </c>
      <c r="E17" s="1038" t="s">
        <v>561</v>
      </c>
      <c r="F17" s="1039" t="s">
        <v>131</v>
      </c>
      <c r="G17" s="1042" t="s">
        <v>1766</v>
      </c>
      <c r="H17" s="1040"/>
      <c r="I17" s="1040"/>
      <c r="J17" s="1040">
        <f>-130000+100000+30000</f>
        <v>0</v>
      </c>
      <c r="K17" s="1040"/>
      <c r="L17" s="1040"/>
      <c r="M17" s="1040"/>
      <c r="N17" s="1040"/>
      <c r="O17" s="1040"/>
      <c r="P17" s="1041"/>
      <c r="Q17" s="1327"/>
      <c r="R17" s="1040"/>
      <c r="S17" s="1040"/>
      <c r="T17" s="1040"/>
      <c r="U17" s="1040"/>
      <c r="V17" s="1040"/>
      <c r="W17" s="1040"/>
      <c r="X17" s="1041"/>
    </row>
    <row r="18" spans="1:37" ht="21" customHeight="1" x14ac:dyDescent="0.25">
      <c r="A18" s="2095"/>
      <c r="B18" s="2106"/>
      <c r="C18" s="2028"/>
      <c r="D18" s="978" t="s">
        <v>1815</v>
      </c>
      <c r="E18" s="1264" t="s">
        <v>561</v>
      </c>
      <c r="F18" s="1264" t="s">
        <v>150</v>
      </c>
      <c r="G18" s="1042" t="s">
        <v>1766</v>
      </c>
      <c r="H18" s="1040"/>
      <c r="I18" s="1040"/>
      <c r="J18" s="1040">
        <f>-130000+30000+100000</f>
        <v>0</v>
      </c>
      <c r="K18" s="1040"/>
      <c r="L18" s="1040"/>
      <c r="M18" s="1040"/>
      <c r="N18" s="1040"/>
      <c r="O18" s="1040"/>
      <c r="P18" s="1041"/>
      <c r="Q18" s="1327"/>
      <c r="R18" s="1040"/>
      <c r="S18" s="1040"/>
      <c r="T18" s="1040"/>
      <c r="U18" s="1040"/>
      <c r="V18" s="1040"/>
      <c r="W18" s="1040"/>
      <c r="X18" s="1041"/>
    </row>
    <row r="19" spans="1:37" ht="18" customHeight="1" x14ac:dyDescent="0.25">
      <c r="A19" s="2095" t="s">
        <v>199</v>
      </c>
      <c r="B19" s="2094" t="s">
        <v>231</v>
      </c>
      <c r="C19" s="2028" t="s">
        <v>1850</v>
      </c>
      <c r="D19" s="978" t="s">
        <v>1815</v>
      </c>
      <c r="E19" s="1264" t="s">
        <v>571</v>
      </c>
      <c r="F19" s="1264" t="s">
        <v>90</v>
      </c>
      <c r="G19" s="1042" t="s">
        <v>1766</v>
      </c>
      <c r="H19" s="1040">
        <f>-2886+2886</f>
        <v>0</v>
      </c>
      <c r="I19" s="1040"/>
      <c r="J19" s="1040"/>
      <c r="K19" s="1040"/>
      <c r="L19" s="1040"/>
      <c r="M19" s="1040"/>
      <c r="N19" s="1040"/>
      <c r="O19" s="1040"/>
      <c r="P19" s="1041"/>
      <c r="Q19" s="1327"/>
      <c r="R19" s="1040"/>
      <c r="S19" s="1040"/>
      <c r="T19" s="1040"/>
      <c r="U19" s="1040"/>
      <c r="V19" s="1040"/>
      <c r="W19" s="1040"/>
      <c r="X19" s="1041"/>
    </row>
    <row r="20" spans="1:37" ht="18" customHeight="1" x14ac:dyDescent="0.25">
      <c r="A20" s="2095"/>
      <c r="B20" s="2094"/>
      <c r="C20" s="2028"/>
      <c r="D20" s="978" t="s">
        <v>1815</v>
      </c>
      <c r="E20" s="1264" t="s">
        <v>561</v>
      </c>
      <c r="F20" s="1264" t="s">
        <v>150</v>
      </c>
      <c r="G20" s="1042" t="s">
        <v>1766</v>
      </c>
      <c r="H20" s="1040">
        <f>-9414+9414</f>
        <v>0</v>
      </c>
      <c r="I20" s="1040"/>
      <c r="J20" s="1040"/>
      <c r="K20" s="1040"/>
      <c r="L20" s="1040"/>
      <c r="M20" s="1040"/>
      <c r="N20" s="1040"/>
      <c r="O20" s="1040"/>
      <c r="P20" s="1041"/>
      <c r="Q20" s="1327"/>
      <c r="R20" s="1040"/>
      <c r="S20" s="1040"/>
      <c r="T20" s="1040"/>
      <c r="U20" s="1040"/>
      <c r="V20" s="1040"/>
      <c r="W20" s="1040"/>
      <c r="X20" s="1041"/>
    </row>
    <row r="21" spans="1:37" ht="21" customHeight="1" x14ac:dyDescent="0.25">
      <c r="A21" s="2095" t="s">
        <v>200</v>
      </c>
      <c r="B21" s="2094" t="s">
        <v>232</v>
      </c>
      <c r="C21" s="2028" t="s">
        <v>1904</v>
      </c>
      <c r="D21" s="978" t="s">
        <v>1815</v>
      </c>
      <c r="E21" s="1264" t="s">
        <v>571</v>
      </c>
      <c r="F21" s="1264" t="s">
        <v>90</v>
      </c>
      <c r="G21" s="1042" t="s">
        <v>1754</v>
      </c>
      <c r="H21" s="1040"/>
      <c r="I21" s="1040"/>
      <c r="J21" s="1040">
        <f>178451+48182</f>
        <v>226633</v>
      </c>
      <c r="K21" s="1040"/>
      <c r="L21" s="1040"/>
      <c r="M21" s="1040"/>
      <c r="N21" s="1040"/>
      <c r="O21" s="1040"/>
      <c r="P21" s="1041"/>
      <c r="Q21" s="1327"/>
      <c r="R21" s="1040"/>
      <c r="S21" s="1040"/>
      <c r="T21" s="1040">
        <v>226633</v>
      </c>
      <c r="U21" s="1040"/>
      <c r="V21" s="1040"/>
      <c r="W21" s="1040"/>
      <c r="X21" s="1041"/>
    </row>
    <row r="22" spans="1:37" ht="21" customHeight="1" x14ac:dyDescent="0.25">
      <c r="A22" s="2095"/>
      <c r="B22" s="2094"/>
      <c r="C22" s="2028"/>
      <c r="D22" s="978" t="s">
        <v>1815</v>
      </c>
      <c r="E22" s="1264" t="s">
        <v>561</v>
      </c>
      <c r="F22" s="1264" t="s">
        <v>131</v>
      </c>
      <c r="G22" s="1042" t="s">
        <v>1754</v>
      </c>
      <c r="H22" s="1040"/>
      <c r="I22" s="1040"/>
      <c r="J22" s="1040">
        <f>716628+193490</f>
        <v>910118</v>
      </c>
      <c r="K22" s="1040"/>
      <c r="L22" s="1040"/>
      <c r="M22" s="1040"/>
      <c r="N22" s="1040"/>
      <c r="O22" s="1040"/>
      <c r="P22" s="1041"/>
      <c r="Q22" s="1327"/>
      <c r="R22" s="1040"/>
      <c r="S22" s="1040"/>
      <c r="T22" s="1040">
        <v>910118</v>
      </c>
      <c r="U22" s="1040"/>
      <c r="V22" s="1040"/>
      <c r="W22" s="1040"/>
      <c r="X22" s="1041"/>
    </row>
    <row r="23" spans="1:37" ht="17.25" customHeight="1" x14ac:dyDescent="0.25">
      <c r="A23" s="2095" t="s">
        <v>201</v>
      </c>
      <c r="B23" s="2094" t="s">
        <v>233</v>
      </c>
      <c r="C23" s="2028" t="s">
        <v>1928</v>
      </c>
      <c r="D23" s="978" t="s">
        <v>1815</v>
      </c>
      <c r="E23" s="1264" t="s">
        <v>571</v>
      </c>
      <c r="F23" s="1264" t="s">
        <v>90</v>
      </c>
      <c r="G23" s="1042" t="s">
        <v>1766</v>
      </c>
      <c r="H23" s="1040">
        <f>-2886+2886</f>
        <v>0</v>
      </c>
      <c r="I23" s="1040"/>
      <c r="J23" s="1040"/>
      <c r="K23" s="1040"/>
      <c r="L23" s="1040"/>
      <c r="M23" s="1040"/>
      <c r="N23" s="1040"/>
      <c r="O23" s="1040"/>
      <c r="P23" s="1041"/>
      <c r="Q23" s="1327"/>
      <c r="R23" s="1040"/>
      <c r="S23" s="1040"/>
      <c r="T23" s="1040"/>
      <c r="U23" s="1040"/>
      <c r="V23" s="1040"/>
      <c r="W23" s="1040"/>
      <c r="X23" s="1041"/>
    </row>
    <row r="24" spans="1:37" ht="17.25" customHeight="1" x14ac:dyDescent="0.25">
      <c r="A24" s="2095"/>
      <c r="B24" s="2094"/>
      <c r="C24" s="2028"/>
      <c r="D24" s="978" t="s">
        <v>1815</v>
      </c>
      <c r="E24" s="1264" t="s">
        <v>561</v>
      </c>
      <c r="F24" s="1264" t="s">
        <v>131</v>
      </c>
      <c r="G24" s="1042" t="s">
        <v>1766</v>
      </c>
      <c r="H24" s="1040">
        <f>-433287+233287+200000</f>
        <v>0</v>
      </c>
      <c r="I24" s="1040"/>
      <c r="J24" s="1040"/>
      <c r="K24" s="1040"/>
      <c r="L24" s="1040"/>
      <c r="M24" s="1040"/>
      <c r="N24" s="1040"/>
      <c r="O24" s="1040"/>
      <c r="P24" s="1041"/>
      <c r="Q24" s="1327"/>
      <c r="R24" s="1040"/>
      <c r="S24" s="1040"/>
      <c r="T24" s="1040"/>
      <c r="U24" s="1040"/>
      <c r="V24" s="1040"/>
      <c r="W24" s="1040"/>
      <c r="X24" s="1041"/>
    </row>
    <row r="25" spans="1:37" ht="17.25" customHeight="1" x14ac:dyDescent="0.25">
      <c r="A25" s="2095"/>
      <c r="B25" s="2094"/>
      <c r="C25" s="2028"/>
      <c r="D25" s="978" t="s">
        <v>1815</v>
      </c>
      <c r="E25" s="1264" t="s">
        <v>561</v>
      </c>
      <c r="F25" s="1264" t="s">
        <v>150</v>
      </c>
      <c r="G25" s="1042" t="s">
        <v>1766</v>
      </c>
      <c r="H25" s="1040">
        <f>-21966+21966</f>
        <v>0</v>
      </c>
      <c r="I25" s="1040"/>
      <c r="J25" s="1040"/>
      <c r="K25" s="1040"/>
      <c r="L25" s="1040"/>
      <c r="M25" s="1040"/>
      <c r="N25" s="1040"/>
      <c r="O25" s="1040"/>
      <c r="P25" s="1041"/>
      <c r="Q25" s="1327"/>
      <c r="R25" s="1040"/>
      <c r="S25" s="1040"/>
      <c r="T25" s="1040"/>
      <c r="U25" s="1040"/>
      <c r="V25" s="1040"/>
      <c r="W25" s="1040"/>
      <c r="X25" s="1041"/>
    </row>
    <row r="26" spans="1:37" ht="29.25" customHeight="1" x14ac:dyDescent="0.25">
      <c r="A26" s="1437" t="s">
        <v>202</v>
      </c>
      <c r="B26" s="1436" t="s">
        <v>234</v>
      </c>
      <c r="C26" s="1425" t="s">
        <v>2103</v>
      </c>
      <c r="D26" s="978" t="s">
        <v>1815</v>
      </c>
      <c r="E26" s="1264" t="s">
        <v>571</v>
      </c>
      <c r="F26" s="1264" t="s">
        <v>90</v>
      </c>
      <c r="G26" s="1042" t="s">
        <v>1766</v>
      </c>
      <c r="H26" s="1040"/>
      <c r="I26" s="1040"/>
      <c r="J26" s="1040">
        <f>-1500000+1500000</f>
        <v>0</v>
      </c>
      <c r="K26" s="1040"/>
      <c r="L26" s="1040"/>
      <c r="M26" s="1040"/>
      <c r="N26" s="1040"/>
      <c r="O26" s="1040"/>
      <c r="P26" s="1041"/>
      <c r="Q26" s="1327"/>
      <c r="R26" s="1040"/>
      <c r="S26" s="1040"/>
      <c r="T26" s="1040"/>
      <c r="U26" s="1040"/>
      <c r="V26" s="1040"/>
      <c r="W26" s="1040"/>
      <c r="X26" s="1041"/>
    </row>
    <row r="27" spans="1:37" ht="18.75" customHeight="1" x14ac:dyDescent="0.25">
      <c r="A27" s="1324"/>
      <c r="B27" s="1325"/>
      <c r="C27" s="1043"/>
      <c r="D27" s="983"/>
      <c r="E27" s="1044"/>
      <c r="F27" s="1044"/>
      <c r="G27" s="1045"/>
      <c r="H27" s="1046"/>
      <c r="I27" s="1046"/>
      <c r="J27" s="1046"/>
      <c r="K27" s="1046"/>
      <c r="L27" s="1046"/>
      <c r="M27" s="1046"/>
      <c r="N27" s="1046"/>
      <c r="O27" s="1046"/>
      <c r="P27" s="1047"/>
      <c r="Q27" s="1328"/>
      <c r="R27" s="1046"/>
      <c r="S27" s="1046"/>
      <c r="T27" s="1046"/>
      <c r="U27" s="1046"/>
      <c r="V27" s="1046"/>
      <c r="W27" s="1046"/>
      <c r="X27" s="1047"/>
    </row>
    <row r="28" spans="1:37" ht="18.75" x14ac:dyDescent="0.3">
      <c r="A28" s="2021" t="s">
        <v>1663</v>
      </c>
      <c r="B28" s="2022"/>
      <c r="C28" s="2022"/>
      <c r="D28" s="956"/>
      <c r="E28" s="956"/>
      <c r="F28" s="956"/>
      <c r="G28" s="956"/>
      <c r="H28" s="1595">
        <f t="shared" ref="H28:X28" si="0">SUM(H7:H27)</f>
        <v>0</v>
      </c>
      <c r="I28" s="1595">
        <f t="shared" si="0"/>
        <v>0</v>
      </c>
      <c r="J28" s="1595">
        <f t="shared" si="0"/>
        <v>1136751</v>
      </c>
      <c r="K28" s="1595">
        <f t="shared" si="0"/>
        <v>0</v>
      </c>
      <c r="L28" s="1595">
        <f t="shared" si="0"/>
        <v>0</v>
      </c>
      <c r="M28" s="1595">
        <f t="shared" si="0"/>
        <v>0</v>
      </c>
      <c r="N28" s="1595">
        <f t="shared" si="0"/>
        <v>0</v>
      </c>
      <c r="O28" s="1595">
        <f t="shared" si="0"/>
        <v>0</v>
      </c>
      <c r="P28" s="1596">
        <f t="shared" si="0"/>
        <v>0</v>
      </c>
      <c r="Q28" s="1599">
        <f t="shared" si="0"/>
        <v>0</v>
      </c>
      <c r="R28" s="1600">
        <f t="shared" si="0"/>
        <v>0</v>
      </c>
      <c r="S28" s="1600">
        <f t="shared" si="0"/>
        <v>0</v>
      </c>
      <c r="T28" s="1600">
        <f t="shared" si="0"/>
        <v>1136751</v>
      </c>
      <c r="U28" s="1600">
        <f t="shared" si="0"/>
        <v>0</v>
      </c>
      <c r="V28" s="1600">
        <f t="shared" si="0"/>
        <v>0</v>
      </c>
      <c r="W28" s="1600">
        <f t="shared" si="0"/>
        <v>0</v>
      </c>
      <c r="X28" s="1601">
        <f t="shared" si="0"/>
        <v>0</v>
      </c>
      <c r="Y28" s="1048"/>
      <c r="Z28" s="1048"/>
      <c r="AA28" s="1048"/>
      <c r="AB28" s="1048"/>
      <c r="AC28" s="1048"/>
      <c r="AD28" s="1048"/>
      <c r="AE28" s="1048"/>
      <c r="AF28" s="1048"/>
      <c r="AG28" s="1048"/>
      <c r="AH28" s="1048"/>
      <c r="AI28" s="1048"/>
      <c r="AJ28" s="1048"/>
      <c r="AK28" s="1048"/>
    </row>
    <row r="29" spans="1:37" ht="17.25" customHeight="1" x14ac:dyDescent="0.25">
      <c r="A29" s="1049"/>
      <c r="B29" s="1050"/>
      <c r="C29" s="1050"/>
      <c r="D29" s="1051"/>
      <c r="E29" s="1051"/>
      <c r="F29" s="1051"/>
      <c r="G29" s="1051"/>
      <c r="H29" s="1052"/>
      <c r="I29" s="1052"/>
      <c r="J29" s="1052"/>
      <c r="K29" s="1052"/>
      <c r="L29" s="1052"/>
      <c r="M29" s="1052"/>
      <c r="N29" s="1052"/>
      <c r="O29" s="1052"/>
      <c r="P29" s="1052"/>
      <c r="Q29" s="1052"/>
      <c r="R29" s="1052"/>
      <c r="S29" s="1052"/>
      <c r="T29" s="1052"/>
      <c r="U29" s="1052"/>
      <c r="V29" s="1052"/>
      <c r="W29" s="1052"/>
      <c r="X29" s="1052"/>
      <c r="Y29" s="1048"/>
      <c r="Z29" s="1048"/>
      <c r="AA29" s="1048"/>
      <c r="AB29" s="1048"/>
      <c r="AC29" s="1048"/>
      <c r="AD29" s="1048"/>
      <c r="AE29" s="1048"/>
      <c r="AF29" s="1048"/>
      <c r="AG29" s="1048"/>
      <c r="AH29" s="1048"/>
      <c r="AI29" s="1048"/>
      <c r="AJ29" s="1048"/>
      <c r="AK29" s="1048"/>
    </row>
    <row r="30" spans="1:37" ht="16.5" customHeight="1" x14ac:dyDescent="0.25">
      <c r="A30" s="1050"/>
      <c r="B30" s="1050"/>
      <c r="C30" s="1050"/>
      <c r="D30" s="1051"/>
      <c r="E30" s="1051"/>
      <c r="F30" s="1051"/>
      <c r="G30" s="1051"/>
      <c r="H30" s="1052"/>
      <c r="I30" s="1052"/>
      <c r="J30" s="1052"/>
      <c r="K30" s="1052"/>
      <c r="L30" s="1052"/>
      <c r="M30" s="1052"/>
      <c r="N30" s="1052"/>
      <c r="O30" s="1052"/>
      <c r="P30" s="1052"/>
      <c r="Q30" s="1052"/>
      <c r="R30" s="1052"/>
      <c r="S30" s="1052"/>
      <c r="T30" s="1052"/>
      <c r="U30" s="1052"/>
      <c r="V30" s="1052"/>
      <c r="W30" s="1052"/>
      <c r="X30" s="1052"/>
      <c r="Y30" s="1048"/>
      <c r="Z30" s="1048"/>
      <c r="AA30" s="1048"/>
      <c r="AB30" s="1048"/>
      <c r="AC30" s="1048"/>
      <c r="AD30" s="1048"/>
      <c r="AE30" s="1048"/>
      <c r="AF30" s="1048"/>
      <c r="AG30" s="1048"/>
      <c r="AH30" s="1048"/>
      <c r="AI30" s="1048"/>
      <c r="AJ30" s="1048"/>
      <c r="AK30" s="1048"/>
    </row>
    <row r="31" spans="1:37" ht="15" customHeight="1" x14ac:dyDescent="0.25">
      <c r="A31" s="1050"/>
      <c r="B31" s="1050"/>
      <c r="C31" s="1050"/>
      <c r="D31" s="1051"/>
      <c r="E31" s="1051"/>
      <c r="F31" s="1051"/>
      <c r="G31" s="1051"/>
      <c r="H31" s="1052"/>
      <c r="I31" s="1052"/>
      <c r="J31" s="1052"/>
      <c r="K31" s="1052"/>
      <c r="L31" s="1052"/>
      <c r="M31" s="1052"/>
      <c r="N31" s="1052"/>
      <c r="O31" s="1052"/>
      <c r="P31" s="1052"/>
      <c r="Q31" s="1052"/>
      <c r="R31" s="1052"/>
      <c r="S31" s="1052"/>
      <c r="T31" s="1052"/>
      <c r="U31" s="1052"/>
      <c r="V31" s="1052"/>
      <c r="W31" s="1052"/>
      <c r="X31" s="1052"/>
      <c r="Y31" s="1048"/>
      <c r="Z31" s="1048"/>
      <c r="AA31" s="1048"/>
      <c r="AB31" s="1048"/>
      <c r="AC31" s="1048"/>
      <c r="AD31" s="1048"/>
      <c r="AE31" s="1048"/>
      <c r="AF31" s="1048"/>
      <c r="AG31" s="1048"/>
      <c r="AH31" s="1048"/>
      <c r="AI31" s="1048"/>
      <c r="AJ31" s="1048"/>
      <c r="AK31" s="1048"/>
    </row>
    <row r="32" spans="1:37" ht="20.25" customHeight="1" x14ac:dyDescent="0.25">
      <c r="A32" s="968"/>
      <c r="B32" s="968"/>
      <c r="C32" s="998"/>
      <c r="D32" s="968"/>
      <c r="E32" s="968"/>
      <c r="F32" s="968"/>
      <c r="G32" s="968"/>
      <c r="H32" s="995"/>
      <c r="I32" s="2042" t="s">
        <v>1664</v>
      </c>
      <c r="J32" s="2042"/>
      <c r="K32" s="2042"/>
      <c r="L32" s="2042">
        <v>427246149</v>
      </c>
      <c r="M32" s="2042"/>
      <c r="N32" s="996"/>
      <c r="O32" s="996"/>
      <c r="P32" s="996"/>
      <c r="Q32" s="996"/>
      <c r="R32" s="2042" t="s">
        <v>1665</v>
      </c>
      <c r="S32" s="2042"/>
      <c r="T32" s="2042"/>
      <c r="U32" s="2042">
        <v>427246149</v>
      </c>
      <c r="V32" s="2042"/>
      <c r="W32" s="995"/>
      <c r="X32" s="995"/>
      <c r="Y32" s="1048"/>
      <c r="Z32" s="1048"/>
      <c r="AA32" s="1048"/>
      <c r="AB32" s="1048"/>
      <c r="AC32" s="1048"/>
      <c r="AD32" s="1048"/>
      <c r="AE32" s="1048"/>
      <c r="AF32" s="1048"/>
      <c r="AG32" s="1048"/>
      <c r="AH32" s="1048"/>
      <c r="AI32" s="1048"/>
      <c r="AJ32" s="1048"/>
      <c r="AK32" s="1048"/>
    </row>
    <row r="33" spans="1:37" ht="20.25" customHeight="1" x14ac:dyDescent="0.25">
      <c r="A33" s="968"/>
      <c r="B33" s="968"/>
      <c r="C33" s="998"/>
      <c r="D33" s="968"/>
      <c r="E33" s="968"/>
      <c r="F33" s="968"/>
      <c r="G33" s="968"/>
      <c r="H33" s="995"/>
      <c r="I33" s="2042" t="s">
        <v>1666</v>
      </c>
      <c r="J33" s="2042"/>
      <c r="K33" s="2042"/>
      <c r="L33" s="2042">
        <f>SUM(H28:P28)</f>
        <v>1136751</v>
      </c>
      <c r="M33" s="2042"/>
      <c r="N33" s="996"/>
      <c r="O33" s="996"/>
      <c r="P33" s="996"/>
      <c r="Q33" s="996"/>
      <c r="R33" s="2042" t="s">
        <v>1666</v>
      </c>
      <c r="S33" s="2042"/>
      <c r="T33" s="2042"/>
      <c r="U33" s="2042">
        <f>SUM(Q28:X28)</f>
        <v>1136751</v>
      </c>
      <c r="V33" s="2042"/>
      <c r="W33" s="995"/>
      <c r="X33" s="995"/>
      <c r="Y33" s="1048"/>
      <c r="Z33" s="1048"/>
      <c r="AA33" s="1048"/>
      <c r="AB33" s="1048"/>
      <c r="AC33" s="1048"/>
      <c r="AD33" s="1048"/>
      <c r="AE33" s="1048"/>
      <c r="AF33" s="1048"/>
      <c r="AG33" s="1048"/>
      <c r="AH33" s="1048"/>
      <c r="AI33" s="1048"/>
      <c r="AJ33" s="1048"/>
      <c r="AK33" s="1048"/>
    </row>
    <row r="34" spans="1:37" ht="20.25" customHeight="1" x14ac:dyDescent="0.25">
      <c r="A34" s="968"/>
      <c r="B34" s="968"/>
      <c r="C34" s="998"/>
      <c r="D34" s="968"/>
      <c r="E34" s="968"/>
      <c r="F34" s="968"/>
      <c r="G34" s="968"/>
      <c r="H34" s="995"/>
      <c r="I34" s="2042" t="s">
        <v>1512</v>
      </c>
      <c r="J34" s="2042"/>
      <c r="K34" s="2042"/>
      <c r="L34" s="2042">
        <f>+L32+L33</f>
        <v>428382900</v>
      </c>
      <c r="M34" s="2042"/>
      <c r="N34" s="996"/>
      <c r="O34" s="996"/>
      <c r="P34" s="996"/>
      <c r="Q34" s="996"/>
      <c r="R34" s="2042" t="s">
        <v>1512</v>
      </c>
      <c r="S34" s="2042"/>
      <c r="T34" s="2042"/>
      <c r="U34" s="2042">
        <f>+U32+U33</f>
        <v>428382900</v>
      </c>
      <c r="V34" s="2042"/>
      <c r="W34" s="995"/>
      <c r="X34" s="995"/>
      <c r="Y34" s="1048"/>
      <c r="Z34" s="1048"/>
      <c r="AA34" s="1048"/>
      <c r="AB34" s="1048"/>
      <c r="AC34" s="1048"/>
      <c r="AD34" s="1048"/>
      <c r="AE34" s="1048"/>
      <c r="AF34" s="1048"/>
      <c r="AG34" s="1048"/>
      <c r="AH34" s="1048"/>
      <c r="AI34" s="1048"/>
      <c r="AJ34" s="1048"/>
      <c r="AK34" s="1048"/>
    </row>
    <row r="35" spans="1:37" x14ac:dyDescent="0.25">
      <c r="A35" s="968"/>
      <c r="B35" s="968"/>
      <c r="C35" s="998"/>
      <c r="D35" s="968"/>
      <c r="E35" s="968"/>
      <c r="F35" s="968"/>
      <c r="G35" s="968"/>
      <c r="H35" s="995"/>
      <c r="I35" s="1053"/>
      <c r="J35" s="1053"/>
      <c r="K35" s="1053"/>
      <c r="L35" s="1053"/>
      <c r="M35" s="1053"/>
      <c r="N35" s="995"/>
      <c r="O35" s="995"/>
      <c r="P35" s="995"/>
      <c r="Q35" s="995"/>
      <c r="R35" s="1053"/>
      <c r="S35" s="1053"/>
      <c r="T35" s="1053"/>
      <c r="U35" s="1053"/>
      <c r="V35" s="1053"/>
      <c r="W35" s="995"/>
      <c r="X35" s="995"/>
      <c r="Y35" s="1048"/>
      <c r="Z35" s="1048"/>
      <c r="AA35" s="1048"/>
      <c r="AB35" s="1048"/>
      <c r="AC35" s="1048"/>
      <c r="AD35" s="1048"/>
      <c r="AE35" s="1048"/>
      <c r="AF35" s="1048"/>
      <c r="AG35" s="1048"/>
      <c r="AH35" s="1048"/>
      <c r="AI35" s="1048"/>
      <c r="AJ35" s="1048"/>
      <c r="AK35" s="1048"/>
    </row>
    <row r="36" spans="1:37" ht="18" customHeight="1" x14ac:dyDescent="0.25">
      <c r="A36" s="968"/>
      <c r="B36" s="968"/>
      <c r="C36" s="998"/>
      <c r="D36" s="968"/>
      <c r="E36" s="968"/>
      <c r="F36" s="968"/>
      <c r="G36" s="968"/>
      <c r="H36" s="995"/>
      <c r="I36" s="995"/>
      <c r="J36" s="995"/>
      <c r="K36" s="995"/>
      <c r="L36" s="995"/>
      <c r="M36" s="995"/>
      <c r="N36" s="995"/>
      <c r="O36" s="995"/>
      <c r="P36" s="995"/>
      <c r="Q36" s="995"/>
      <c r="R36" s="995"/>
      <c r="S36" s="995"/>
      <c r="T36" s="995"/>
      <c r="U36" s="995"/>
      <c r="V36" s="995"/>
      <c r="W36" s="995"/>
      <c r="X36" s="995"/>
      <c r="Y36" s="1048"/>
      <c r="Z36" s="1048"/>
      <c r="AA36" s="1048"/>
      <c r="AB36" s="1048"/>
      <c r="AC36" s="1048"/>
      <c r="AD36" s="1048"/>
      <c r="AE36" s="1048"/>
      <c r="AF36" s="1048"/>
      <c r="AG36" s="1048"/>
      <c r="AH36" s="1048"/>
      <c r="AI36" s="1048"/>
      <c r="AJ36" s="1048"/>
      <c r="AK36" s="1048"/>
    </row>
    <row r="37" spans="1:37" x14ac:dyDescent="0.25">
      <c r="A37" s="968"/>
      <c r="B37" s="968"/>
      <c r="C37" s="998"/>
      <c r="D37" s="968"/>
      <c r="E37" s="968"/>
      <c r="F37" s="968"/>
      <c r="G37" s="968"/>
      <c r="H37" s="968"/>
      <c r="I37" s="968"/>
      <c r="J37" s="968"/>
      <c r="K37" s="968"/>
      <c r="L37" s="968"/>
      <c r="M37" s="968"/>
      <c r="N37" s="968"/>
      <c r="O37" s="968"/>
      <c r="P37" s="968"/>
      <c r="Q37" s="968"/>
      <c r="R37" s="968"/>
      <c r="S37" s="968"/>
      <c r="T37" s="968"/>
      <c r="U37" s="968"/>
      <c r="V37" s="968"/>
      <c r="W37" s="968"/>
      <c r="X37" s="968"/>
    </row>
    <row r="38" spans="1:37" ht="15.75" x14ac:dyDescent="0.25">
      <c r="A38" s="2010" t="s">
        <v>2555</v>
      </c>
      <c r="B38" s="2010"/>
      <c r="C38" s="2010"/>
      <c r="D38" s="2010"/>
      <c r="E38" s="2010"/>
      <c r="F38" s="2010"/>
      <c r="G38" s="2010"/>
      <c r="H38" s="2010"/>
      <c r="I38" s="2010"/>
      <c r="J38" s="2010"/>
      <c r="K38" s="2010"/>
      <c r="L38" s="2010"/>
      <c r="M38" s="2010"/>
      <c r="N38" s="2010"/>
      <c r="O38" s="2010"/>
      <c r="P38" s="2010"/>
      <c r="Q38" s="2010"/>
      <c r="R38" s="2010"/>
      <c r="S38" s="2010"/>
      <c r="T38" s="2010"/>
      <c r="U38" s="2010"/>
      <c r="V38" s="2010"/>
      <c r="W38" s="2010"/>
      <c r="X38" s="2010"/>
    </row>
    <row r="39" spans="1:37" ht="15.75" x14ac:dyDescent="0.25">
      <c r="A39" s="1246"/>
      <c r="B39" s="1246"/>
      <c r="C39" s="1246"/>
      <c r="D39" s="1246"/>
      <c r="E39" s="1246"/>
      <c r="F39" s="1246"/>
      <c r="G39" s="1246"/>
      <c r="H39" s="1246"/>
      <c r="I39" s="1246"/>
      <c r="J39" s="1246"/>
      <c r="K39" s="1246"/>
      <c r="L39" s="1246"/>
      <c r="M39" s="1246"/>
      <c r="N39" s="1246"/>
      <c r="O39" s="1246"/>
      <c r="P39" s="1246"/>
      <c r="Q39" s="1246"/>
      <c r="R39" s="1246"/>
      <c r="S39" s="1246"/>
      <c r="T39" s="1246"/>
      <c r="U39" s="1246"/>
      <c r="V39" s="1246"/>
      <c r="W39" s="1246"/>
      <c r="X39" s="1246"/>
    </row>
    <row r="40" spans="1:37" x14ac:dyDescent="0.25">
      <c r="A40" s="970"/>
      <c r="B40" s="970"/>
      <c r="C40" s="970"/>
      <c r="D40" s="970"/>
      <c r="E40" s="970"/>
      <c r="F40" s="970"/>
      <c r="G40" s="970"/>
      <c r="H40" s="970"/>
      <c r="I40" s="970"/>
      <c r="J40" s="970"/>
      <c r="K40" s="970"/>
      <c r="L40" s="970"/>
      <c r="M40" s="970"/>
      <c r="N40" s="970"/>
      <c r="O40" s="970"/>
      <c r="P40" s="970"/>
      <c r="Q40" s="970"/>
      <c r="R40" s="970"/>
      <c r="S40" s="970"/>
      <c r="T40" s="970"/>
      <c r="U40" s="970"/>
      <c r="V40" s="970"/>
      <c r="W40" s="970"/>
      <c r="X40" s="970"/>
    </row>
    <row r="41" spans="1:37" ht="22.5" customHeight="1" x14ac:dyDescent="0.25">
      <c r="A41" s="2055" t="s">
        <v>1708</v>
      </c>
      <c r="B41" s="2055"/>
      <c r="C41" s="2055"/>
      <c r="D41" s="2055"/>
      <c r="E41" s="2055"/>
      <c r="F41" s="2055"/>
      <c r="G41" s="2055"/>
      <c r="H41" s="2055"/>
      <c r="I41" s="2055"/>
      <c r="J41" s="2055"/>
      <c r="K41" s="2055"/>
      <c r="L41" s="2055"/>
      <c r="M41" s="2055"/>
      <c r="N41" s="2055"/>
      <c r="O41" s="2055"/>
      <c r="P41" s="2055"/>
      <c r="Q41" s="2055"/>
      <c r="R41" s="2055"/>
      <c r="S41" s="2055"/>
      <c r="T41" s="2055"/>
      <c r="U41" s="2055"/>
      <c r="V41" s="2055"/>
      <c r="W41" s="2055"/>
      <c r="X41" s="2055"/>
    </row>
    <row r="42" spans="1:37" x14ac:dyDescent="0.25">
      <c r="A42" s="968"/>
      <c r="B42" s="968"/>
      <c r="C42" s="998"/>
      <c r="D42" s="968"/>
      <c r="E42" s="968"/>
      <c r="F42" s="968"/>
      <c r="G42" s="968"/>
      <c r="H42" s="968"/>
      <c r="I42" s="968"/>
      <c r="J42" s="968"/>
      <c r="K42" s="968"/>
      <c r="L42" s="968"/>
      <c r="M42" s="968"/>
      <c r="N42" s="968"/>
      <c r="O42" s="968"/>
      <c r="P42" s="968"/>
      <c r="Q42" s="968"/>
      <c r="R42" s="968"/>
      <c r="S42" s="968"/>
      <c r="T42" s="968"/>
      <c r="U42" s="968"/>
      <c r="V42" s="968"/>
      <c r="W42" s="968"/>
      <c r="X42" s="968"/>
    </row>
    <row r="43" spans="1:37" ht="15" customHeight="1" x14ac:dyDescent="0.25">
      <c r="A43" s="2098" t="s">
        <v>37</v>
      </c>
      <c r="B43" s="1773" t="s">
        <v>1640</v>
      </c>
      <c r="C43" s="2097" t="s">
        <v>2</v>
      </c>
      <c r="D43" s="2099" t="s">
        <v>1641</v>
      </c>
      <c r="E43" s="2099" t="s">
        <v>116</v>
      </c>
      <c r="F43" s="2099" t="s">
        <v>1642</v>
      </c>
      <c r="G43" s="2099" t="s">
        <v>1643</v>
      </c>
      <c r="H43" s="2101" t="s">
        <v>1644</v>
      </c>
      <c r="I43" s="2101"/>
      <c r="J43" s="2101"/>
      <c r="K43" s="2101"/>
      <c r="L43" s="2101"/>
      <c r="M43" s="2101"/>
      <c r="N43" s="2101"/>
      <c r="O43" s="2102"/>
      <c r="P43" s="1251"/>
      <c r="Q43" s="2105" t="s">
        <v>1645</v>
      </c>
      <c r="R43" s="2101"/>
      <c r="S43" s="2101"/>
      <c r="T43" s="2101"/>
      <c r="U43" s="2101"/>
      <c r="V43" s="2101"/>
      <c r="W43" s="2101"/>
      <c r="X43" s="2104"/>
    </row>
    <row r="44" spans="1:37" ht="81" customHeight="1" x14ac:dyDescent="0.25">
      <c r="A44" s="2093"/>
      <c r="B44" s="1774"/>
      <c r="C44" s="2092"/>
      <c r="D44" s="2100"/>
      <c r="E44" s="2100"/>
      <c r="F44" s="2100"/>
      <c r="G44" s="2100"/>
      <c r="H44" s="1093" t="s">
        <v>1709</v>
      </c>
      <c r="I44" s="1093" t="s">
        <v>1710</v>
      </c>
      <c r="J44" s="1093" t="s">
        <v>1711</v>
      </c>
      <c r="K44" s="1093" t="s">
        <v>1670</v>
      </c>
      <c r="L44" s="1093" t="s">
        <v>1706</v>
      </c>
      <c r="M44" s="1093" t="s">
        <v>1672</v>
      </c>
      <c r="N44" s="1093" t="s">
        <v>1673</v>
      </c>
      <c r="O44" s="1093" t="s">
        <v>1653</v>
      </c>
      <c r="P44" s="1095" t="s">
        <v>1654</v>
      </c>
      <c r="Q44" s="1250" t="s">
        <v>1655</v>
      </c>
      <c r="R44" s="1032" t="s">
        <v>1656</v>
      </c>
      <c r="S44" s="1032" t="s">
        <v>1712</v>
      </c>
      <c r="T44" s="1032" t="s">
        <v>1713</v>
      </c>
      <c r="U44" s="1032" t="s">
        <v>1659</v>
      </c>
      <c r="V44" s="1032" t="s">
        <v>1660</v>
      </c>
      <c r="W44" s="1032" t="s">
        <v>1661</v>
      </c>
      <c r="X44" s="1034" t="s">
        <v>1714</v>
      </c>
    </row>
    <row r="45" spans="1:37" ht="17.25" customHeight="1" x14ac:dyDescent="0.25">
      <c r="A45" s="2098" t="s">
        <v>203</v>
      </c>
      <c r="B45" s="2097" t="s">
        <v>235</v>
      </c>
      <c r="C45" s="2096" t="s">
        <v>2152</v>
      </c>
      <c r="D45" s="974" t="s">
        <v>1815</v>
      </c>
      <c r="E45" s="1169" t="s">
        <v>1297</v>
      </c>
      <c r="F45" s="1169" t="s">
        <v>127</v>
      </c>
      <c r="G45" s="1035" t="s">
        <v>1754</v>
      </c>
      <c r="H45" s="1036"/>
      <c r="I45" s="1036"/>
      <c r="J45" s="1036"/>
      <c r="K45" s="1036"/>
      <c r="L45" s="1036"/>
      <c r="M45" s="1036"/>
      <c r="N45" s="1036"/>
      <c r="O45" s="1036"/>
      <c r="P45" s="1037"/>
      <c r="Q45" s="1326"/>
      <c r="R45" s="1036"/>
      <c r="S45" s="1036"/>
      <c r="T45" s="1036"/>
      <c r="U45" s="1036"/>
      <c r="V45" s="1036"/>
      <c r="W45" s="1036"/>
      <c r="X45" s="1037">
        <v>200000</v>
      </c>
    </row>
    <row r="46" spans="1:37" ht="17.25" customHeight="1" x14ac:dyDescent="0.25">
      <c r="A46" s="2095"/>
      <c r="B46" s="2094"/>
      <c r="C46" s="2084"/>
      <c r="D46" s="978" t="s">
        <v>1815</v>
      </c>
      <c r="E46" s="1038" t="s">
        <v>571</v>
      </c>
      <c r="F46" s="1039" t="s">
        <v>90</v>
      </c>
      <c r="G46" s="1042" t="s">
        <v>1754</v>
      </c>
      <c r="H46" s="1040">
        <v>200000</v>
      </c>
      <c r="I46" s="1040"/>
      <c r="J46" s="1040"/>
      <c r="K46" s="1040"/>
      <c r="L46" s="1040"/>
      <c r="M46" s="1040"/>
      <c r="N46" s="1040"/>
      <c r="O46" s="1040"/>
      <c r="P46" s="1041"/>
      <c r="Q46" s="1327"/>
      <c r="R46" s="1040"/>
      <c r="S46" s="1040"/>
      <c r="T46" s="1040"/>
      <c r="U46" s="1040"/>
      <c r="V46" s="1040"/>
      <c r="W46" s="1040"/>
      <c r="X46" s="1041"/>
    </row>
    <row r="47" spans="1:37" ht="19.5" customHeight="1" x14ac:dyDescent="0.25">
      <c r="A47" s="2095" t="s">
        <v>204</v>
      </c>
      <c r="B47" s="2094" t="s">
        <v>236</v>
      </c>
      <c r="C47" s="2084" t="s">
        <v>2536</v>
      </c>
      <c r="D47" s="978" t="s">
        <v>1815</v>
      </c>
      <c r="E47" s="1038" t="s">
        <v>1297</v>
      </c>
      <c r="F47" s="1039" t="s">
        <v>127</v>
      </c>
      <c r="G47" s="1042" t="s">
        <v>1754</v>
      </c>
      <c r="H47" s="1040"/>
      <c r="I47" s="1040"/>
      <c r="J47" s="1040"/>
      <c r="K47" s="1040"/>
      <c r="L47" s="1040"/>
      <c r="M47" s="1040"/>
      <c r="N47" s="1040"/>
      <c r="O47" s="1040"/>
      <c r="P47" s="1041"/>
      <c r="Q47" s="1327"/>
      <c r="R47" s="1040"/>
      <c r="S47" s="1040"/>
      <c r="T47" s="1040"/>
      <c r="U47" s="1040"/>
      <c r="V47" s="1040"/>
      <c r="W47" s="1040"/>
      <c r="X47" s="1041">
        <v>423750</v>
      </c>
    </row>
    <row r="48" spans="1:37" ht="19.5" customHeight="1" x14ac:dyDescent="0.25">
      <c r="A48" s="2095"/>
      <c r="B48" s="2094"/>
      <c r="C48" s="2084"/>
      <c r="D48" s="978" t="s">
        <v>1815</v>
      </c>
      <c r="E48" s="1038" t="s">
        <v>561</v>
      </c>
      <c r="F48" s="1039" t="s">
        <v>150</v>
      </c>
      <c r="G48" s="1042" t="s">
        <v>1754</v>
      </c>
      <c r="H48" s="1040">
        <v>375000</v>
      </c>
      <c r="I48" s="1040">
        <v>48750</v>
      </c>
      <c r="J48" s="1040"/>
      <c r="K48" s="1040"/>
      <c r="L48" s="1040"/>
      <c r="M48" s="1040"/>
      <c r="N48" s="1040"/>
      <c r="O48" s="1040"/>
      <c r="P48" s="1041"/>
      <c r="Q48" s="1327"/>
      <c r="R48" s="1040"/>
      <c r="S48" s="1040"/>
      <c r="T48" s="1040"/>
      <c r="U48" s="1040"/>
      <c r="V48" s="1040"/>
      <c r="W48" s="1040"/>
      <c r="X48" s="1041"/>
    </row>
    <row r="49" spans="1:24" ht="17.25" customHeight="1" x14ac:dyDescent="0.25">
      <c r="A49" s="2095" t="s">
        <v>231</v>
      </c>
      <c r="B49" s="2094" t="s">
        <v>237</v>
      </c>
      <c r="C49" s="2084" t="s">
        <v>2153</v>
      </c>
      <c r="D49" s="978" t="s">
        <v>1815</v>
      </c>
      <c r="E49" s="1264" t="s">
        <v>1297</v>
      </c>
      <c r="F49" s="1264" t="s">
        <v>127</v>
      </c>
      <c r="G49" s="1039" t="s">
        <v>1754</v>
      </c>
      <c r="H49" s="1040"/>
      <c r="I49" s="1040"/>
      <c r="J49" s="1040"/>
      <c r="K49" s="1040"/>
      <c r="L49" s="1040"/>
      <c r="M49" s="1040"/>
      <c r="N49" s="1040"/>
      <c r="O49" s="1040"/>
      <c r="P49" s="1041"/>
      <c r="Q49" s="1327"/>
      <c r="R49" s="1040"/>
      <c r="S49" s="1040"/>
      <c r="T49" s="1040"/>
      <c r="U49" s="1040"/>
      <c r="V49" s="1040"/>
      <c r="W49" s="1040"/>
      <c r="X49" s="1041">
        <v>5537000</v>
      </c>
    </row>
    <row r="50" spans="1:24" ht="17.25" customHeight="1" x14ac:dyDescent="0.25">
      <c r="A50" s="2095"/>
      <c r="B50" s="2094"/>
      <c r="C50" s="2084"/>
      <c r="D50" s="978" t="s">
        <v>1815</v>
      </c>
      <c r="E50" s="1264" t="s">
        <v>571</v>
      </c>
      <c r="F50" s="1264" t="s">
        <v>90</v>
      </c>
      <c r="G50" s="1039" t="s">
        <v>1754</v>
      </c>
      <c r="H50" s="1040">
        <v>400000</v>
      </c>
      <c r="I50" s="1040">
        <v>52000</v>
      </c>
      <c r="J50" s="1040"/>
      <c r="K50" s="1040"/>
      <c r="L50" s="1040"/>
      <c r="M50" s="1040"/>
      <c r="N50" s="1040"/>
      <c r="O50" s="1040"/>
      <c r="P50" s="1041"/>
      <c r="Q50" s="1327"/>
      <c r="R50" s="1040"/>
      <c r="S50" s="1040"/>
      <c r="T50" s="1040"/>
      <c r="U50" s="1040"/>
      <c r="V50" s="1040"/>
      <c r="W50" s="1040"/>
      <c r="X50" s="1041"/>
    </row>
    <row r="51" spans="1:24" ht="17.25" customHeight="1" x14ac:dyDescent="0.25">
      <c r="A51" s="2095"/>
      <c r="B51" s="2094"/>
      <c r="C51" s="2084"/>
      <c r="D51" s="978" t="s">
        <v>1815</v>
      </c>
      <c r="E51" s="1264" t="s">
        <v>561</v>
      </c>
      <c r="F51" s="1264" t="s">
        <v>131</v>
      </c>
      <c r="G51" s="1039" t="s">
        <v>1754</v>
      </c>
      <c r="H51" s="1040">
        <v>2500000</v>
      </c>
      <c r="I51" s="1040">
        <v>325000</v>
      </c>
      <c r="J51" s="1040"/>
      <c r="K51" s="1040"/>
      <c r="L51" s="1040"/>
      <c r="M51" s="1040"/>
      <c r="N51" s="1040"/>
      <c r="O51" s="1040"/>
      <c r="P51" s="1041"/>
      <c r="Q51" s="1327"/>
      <c r="R51" s="1040"/>
      <c r="S51" s="1040"/>
      <c r="T51" s="1040"/>
      <c r="U51" s="1040"/>
      <c r="V51" s="1040"/>
      <c r="W51" s="1040"/>
      <c r="X51" s="1041"/>
    </row>
    <row r="52" spans="1:24" ht="17.25" customHeight="1" x14ac:dyDescent="0.25">
      <c r="A52" s="2095"/>
      <c r="B52" s="2094"/>
      <c r="C52" s="2084"/>
      <c r="D52" s="978" t="s">
        <v>1815</v>
      </c>
      <c r="E52" s="1264" t="s">
        <v>561</v>
      </c>
      <c r="F52" s="1264" t="s">
        <v>150</v>
      </c>
      <c r="G52" s="1039" t="s">
        <v>1754</v>
      </c>
      <c r="H52" s="1040">
        <v>2000000</v>
      </c>
      <c r="I52" s="1040">
        <v>260000</v>
      </c>
      <c r="J52" s="1040"/>
      <c r="K52" s="1040"/>
      <c r="L52" s="1040"/>
      <c r="M52" s="1040"/>
      <c r="N52" s="1040"/>
      <c r="O52" s="1040"/>
      <c r="P52" s="1041"/>
      <c r="Q52" s="1327"/>
      <c r="R52" s="1040"/>
      <c r="S52" s="1040"/>
      <c r="T52" s="1040"/>
      <c r="U52" s="1040"/>
      <c r="V52" s="1040"/>
      <c r="W52" s="1040"/>
      <c r="X52" s="1041"/>
    </row>
    <row r="53" spans="1:24" ht="19.5" customHeight="1" x14ac:dyDescent="0.25">
      <c r="A53" s="2095" t="s">
        <v>232</v>
      </c>
      <c r="B53" s="2094" t="s">
        <v>238</v>
      </c>
      <c r="C53" s="2084" t="s">
        <v>2233</v>
      </c>
      <c r="D53" s="978" t="s">
        <v>1815</v>
      </c>
      <c r="E53" s="1264" t="s">
        <v>1297</v>
      </c>
      <c r="F53" s="1264" t="s">
        <v>127</v>
      </c>
      <c r="G53" s="1039" t="s">
        <v>1754</v>
      </c>
      <c r="H53" s="1040"/>
      <c r="I53" s="1040"/>
      <c r="J53" s="1040"/>
      <c r="K53" s="1040"/>
      <c r="L53" s="1040"/>
      <c r="M53" s="1040"/>
      <c r="N53" s="1040"/>
      <c r="O53" s="1040"/>
      <c r="P53" s="1041"/>
      <c r="Q53" s="1327"/>
      <c r="R53" s="1040"/>
      <c r="S53" s="1040"/>
      <c r="T53" s="1040"/>
      <c r="U53" s="1040"/>
      <c r="V53" s="1040"/>
      <c r="W53" s="1040"/>
      <c r="X53" s="1041">
        <v>2297748</v>
      </c>
    </row>
    <row r="54" spans="1:24" ht="19.5" customHeight="1" x14ac:dyDescent="0.25">
      <c r="A54" s="2095"/>
      <c r="B54" s="2094"/>
      <c r="C54" s="2084"/>
      <c r="D54" s="978" t="s">
        <v>1815</v>
      </c>
      <c r="E54" s="1264" t="s">
        <v>561</v>
      </c>
      <c r="F54" s="1264" t="s">
        <v>150</v>
      </c>
      <c r="G54" s="1039" t="s">
        <v>1754</v>
      </c>
      <c r="H54" s="1040"/>
      <c r="I54" s="1040"/>
      <c r="J54" s="1040"/>
      <c r="K54" s="1040"/>
      <c r="L54" s="1040"/>
      <c r="M54" s="1040">
        <f>1809250+488498</f>
        <v>2297748</v>
      </c>
      <c r="N54" s="1040"/>
      <c r="O54" s="1040"/>
      <c r="P54" s="1041"/>
      <c r="Q54" s="1327"/>
      <c r="R54" s="1040"/>
      <c r="S54" s="1040"/>
      <c r="T54" s="1040"/>
      <c r="U54" s="1040"/>
      <c r="V54" s="1040"/>
      <c r="W54" s="1040"/>
      <c r="X54" s="1041"/>
    </row>
    <row r="55" spans="1:24" ht="17.25" customHeight="1" x14ac:dyDescent="0.25">
      <c r="A55" s="2095" t="s">
        <v>233</v>
      </c>
      <c r="B55" s="2094" t="s">
        <v>239</v>
      </c>
      <c r="C55" s="2084" t="s">
        <v>2226</v>
      </c>
      <c r="D55" s="978" t="s">
        <v>1815</v>
      </c>
      <c r="E55" s="1264" t="s">
        <v>571</v>
      </c>
      <c r="F55" s="1264" t="s">
        <v>90</v>
      </c>
      <c r="G55" s="1039" t="s">
        <v>1766</v>
      </c>
      <c r="H55" s="1040">
        <f>-2020+2020</f>
        <v>0</v>
      </c>
      <c r="I55" s="1040"/>
      <c r="J55" s="1040"/>
      <c r="K55" s="1040"/>
      <c r="L55" s="1040"/>
      <c r="M55" s="1040"/>
      <c r="N55" s="1040"/>
      <c r="O55" s="1040"/>
      <c r="P55" s="1041"/>
      <c r="Q55" s="1327"/>
      <c r="R55" s="1040"/>
      <c r="S55" s="1040"/>
      <c r="T55" s="1040"/>
      <c r="U55" s="1040"/>
      <c r="V55" s="1040"/>
      <c r="W55" s="1040"/>
      <c r="X55" s="1041"/>
    </row>
    <row r="56" spans="1:24" ht="17.25" customHeight="1" x14ac:dyDescent="0.25">
      <c r="A56" s="2095"/>
      <c r="B56" s="2094"/>
      <c r="C56" s="2084"/>
      <c r="D56" s="978" t="s">
        <v>1815</v>
      </c>
      <c r="E56" s="1264" t="s">
        <v>561</v>
      </c>
      <c r="F56" s="1264" t="s">
        <v>131</v>
      </c>
      <c r="G56" s="1039" t="s">
        <v>1766</v>
      </c>
      <c r="H56" s="1040">
        <f>-86685+86685</f>
        <v>0</v>
      </c>
      <c r="I56" s="1040"/>
      <c r="J56" s="1040"/>
      <c r="K56" s="1040"/>
      <c r="L56" s="1040"/>
      <c r="M56" s="1040"/>
      <c r="N56" s="1040"/>
      <c r="O56" s="1040"/>
      <c r="P56" s="1041"/>
      <c r="Q56" s="1327"/>
      <c r="R56" s="1040"/>
      <c r="S56" s="1040"/>
      <c r="T56" s="1040"/>
      <c r="U56" s="1040"/>
      <c r="V56" s="1040"/>
      <c r="W56" s="1040"/>
      <c r="X56" s="1041"/>
    </row>
    <row r="57" spans="1:24" ht="17.25" customHeight="1" x14ac:dyDescent="0.25">
      <c r="A57" s="2095"/>
      <c r="B57" s="2094"/>
      <c r="C57" s="2084"/>
      <c r="D57" s="978" t="s">
        <v>1815</v>
      </c>
      <c r="E57" s="1264" t="s">
        <v>561</v>
      </c>
      <c r="F57" s="1264" t="s">
        <v>150</v>
      </c>
      <c r="G57" s="1039" t="s">
        <v>1766</v>
      </c>
      <c r="H57" s="1040">
        <f>-53346+53346</f>
        <v>0</v>
      </c>
      <c r="I57" s="1040"/>
      <c r="J57" s="1040"/>
      <c r="K57" s="1040"/>
      <c r="L57" s="1040"/>
      <c r="M57" s="1040"/>
      <c r="N57" s="1040"/>
      <c r="O57" s="1040"/>
      <c r="P57" s="1041"/>
      <c r="Q57" s="1327"/>
      <c r="R57" s="1040"/>
      <c r="S57" s="1040"/>
      <c r="T57" s="1040"/>
      <c r="U57" s="1040"/>
      <c r="V57" s="1040"/>
      <c r="W57" s="1040"/>
      <c r="X57" s="1041"/>
    </row>
    <row r="58" spans="1:24" ht="27" customHeight="1" x14ac:dyDescent="0.25">
      <c r="A58" s="1437" t="s">
        <v>234</v>
      </c>
      <c r="B58" s="1436" t="s">
        <v>266</v>
      </c>
      <c r="C58" s="1435" t="s">
        <v>2310</v>
      </c>
      <c r="D58" s="978" t="s">
        <v>1815</v>
      </c>
      <c r="E58" s="1264" t="s">
        <v>561</v>
      </c>
      <c r="F58" s="1264" t="s">
        <v>131</v>
      </c>
      <c r="G58" s="1039" t="s">
        <v>1766</v>
      </c>
      <c r="H58" s="1040"/>
      <c r="I58" s="1040"/>
      <c r="J58" s="1040">
        <f>-100000+100000</f>
        <v>0</v>
      </c>
      <c r="K58" s="1040"/>
      <c r="L58" s="1040"/>
      <c r="M58" s="1040"/>
      <c r="N58" s="1040"/>
      <c r="O58" s="1040"/>
      <c r="P58" s="1041"/>
      <c r="Q58" s="1327"/>
      <c r="R58" s="1040"/>
      <c r="S58" s="1040"/>
      <c r="T58" s="1040"/>
      <c r="U58" s="1040"/>
      <c r="V58" s="1040"/>
      <c r="W58" s="1040"/>
      <c r="X58" s="1041"/>
    </row>
    <row r="59" spans="1:24" ht="29.25" customHeight="1" x14ac:dyDescent="0.25">
      <c r="A59" s="1437" t="s">
        <v>235</v>
      </c>
      <c r="B59" s="1436" t="s">
        <v>267</v>
      </c>
      <c r="C59" s="1435" t="s">
        <v>2330</v>
      </c>
      <c r="D59" s="978" t="s">
        <v>1815</v>
      </c>
      <c r="E59" s="1264" t="s">
        <v>1297</v>
      </c>
      <c r="F59" s="1264" t="s">
        <v>127</v>
      </c>
      <c r="G59" s="1039" t="s">
        <v>1754</v>
      </c>
      <c r="H59" s="1040"/>
      <c r="I59" s="1040"/>
      <c r="J59" s="1040"/>
      <c r="K59" s="1040"/>
      <c r="L59" s="1040">
        <v>19044359</v>
      </c>
      <c r="M59" s="1040"/>
      <c r="N59" s="1040"/>
      <c r="O59" s="1040"/>
      <c r="P59" s="1041"/>
      <c r="Q59" s="1327"/>
      <c r="R59" s="1040"/>
      <c r="S59" s="1040"/>
      <c r="T59" s="1040"/>
      <c r="U59" s="1040"/>
      <c r="V59" s="1040"/>
      <c r="W59" s="1040"/>
      <c r="X59" s="1041">
        <v>19044359</v>
      </c>
    </row>
    <row r="60" spans="1:24" ht="15" customHeight="1" x14ac:dyDescent="0.25">
      <c r="A60" s="2093" t="s">
        <v>236</v>
      </c>
      <c r="B60" s="2092" t="s">
        <v>268</v>
      </c>
      <c r="C60" s="2089" t="s">
        <v>2411</v>
      </c>
      <c r="D60" s="1368" t="s">
        <v>1815</v>
      </c>
      <c r="E60" s="1384" t="s">
        <v>571</v>
      </c>
      <c r="F60" s="1384" t="s">
        <v>90</v>
      </c>
      <c r="G60" s="1385" t="s">
        <v>1766</v>
      </c>
      <c r="H60" s="1386">
        <f>-2886+2886</f>
        <v>0</v>
      </c>
      <c r="I60" s="1386"/>
      <c r="J60" s="1386"/>
      <c r="K60" s="1386"/>
      <c r="L60" s="1386"/>
      <c r="M60" s="1386"/>
      <c r="N60" s="1386"/>
      <c r="O60" s="1386"/>
      <c r="P60" s="1387"/>
      <c r="Q60" s="1388"/>
      <c r="R60" s="1386"/>
      <c r="S60" s="1386"/>
      <c r="T60" s="1386"/>
      <c r="U60" s="1386"/>
      <c r="V60" s="1386"/>
      <c r="W60" s="1386"/>
      <c r="X60" s="1387"/>
    </row>
    <row r="61" spans="1:24" ht="15" customHeight="1" x14ac:dyDescent="0.25">
      <c r="A61" s="2087"/>
      <c r="B61" s="2085"/>
      <c r="C61" s="2090"/>
      <c r="D61" s="1368" t="s">
        <v>1815</v>
      </c>
      <c r="E61" s="1384" t="s">
        <v>561</v>
      </c>
      <c r="F61" s="1384" t="s">
        <v>131</v>
      </c>
      <c r="G61" s="1385" t="s">
        <v>1766</v>
      </c>
      <c r="H61" s="1386">
        <f>-280221+80221+200000</f>
        <v>0</v>
      </c>
      <c r="I61" s="1386"/>
      <c r="J61" s="1386"/>
      <c r="K61" s="1386"/>
      <c r="L61" s="1386"/>
      <c r="M61" s="1386"/>
      <c r="N61" s="1386"/>
      <c r="O61" s="1386"/>
      <c r="P61" s="1387"/>
      <c r="Q61" s="1388"/>
      <c r="R61" s="1386"/>
      <c r="S61" s="1386"/>
      <c r="T61" s="1386"/>
      <c r="U61" s="1386"/>
      <c r="V61" s="1386"/>
      <c r="W61" s="1386"/>
      <c r="X61" s="1387"/>
    </row>
    <row r="62" spans="1:24" ht="15" customHeight="1" x14ac:dyDescent="0.25">
      <c r="A62" s="2088"/>
      <c r="B62" s="2086"/>
      <c r="C62" s="2091"/>
      <c r="D62" s="1368" t="s">
        <v>1815</v>
      </c>
      <c r="E62" s="1384" t="s">
        <v>561</v>
      </c>
      <c r="F62" s="1384" t="s">
        <v>150</v>
      </c>
      <c r="G62" s="1385" t="s">
        <v>1766</v>
      </c>
      <c r="H62" s="1386">
        <f>-31380+31380</f>
        <v>0</v>
      </c>
      <c r="I62" s="1386"/>
      <c r="J62" s="1386"/>
      <c r="K62" s="1386"/>
      <c r="L62" s="1386"/>
      <c r="M62" s="1386"/>
      <c r="N62" s="1386"/>
      <c r="O62" s="1386"/>
      <c r="P62" s="1387"/>
      <c r="Q62" s="1388"/>
      <c r="R62" s="1386"/>
      <c r="S62" s="1386"/>
      <c r="T62" s="1386"/>
      <c r="U62" s="1386"/>
      <c r="V62" s="1386"/>
      <c r="W62" s="1386"/>
      <c r="X62" s="1387"/>
    </row>
    <row r="63" spans="1:24" ht="18" customHeight="1" x14ac:dyDescent="0.25">
      <c r="A63" s="2093" t="s">
        <v>237</v>
      </c>
      <c r="B63" s="2092" t="s">
        <v>269</v>
      </c>
      <c r="C63" s="2089" t="s">
        <v>2461</v>
      </c>
      <c r="D63" s="1368" t="s">
        <v>1815</v>
      </c>
      <c r="E63" s="1384" t="s">
        <v>571</v>
      </c>
      <c r="F63" s="1384" t="s">
        <v>90</v>
      </c>
      <c r="G63" s="1385" t="s">
        <v>1766</v>
      </c>
      <c r="H63" s="1386"/>
      <c r="I63" s="1386"/>
      <c r="J63" s="1386">
        <f>-60000+60000</f>
        <v>0</v>
      </c>
      <c r="K63" s="1386"/>
      <c r="L63" s="1386"/>
      <c r="M63" s="1386"/>
      <c r="N63" s="1386"/>
      <c r="O63" s="1386"/>
      <c r="P63" s="1387"/>
      <c r="Q63" s="1388"/>
      <c r="R63" s="1386"/>
      <c r="S63" s="1386"/>
      <c r="T63" s="1386"/>
      <c r="U63" s="1386"/>
      <c r="V63" s="1386"/>
      <c r="W63" s="1386"/>
      <c r="X63" s="1387"/>
    </row>
    <row r="64" spans="1:24" ht="18" customHeight="1" x14ac:dyDescent="0.25">
      <c r="A64" s="2087"/>
      <c r="B64" s="2085"/>
      <c r="C64" s="2090"/>
      <c r="D64" s="1368" t="s">
        <v>1815</v>
      </c>
      <c r="E64" s="1384" t="s">
        <v>561</v>
      </c>
      <c r="F64" s="1384" t="s">
        <v>131</v>
      </c>
      <c r="G64" s="1385" t="s">
        <v>1766</v>
      </c>
      <c r="H64" s="1386"/>
      <c r="I64" s="1386"/>
      <c r="J64" s="1386">
        <f>-288000+288000</f>
        <v>0</v>
      </c>
      <c r="K64" s="1386"/>
      <c r="L64" s="1386"/>
      <c r="M64" s="1386"/>
      <c r="N64" s="1386"/>
      <c r="O64" s="1386"/>
      <c r="P64" s="1387"/>
      <c r="Q64" s="1388"/>
      <c r="R64" s="1386"/>
      <c r="S64" s="1386"/>
      <c r="T64" s="1386"/>
      <c r="U64" s="1386"/>
      <c r="V64" s="1386"/>
      <c r="W64" s="1386"/>
      <c r="X64" s="1387"/>
    </row>
    <row r="65" spans="1:24" ht="18" customHeight="1" x14ac:dyDescent="0.25">
      <c r="A65" s="2088"/>
      <c r="B65" s="2086"/>
      <c r="C65" s="2091"/>
      <c r="D65" s="1368" t="s">
        <v>1815</v>
      </c>
      <c r="E65" s="1384" t="s">
        <v>561</v>
      </c>
      <c r="F65" s="1384" t="s">
        <v>150</v>
      </c>
      <c r="G65" s="1385" t="s">
        <v>1766</v>
      </c>
      <c r="H65" s="1386"/>
      <c r="I65" s="1386"/>
      <c r="J65" s="1386">
        <f>-240000+240000</f>
        <v>0</v>
      </c>
      <c r="K65" s="1386"/>
      <c r="L65" s="1386"/>
      <c r="M65" s="1386"/>
      <c r="N65" s="1386"/>
      <c r="O65" s="1386"/>
      <c r="P65" s="1387"/>
      <c r="Q65" s="1388"/>
      <c r="R65" s="1386"/>
      <c r="S65" s="1386"/>
      <c r="T65" s="1386"/>
      <c r="U65" s="1386"/>
      <c r="V65" s="1386"/>
      <c r="W65" s="1386"/>
      <c r="X65" s="1387"/>
    </row>
    <row r="66" spans="1:24" ht="18" customHeight="1" x14ac:dyDescent="0.25">
      <c r="A66" s="2093" t="s">
        <v>238</v>
      </c>
      <c r="B66" s="2092" t="s">
        <v>270</v>
      </c>
      <c r="C66" s="2089" t="s">
        <v>2667</v>
      </c>
      <c r="D66" s="1368" t="s">
        <v>1815</v>
      </c>
      <c r="E66" s="1384" t="s">
        <v>1297</v>
      </c>
      <c r="F66" s="1384" t="s">
        <v>127</v>
      </c>
      <c r="G66" s="1385" t="s">
        <v>1754</v>
      </c>
      <c r="H66" s="1386"/>
      <c r="I66" s="1386"/>
      <c r="J66" s="1386"/>
      <c r="K66" s="1386"/>
      <c r="L66" s="1386"/>
      <c r="M66" s="1386"/>
      <c r="N66" s="1386"/>
      <c r="O66" s="1386"/>
      <c r="P66" s="1387"/>
      <c r="Q66" s="1388"/>
      <c r="R66" s="1386"/>
      <c r="S66" s="1386"/>
      <c r="T66" s="1386"/>
      <c r="U66" s="1386"/>
      <c r="V66" s="1386"/>
      <c r="W66" s="1386"/>
      <c r="X66" s="1387">
        <v>1330200</v>
      </c>
    </row>
    <row r="67" spans="1:24" ht="18" customHeight="1" x14ac:dyDescent="0.25">
      <c r="A67" s="2087"/>
      <c r="B67" s="2085"/>
      <c r="C67" s="2090"/>
      <c r="D67" s="1368" t="s">
        <v>1815</v>
      </c>
      <c r="E67" s="1384" t="s">
        <v>561</v>
      </c>
      <c r="F67" s="1384" t="s">
        <v>131</v>
      </c>
      <c r="G67" s="1385" t="s">
        <v>1754</v>
      </c>
      <c r="H67" s="1386"/>
      <c r="I67" s="1386"/>
      <c r="J67" s="1386"/>
      <c r="K67" s="1386"/>
      <c r="L67" s="1386"/>
      <c r="M67" s="1386">
        <f>1047402+282798</f>
        <v>1330200</v>
      </c>
      <c r="N67" s="1386"/>
      <c r="O67" s="1386"/>
      <c r="P67" s="1387"/>
      <c r="Q67" s="1388"/>
      <c r="R67" s="1386"/>
      <c r="S67" s="1386"/>
      <c r="T67" s="1386"/>
      <c r="U67" s="1386"/>
      <c r="V67" s="1386"/>
      <c r="W67" s="1386"/>
      <c r="X67" s="1387"/>
    </row>
    <row r="68" spans="1:24" ht="16.5" customHeight="1" x14ac:dyDescent="0.25">
      <c r="A68" s="2087" t="s">
        <v>239</v>
      </c>
      <c r="B68" s="2085" t="s">
        <v>271</v>
      </c>
      <c r="C68" s="2090" t="s">
        <v>2616</v>
      </c>
      <c r="D68" s="1368" t="s">
        <v>1815</v>
      </c>
      <c r="E68" s="1384" t="s">
        <v>571</v>
      </c>
      <c r="F68" s="1384" t="s">
        <v>90</v>
      </c>
      <c r="G68" s="1385" t="s">
        <v>1766</v>
      </c>
      <c r="H68" s="1386">
        <f>-2886+2886</f>
        <v>0</v>
      </c>
      <c r="I68" s="1386"/>
      <c r="J68" s="1386"/>
      <c r="K68" s="1386"/>
      <c r="L68" s="1386"/>
      <c r="M68" s="1386"/>
      <c r="N68" s="1386"/>
      <c r="O68" s="1386"/>
      <c r="P68" s="1387"/>
      <c r="Q68" s="1388"/>
      <c r="R68" s="1386"/>
      <c r="S68" s="1386"/>
      <c r="T68" s="1386"/>
      <c r="U68" s="1386"/>
      <c r="V68" s="1386"/>
      <c r="W68" s="1386"/>
      <c r="X68" s="1387"/>
    </row>
    <row r="69" spans="1:24" ht="16.5" customHeight="1" x14ac:dyDescent="0.25">
      <c r="A69" s="2087"/>
      <c r="B69" s="2085"/>
      <c r="C69" s="2090"/>
      <c r="D69" s="1368" t="s">
        <v>1815</v>
      </c>
      <c r="E69" s="1384" t="s">
        <v>561</v>
      </c>
      <c r="F69" s="1384" t="s">
        <v>131</v>
      </c>
      <c r="G69" s="1385" t="s">
        <v>1766</v>
      </c>
      <c r="H69" s="1386">
        <f>-202194+202194</f>
        <v>0</v>
      </c>
      <c r="I69" s="1386"/>
      <c r="J69" s="1386"/>
      <c r="K69" s="1386"/>
      <c r="L69" s="1386"/>
      <c r="M69" s="1386"/>
      <c r="N69" s="1386"/>
      <c r="O69" s="1386"/>
      <c r="P69" s="1387"/>
      <c r="Q69" s="1388"/>
      <c r="R69" s="1386"/>
      <c r="S69" s="1386"/>
      <c r="T69" s="1386"/>
      <c r="U69" s="1386"/>
      <c r="V69" s="1386"/>
      <c r="W69" s="1386"/>
      <c r="X69" s="1387"/>
    </row>
    <row r="70" spans="1:24" ht="16.5" customHeight="1" x14ac:dyDescent="0.25">
      <c r="A70" s="2087"/>
      <c r="B70" s="2085"/>
      <c r="C70" s="2090"/>
      <c r="D70" s="1368" t="s">
        <v>1815</v>
      </c>
      <c r="E70" s="1384" t="s">
        <v>561</v>
      </c>
      <c r="F70" s="1384" t="s">
        <v>150</v>
      </c>
      <c r="G70" s="1385" t="s">
        <v>1766</v>
      </c>
      <c r="H70" s="1386">
        <f>-84726+84726</f>
        <v>0</v>
      </c>
      <c r="I70" s="1386"/>
      <c r="J70" s="1386"/>
      <c r="K70" s="1386"/>
      <c r="L70" s="1386"/>
      <c r="M70" s="1386"/>
      <c r="N70" s="1386"/>
      <c r="O70" s="1386"/>
      <c r="P70" s="1387"/>
      <c r="Q70" s="1388"/>
      <c r="R70" s="1386"/>
      <c r="S70" s="1386"/>
      <c r="T70" s="1386"/>
      <c r="U70" s="1386"/>
      <c r="V70" s="1386"/>
      <c r="W70" s="1386"/>
      <c r="X70" s="1387"/>
    </row>
    <row r="71" spans="1:24" x14ac:dyDescent="0.25">
      <c r="A71" s="1324"/>
      <c r="B71" s="1325"/>
      <c r="C71" s="1043"/>
      <c r="D71" s="983"/>
      <c r="E71" s="1329"/>
      <c r="F71" s="1044"/>
      <c r="G71" s="1045"/>
      <c r="H71" s="1046"/>
      <c r="I71" s="1046"/>
      <c r="J71" s="1046"/>
      <c r="K71" s="1046"/>
      <c r="L71" s="1046"/>
      <c r="M71" s="1046"/>
      <c r="N71" s="1046"/>
      <c r="O71" s="1046"/>
      <c r="P71" s="1047"/>
      <c r="Q71" s="1328"/>
      <c r="R71" s="1046"/>
      <c r="S71" s="1046"/>
      <c r="T71" s="1046"/>
      <c r="U71" s="1046"/>
      <c r="V71" s="1046"/>
      <c r="W71" s="1046"/>
      <c r="X71" s="1047"/>
    </row>
    <row r="72" spans="1:24" ht="18.75" x14ac:dyDescent="0.3">
      <c r="A72" s="2021" t="s">
        <v>1663</v>
      </c>
      <c r="B72" s="2022"/>
      <c r="C72" s="2022"/>
      <c r="D72" s="956"/>
      <c r="E72" s="956"/>
      <c r="F72" s="956"/>
      <c r="G72" s="956"/>
      <c r="H72" s="1595">
        <f t="shared" ref="H72:X72" si="1">SUM(H45:H71)+H28</f>
        <v>5475000</v>
      </c>
      <c r="I72" s="1595">
        <f t="shared" si="1"/>
        <v>685750</v>
      </c>
      <c r="J72" s="1595">
        <f t="shared" si="1"/>
        <v>1136751</v>
      </c>
      <c r="K72" s="1595">
        <f t="shared" si="1"/>
        <v>0</v>
      </c>
      <c r="L72" s="1595">
        <f t="shared" si="1"/>
        <v>19044359</v>
      </c>
      <c r="M72" s="1595">
        <f t="shared" si="1"/>
        <v>3627948</v>
      </c>
      <c r="N72" s="1595">
        <f t="shared" si="1"/>
        <v>0</v>
      </c>
      <c r="O72" s="1595">
        <f t="shared" si="1"/>
        <v>0</v>
      </c>
      <c r="P72" s="1596">
        <f t="shared" si="1"/>
        <v>0</v>
      </c>
      <c r="Q72" s="1597">
        <f t="shared" si="1"/>
        <v>0</v>
      </c>
      <c r="R72" s="1595">
        <f t="shared" si="1"/>
        <v>0</v>
      </c>
      <c r="S72" s="1595">
        <f t="shared" si="1"/>
        <v>0</v>
      </c>
      <c r="T72" s="1595">
        <f t="shared" si="1"/>
        <v>1136751</v>
      </c>
      <c r="U72" s="1595">
        <f t="shared" si="1"/>
        <v>0</v>
      </c>
      <c r="V72" s="1595">
        <f t="shared" si="1"/>
        <v>0</v>
      </c>
      <c r="W72" s="1595">
        <f t="shared" si="1"/>
        <v>0</v>
      </c>
      <c r="X72" s="1596">
        <f t="shared" si="1"/>
        <v>28833057</v>
      </c>
    </row>
    <row r="73" spans="1:24" ht="20.25" customHeight="1" x14ac:dyDescent="0.25">
      <c r="A73" s="968"/>
      <c r="B73" s="968"/>
      <c r="C73" s="998"/>
      <c r="D73" s="968"/>
      <c r="E73" s="968"/>
      <c r="F73" s="968"/>
      <c r="G73" s="968"/>
      <c r="H73" s="1052"/>
      <c r="I73" s="1052"/>
      <c r="J73" s="1052"/>
      <c r="K73" s="1052"/>
      <c r="L73" s="1052"/>
      <c r="M73" s="1052"/>
      <c r="N73" s="1052"/>
      <c r="O73" s="1052"/>
      <c r="P73" s="1052"/>
      <c r="Q73" s="1052"/>
      <c r="R73" s="1052"/>
      <c r="S73" s="1052"/>
      <c r="T73" s="1052"/>
      <c r="U73" s="1052"/>
      <c r="V73" s="1052"/>
      <c r="W73" s="1052"/>
      <c r="X73" s="1052"/>
    </row>
    <row r="74" spans="1:24" ht="18" customHeight="1" x14ac:dyDescent="0.25">
      <c r="A74" s="968"/>
      <c r="B74" s="968"/>
      <c r="C74" s="998"/>
      <c r="D74" s="968"/>
      <c r="E74" s="968"/>
      <c r="F74" s="968"/>
      <c r="G74" s="968"/>
      <c r="H74" s="1052"/>
      <c r="I74" s="1052"/>
      <c r="J74" s="1052"/>
      <c r="K74" s="1052"/>
      <c r="L74" s="1052"/>
      <c r="M74" s="1052"/>
      <c r="N74" s="1052"/>
      <c r="O74" s="1052"/>
      <c r="P74" s="1052"/>
      <c r="Q74" s="1052"/>
      <c r="R74" s="1052"/>
      <c r="S74" s="1052"/>
      <c r="T74" s="1052"/>
      <c r="U74" s="1052"/>
      <c r="V74" s="1052"/>
      <c r="W74" s="1052"/>
      <c r="X74" s="1052"/>
    </row>
    <row r="75" spans="1:24" x14ac:dyDescent="0.25">
      <c r="A75" s="968"/>
      <c r="B75" s="968"/>
      <c r="C75" s="998"/>
      <c r="D75" s="968"/>
      <c r="E75" s="968"/>
      <c r="F75" s="968"/>
      <c r="G75" s="968"/>
      <c r="H75" s="968"/>
      <c r="I75" s="968"/>
      <c r="J75" s="968"/>
      <c r="K75" s="968"/>
      <c r="L75" s="968"/>
      <c r="M75" s="968"/>
      <c r="N75" s="968"/>
      <c r="O75" s="968"/>
      <c r="P75" s="968"/>
      <c r="Q75" s="968"/>
      <c r="R75" s="968"/>
      <c r="S75" s="968"/>
      <c r="T75" s="968"/>
      <c r="U75" s="968"/>
      <c r="V75" s="968"/>
      <c r="W75" s="968"/>
      <c r="X75" s="968"/>
    </row>
    <row r="76" spans="1:24" x14ac:dyDescent="0.25">
      <c r="A76" s="968"/>
      <c r="B76" s="968"/>
      <c r="C76" s="998"/>
      <c r="D76" s="968"/>
      <c r="E76" s="968"/>
      <c r="F76" s="968"/>
      <c r="G76" s="968"/>
      <c r="H76" s="968"/>
      <c r="I76" s="968"/>
      <c r="J76" s="968"/>
      <c r="K76" s="968"/>
      <c r="L76" s="968"/>
      <c r="M76" s="968"/>
      <c r="N76" s="968"/>
      <c r="O76" s="968"/>
      <c r="P76" s="968"/>
      <c r="Q76" s="968"/>
      <c r="R76" s="968"/>
      <c r="S76" s="968"/>
      <c r="T76" s="968"/>
      <c r="U76" s="968"/>
      <c r="V76" s="968"/>
      <c r="W76" s="968"/>
      <c r="X76" s="968"/>
    </row>
    <row r="77" spans="1:24" ht="21.75" customHeight="1" x14ac:dyDescent="0.25">
      <c r="A77" s="968"/>
      <c r="B77" s="968"/>
      <c r="C77" s="998"/>
      <c r="D77" s="968"/>
      <c r="E77" s="968"/>
      <c r="F77" s="968"/>
      <c r="G77" s="968"/>
      <c r="H77" s="968"/>
      <c r="I77" s="2042" t="s">
        <v>1664</v>
      </c>
      <c r="J77" s="2042"/>
      <c r="K77" s="2042"/>
      <c r="L77" s="2042">
        <v>427246149</v>
      </c>
      <c r="M77" s="2042"/>
      <c r="N77" s="996"/>
      <c r="O77" s="996"/>
      <c r="P77" s="996"/>
      <c r="Q77" s="996"/>
      <c r="R77" s="2042" t="s">
        <v>1665</v>
      </c>
      <c r="S77" s="2042"/>
      <c r="T77" s="2042"/>
      <c r="U77" s="2042">
        <v>427246149</v>
      </c>
      <c r="V77" s="2042"/>
      <c r="W77" s="968"/>
      <c r="X77" s="968"/>
    </row>
    <row r="78" spans="1:24" ht="21" customHeight="1" x14ac:dyDescent="0.25">
      <c r="A78" s="968"/>
      <c r="B78" s="968"/>
      <c r="C78" s="998"/>
      <c r="D78" s="968"/>
      <c r="E78" s="968"/>
      <c r="F78" s="968"/>
      <c r="G78" s="968"/>
      <c r="H78" s="968"/>
      <c r="I78" s="2042" t="s">
        <v>1666</v>
      </c>
      <c r="J78" s="2042"/>
      <c r="K78" s="2042"/>
      <c r="L78" s="2042">
        <f>SUM(H72:P72)</f>
        <v>29969808</v>
      </c>
      <c r="M78" s="2042"/>
      <c r="N78" s="996"/>
      <c r="O78" s="996"/>
      <c r="P78" s="996"/>
      <c r="Q78" s="996"/>
      <c r="R78" s="2042" t="s">
        <v>1666</v>
      </c>
      <c r="S78" s="2042"/>
      <c r="T78" s="2042"/>
      <c r="U78" s="2042">
        <f>SUM(Q72:X72)</f>
        <v>29969808</v>
      </c>
      <c r="V78" s="2042"/>
      <c r="W78" s="968"/>
      <c r="X78" s="968"/>
    </row>
    <row r="79" spans="1:24" ht="20.25" customHeight="1" x14ac:dyDescent="0.25">
      <c r="A79" s="968"/>
      <c r="B79" s="968"/>
      <c r="C79" s="998"/>
      <c r="D79" s="968"/>
      <c r="E79" s="968"/>
      <c r="F79" s="968"/>
      <c r="G79" s="968"/>
      <c r="H79" s="968"/>
      <c r="I79" s="2042" t="s">
        <v>1512</v>
      </c>
      <c r="J79" s="2042"/>
      <c r="K79" s="2042"/>
      <c r="L79" s="2042">
        <f>+L77+L78</f>
        <v>457215957</v>
      </c>
      <c r="M79" s="2042"/>
      <c r="N79" s="996"/>
      <c r="O79" s="996"/>
      <c r="P79" s="996"/>
      <c r="Q79" s="996"/>
      <c r="R79" s="2042" t="s">
        <v>1512</v>
      </c>
      <c r="S79" s="2042"/>
      <c r="T79" s="2042"/>
      <c r="U79" s="2042">
        <f>+U77+U78</f>
        <v>457215957</v>
      </c>
      <c r="V79" s="2042"/>
      <c r="W79" s="968"/>
      <c r="X79" s="968"/>
    </row>
    <row r="80" spans="1:24" x14ac:dyDescent="0.25">
      <c r="A80" s="968"/>
      <c r="B80" s="968"/>
      <c r="C80" s="998"/>
      <c r="D80" s="968"/>
      <c r="E80" s="968"/>
      <c r="F80" s="968"/>
      <c r="G80" s="968"/>
      <c r="H80" s="968"/>
      <c r="I80" s="968"/>
      <c r="J80" s="968"/>
      <c r="K80" s="968"/>
      <c r="L80" s="968"/>
      <c r="M80" s="968"/>
      <c r="N80" s="968"/>
      <c r="O80" s="968"/>
      <c r="P80" s="968"/>
      <c r="Q80" s="968"/>
      <c r="R80" s="968"/>
      <c r="S80" s="968"/>
      <c r="T80" s="968"/>
      <c r="U80" s="968"/>
      <c r="V80" s="968"/>
      <c r="W80" s="968"/>
      <c r="X80" s="968"/>
    </row>
    <row r="81" spans="1:24" x14ac:dyDescent="0.25">
      <c r="A81" s="968"/>
      <c r="B81" s="968"/>
      <c r="C81" s="998"/>
      <c r="D81" s="968"/>
      <c r="E81" s="968"/>
      <c r="F81" s="968"/>
      <c r="G81" s="968"/>
      <c r="H81" s="968"/>
      <c r="I81" s="968"/>
      <c r="J81" s="968"/>
      <c r="K81" s="968"/>
      <c r="L81" s="968"/>
      <c r="M81" s="968"/>
      <c r="N81" s="968"/>
      <c r="O81" s="968"/>
      <c r="P81" s="968"/>
      <c r="Q81" s="968"/>
      <c r="R81" s="968"/>
      <c r="S81" s="968"/>
      <c r="T81" s="968"/>
      <c r="U81" s="968"/>
      <c r="V81" s="968"/>
      <c r="W81" s="968"/>
      <c r="X81" s="968"/>
    </row>
    <row r="82" spans="1:24" x14ac:dyDescent="0.25">
      <c r="A82" s="968"/>
      <c r="B82" s="968"/>
      <c r="C82" s="998"/>
      <c r="D82" s="968"/>
      <c r="E82" s="968"/>
      <c r="F82" s="968"/>
      <c r="G82" s="968"/>
      <c r="H82" s="968"/>
      <c r="I82" s="968"/>
      <c r="J82" s="968"/>
      <c r="K82" s="968"/>
      <c r="L82" s="968"/>
      <c r="M82" s="968"/>
      <c r="N82" s="968"/>
      <c r="O82" s="968"/>
      <c r="P82" s="968"/>
      <c r="Q82" s="968"/>
      <c r="R82" s="968"/>
      <c r="S82" s="968"/>
      <c r="T82" s="968"/>
      <c r="U82" s="968"/>
      <c r="V82" s="968"/>
      <c r="W82" s="968"/>
      <c r="X82" s="968"/>
    </row>
    <row r="83" spans="1:24" x14ac:dyDescent="0.25">
      <c r="A83" s="968"/>
      <c r="B83" s="968"/>
      <c r="C83" s="998"/>
      <c r="D83" s="968"/>
      <c r="E83" s="968"/>
      <c r="F83" s="968"/>
      <c r="G83" s="968"/>
      <c r="H83" s="968"/>
      <c r="I83" s="968"/>
      <c r="J83" s="968"/>
      <c r="K83" s="968"/>
      <c r="L83" s="968"/>
      <c r="M83" s="968"/>
      <c r="N83" s="968"/>
      <c r="O83" s="968"/>
      <c r="P83" s="968"/>
      <c r="Q83" s="968"/>
      <c r="R83" s="968"/>
      <c r="S83" s="968"/>
      <c r="T83" s="968"/>
      <c r="U83" s="968"/>
      <c r="V83" s="968"/>
      <c r="W83" s="968"/>
      <c r="X83" s="968"/>
    </row>
    <row r="84" spans="1:24" ht="15.75" x14ac:dyDescent="0.25">
      <c r="A84" s="2010" t="s">
        <v>2861</v>
      </c>
      <c r="B84" s="2010"/>
      <c r="C84" s="2010"/>
      <c r="D84" s="2010"/>
      <c r="E84" s="2010"/>
      <c r="F84" s="2010"/>
      <c r="G84" s="2010"/>
      <c r="H84" s="2010"/>
      <c r="I84" s="2010"/>
      <c r="J84" s="2010"/>
      <c r="K84" s="2010"/>
      <c r="L84" s="2010"/>
      <c r="M84" s="2010"/>
      <c r="N84" s="2010"/>
      <c r="O84" s="2010"/>
      <c r="P84" s="2010"/>
      <c r="Q84" s="2010"/>
      <c r="R84" s="2010"/>
      <c r="S84" s="2010"/>
      <c r="T84" s="2010"/>
      <c r="U84" s="2010"/>
      <c r="V84" s="2010"/>
      <c r="W84" s="2010"/>
      <c r="X84" s="2010"/>
    </row>
    <row r="85" spans="1:24" ht="15.75" x14ac:dyDescent="0.25">
      <c r="A85" s="1246"/>
      <c r="B85" s="1246"/>
      <c r="C85" s="1246"/>
      <c r="D85" s="1246"/>
      <c r="E85" s="1246"/>
      <c r="F85" s="1246"/>
      <c r="G85" s="1246"/>
      <c r="H85" s="1246"/>
      <c r="I85" s="1246"/>
      <c r="J85" s="1246"/>
      <c r="K85" s="1246"/>
      <c r="L85" s="1246"/>
      <c r="M85" s="1246"/>
      <c r="N85" s="1246"/>
      <c r="O85" s="1246"/>
      <c r="P85" s="1246"/>
      <c r="Q85" s="1246"/>
      <c r="R85" s="1246"/>
      <c r="S85" s="1246"/>
      <c r="T85" s="1246"/>
      <c r="U85" s="1246"/>
      <c r="V85" s="1246"/>
      <c r="W85" s="1246"/>
      <c r="X85" s="1246"/>
    </row>
    <row r="86" spans="1:24" x14ac:dyDescent="0.25">
      <c r="A86" s="970"/>
      <c r="B86" s="970"/>
      <c r="C86" s="970"/>
      <c r="D86" s="970"/>
      <c r="E86" s="970"/>
      <c r="F86" s="970"/>
      <c r="G86" s="970"/>
      <c r="H86" s="970"/>
      <c r="I86" s="970"/>
      <c r="J86" s="970"/>
      <c r="K86" s="970"/>
      <c r="L86" s="970"/>
      <c r="M86" s="970"/>
      <c r="N86" s="970"/>
      <c r="O86" s="970"/>
      <c r="P86" s="970"/>
      <c r="Q86" s="970"/>
      <c r="R86" s="970"/>
      <c r="S86" s="970"/>
      <c r="T86" s="970"/>
      <c r="U86" s="970"/>
      <c r="V86" s="970"/>
      <c r="W86" s="970"/>
      <c r="X86" s="970"/>
    </row>
    <row r="87" spans="1:24" x14ac:dyDescent="0.25">
      <c r="A87" s="2055" t="s">
        <v>1708</v>
      </c>
      <c r="B87" s="2055"/>
      <c r="C87" s="2055"/>
      <c r="D87" s="2055"/>
      <c r="E87" s="2055"/>
      <c r="F87" s="2055"/>
      <c r="G87" s="2055"/>
      <c r="H87" s="2055"/>
      <c r="I87" s="2055"/>
      <c r="J87" s="2055"/>
      <c r="K87" s="2055"/>
      <c r="L87" s="2055"/>
      <c r="M87" s="2055"/>
      <c r="N87" s="2055"/>
      <c r="O87" s="2055"/>
      <c r="P87" s="2055"/>
      <c r="Q87" s="2055"/>
      <c r="R87" s="2055"/>
      <c r="S87" s="2055"/>
      <c r="T87" s="2055"/>
      <c r="U87" s="2055"/>
      <c r="V87" s="2055"/>
      <c r="W87" s="2055"/>
      <c r="X87" s="2055"/>
    </row>
    <row r="88" spans="1:24" x14ac:dyDescent="0.25">
      <c r="A88" s="968"/>
      <c r="B88" s="968"/>
      <c r="C88" s="998"/>
      <c r="D88" s="968"/>
      <c r="E88" s="968"/>
      <c r="F88" s="968"/>
      <c r="G88" s="968"/>
      <c r="H88" s="968"/>
      <c r="I88" s="968"/>
      <c r="J88" s="968"/>
      <c r="K88" s="968"/>
      <c r="L88" s="968"/>
      <c r="M88" s="968"/>
      <c r="N88" s="968"/>
      <c r="O88" s="968"/>
      <c r="P88" s="968"/>
      <c r="Q88" s="968"/>
      <c r="R88" s="968"/>
      <c r="S88" s="968"/>
      <c r="T88" s="968"/>
      <c r="U88" s="968"/>
      <c r="V88" s="968"/>
      <c r="W88" s="968"/>
      <c r="X88" s="968"/>
    </row>
    <row r="89" spans="1:24" ht="15" customHeight="1" x14ac:dyDescent="0.25">
      <c r="A89" s="2098" t="s">
        <v>37</v>
      </c>
      <c r="B89" s="1773" t="s">
        <v>1640</v>
      </c>
      <c r="C89" s="2097" t="s">
        <v>2</v>
      </c>
      <c r="D89" s="2099" t="s">
        <v>1641</v>
      </c>
      <c r="E89" s="2099" t="s">
        <v>116</v>
      </c>
      <c r="F89" s="2099" t="s">
        <v>1642</v>
      </c>
      <c r="G89" s="2099" t="s">
        <v>1643</v>
      </c>
      <c r="H89" s="2101" t="s">
        <v>1644</v>
      </c>
      <c r="I89" s="2101"/>
      <c r="J89" s="2101"/>
      <c r="K89" s="2101"/>
      <c r="L89" s="2101"/>
      <c r="M89" s="2101"/>
      <c r="N89" s="2101"/>
      <c r="O89" s="2102"/>
      <c r="P89" s="1251"/>
      <c r="Q89" s="2105" t="s">
        <v>1645</v>
      </c>
      <c r="R89" s="2101"/>
      <c r="S89" s="2101"/>
      <c r="T89" s="2101"/>
      <c r="U89" s="2101"/>
      <c r="V89" s="2101"/>
      <c r="W89" s="2101"/>
      <c r="X89" s="2104"/>
    </row>
    <row r="90" spans="1:24" ht="80.25" customHeight="1" x14ac:dyDescent="0.25">
      <c r="A90" s="2093"/>
      <c r="B90" s="1774"/>
      <c r="C90" s="2092"/>
      <c r="D90" s="2100"/>
      <c r="E90" s="2100"/>
      <c r="F90" s="2100"/>
      <c r="G90" s="2100"/>
      <c r="H90" s="1093" t="s">
        <v>1709</v>
      </c>
      <c r="I90" s="1093" t="s">
        <v>1710</v>
      </c>
      <c r="J90" s="1093" t="s">
        <v>1711</v>
      </c>
      <c r="K90" s="1093" t="s">
        <v>1670</v>
      </c>
      <c r="L90" s="1093" t="s">
        <v>1706</v>
      </c>
      <c r="M90" s="1093" t="s">
        <v>1672</v>
      </c>
      <c r="N90" s="1093" t="s">
        <v>1673</v>
      </c>
      <c r="O90" s="1093" t="s">
        <v>1653</v>
      </c>
      <c r="P90" s="1095" t="s">
        <v>1654</v>
      </c>
      <c r="Q90" s="1250" t="s">
        <v>1655</v>
      </c>
      <c r="R90" s="1032" t="s">
        <v>1656</v>
      </c>
      <c r="S90" s="1032" t="s">
        <v>1712</v>
      </c>
      <c r="T90" s="1032" t="s">
        <v>1713</v>
      </c>
      <c r="U90" s="1032" t="s">
        <v>1659</v>
      </c>
      <c r="V90" s="1032" t="s">
        <v>1660</v>
      </c>
      <c r="W90" s="1032" t="s">
        <v>1661</v>
      </c>
      <c r="X90" s="1034" t="s">
        <v>1714</v>
      </c>
    </row>
    <row r="91" spans="1:24" ht="16.5" customHeight="1" x14ac:dyDescent="0.25">
      <c r="A91" s="2109" t="s">
        <v>266</v>
      </c>
      <c r="B91" s="2108" t="s">
        <v>272</v>
      </c>
      <c r="C91" s="2107" t="s">
        <v>2778</v>
      </c>
      <c r="D91" s="974" t="s">
        <v>1815</v>
      </c>
      <c r="E91" s="1169" t="s">
        <v>1297</v>
      </c>
      <c r="F91" s="1169" t="s">
        <v>127</v>
      </c>
      <c r="G91" s="1035" t="s">
        <v>1754</v>
      </c>
      <c r="H91" s="1036"/>
      <c r="I91" s="1036"/>
      <c r="J91" s="1036"/>
      <c r="K91" s="1036"/>
      <c r="L91" s="1036"/>
      <c r="M91" s="1036"/>
      <c r="N91" s="1036"/>
      <c r="O91" s="1036"/>
      <c r="P91" s="1037"/>
      <c r="Q91" s="1451"/>
      <c r="R91" s="1036"/>
      <c r="S91" s="1036"/>
      <c r="T91" s="1036"/>
      <c r="U91" s="1036"/>
      <c r="V91" s="1036"/>
      <c r="W91" s="1036"/>
      <c r="X91" s="1037">
        <v>107950</v>
      </c>
    </row>
    <row r="92" spans="1:24" ht="16.5" customHeight="1" x14ac:dyDescent="0.25">
      <c r="A92" s="2088"/>
      <c r="B92" s="2086"/>
      <c r="C92" s="2091"/>
      <c r="D92" s="978" t="s">
        <v>1815</v>
      </c>
      <c r="E92" s="1038" t="s">
        <v>561</v>
      </c>
      <c r="F92" s="1039" t="s">
        <v>131</v>
      </c>
      <c r="G92" s="1042" t="s">
        <v>1754</v>
      </c>
      <c r="H92" s="1040"/>
      <c r="I92" s="1040"/>
      <c r="J92" s="1040">
        <f>85000+22950</f>
        <v>107950</v>
      </c>
      <c r="K92" s="1040"/>
      <c r="L92" s="1040"/>
      <c r="M92" s="1040"/>
      <c r="N92" s="1040"/>
      <c r="O92" s="1040"/>
      <c r="P92" s="1041"/>
      <c r="Q92" s="1452"/>
      <c r="R92" s="1040"/>
      <c r="S92" s="1040"/>
      <c r="T92" s="1040"/>
      <c r="U92" s="1040"/>
      <c r="V92" s="1040"/>
      <c r="W92" s="1040"/>
      <c r="X92" s="1041"/>
    </row>
    <row r="93" spans="1:24" ht="17.25" customHeight="1" x14ac:dyDescent="0.25">
      <c r="A93" s="2093" t="s">
        <v>267</v>
      </c>
      <c r="B93" s="2092" t="s">
        <v>273</v>
      </c>
      <c r="C93" s="2089" t="s">
        <v>2783</v>
      </c>
      <c r="D93" s="978" t="s">
        <v>1815</v>
      </c>
      <c r="E93" s="1038" t="s">
        <v>571</v>
      </c>
      <c r="F93" s="1039" t="s">
        <v>90</v>
      </c>
      <c r="G93" s="1042" t="s">
        <v>1766</v>
      </c>
      <c r="H93" s="1040">
        <f>-81587+80000+1587</f>
        <v>0</v>
      </c>
      <c r="I93" s="1040"/>
      <c r="J93" s="1040"/>
      <c r="K93" s="1040"/>
      <c r="L93" s="1040"/>
      <c r="M93" s="1040"/>
      <c r="N93" s="1040"/>
      <c r="O93" s="1040"/>
      <c r="P93" s="1041"/>
      <c r="Q93" s="1452"/>
      <c r="R93" s="1040"/>
      <c r="S93" s="1040"/>
      <c r="T93" s="1040"/>
      <c r="U93" s="1040"/>
      <c r="V93" s="1040"/>
      <c r="W93" s="1040"/>
      <c r="X93" s="1041"/>
    </row>
    <row r="94" spans="1:24" ht="17.25" customHeight="1" x14ac:dyDescent="0.25">
      <c r="A94" s="2087"/>
      <c r="B94" s="2085"/>
      <c r="C94" s="2090"/>
      <c r="D94" s="978" t="s">
        <v>1815</v>
      </c>
      <c r="E94" s="1038" t="s">
        <v>561</v>
      </c>
      <c r="F94" s="1039" t="s">
        <v>131</v>
      </c>
      <c r="G94" s="1042" t="s">
        <v>1766</v>
      </c>
      <c r="H94" s="1040">
        <f>-157353+157353</f>
        <v>0</v>
      </c>
      <c r="I94" s="1040"/>
      <c r="J94" s="1040"/>
      <c r="K94" s="1040"/>
      <c r="L94" s="1040"/>
      <c r="M94" s="1040"/>
      <c r="N94" s="1040"/>
      <c r="O94" s="1040"/>
      <c r="P94" s="1041"/>
      <c r="Q94" s="1452"/>
      <c r="R94" s="1040"/>
      <c r="S94" s="1040"/>
      <c r="T94" s="1040"/>
      <c r="U94" s="1040"/>
      <c r="V94" s="1040"/>
      <c r="W94" s="1040"/>
      <c r="X94" s="1041"/>
    </row>
    <row r="95" spans="1:24" ht="17.25" customHeight="1" x14ac:dyDescent="0.25">
      <c r="A95" s="2088"/>
      <c r="B95" s="2086"/>
      <c r="C95" s="2091"/>
      <c r="D95" s="978" t="s">
        <v>1815</v>
      </c>
      <c r="E95" s="1038" t="s">
        <v>561</v>
      </c>
      <c r="F95" s="1039" t="s">
        <v>150</v>
      </c>
      <c r="G95" s="1042" t="s">
        <v>1766</v>
      </c>
      <c r="H95" s="1040">
        <f>-62759+62759</f>
        <v>0</v>
      </c>
      <c r="I95" s="1040"/>
      <c r="J95" s="1040"/>
      <c r="K95" s="1040"/>
      <c r="L95" s="1040"/>
      <c r="M95" s="1040"/>
      <c r="N95" s="1040"/>
      <c r="O95" s="1040"/>
      <c r="P95" s="1041"/>
      <c r="Q95" s="1452"/>
      <c r="R95" s="1040"/>
      <c r="S95" s="1040"/>
      <c r="T95" s="1040"/>
      <c r="U95" s="1040"/>
      <c r="V95" s="1040"/>
      <c r="W95" s="1040"/>
      <c r="X95" s="1041"/>
    </row>
    <row r="96" spans="1:24" ht="26.25" customHeight="1" x14ac:dyDescent="0.25">
      <c r="A96" s="1501" t="s">
        <v>268</v>
      </c>
      <c r="B96" s="1500" t="s">
        <v>274</v>
      </c>
      <c r="C96" s="1499" t="s">
        <v>2852</v>
      </c>
      <c r="D96" s="978" t="s">
        <v>1815</v>
      </c>
      <c r="E96" s="1038" t="s">
        <v>571</v>
      </c>
      <c r="F96" s="1039" t="s">
        <v>90</v>
      </c>
      <c r="G96" s="1042" t="s">
        <v>1754</v>
      </c>
      <c r="H96" s="1040"/>
      <c r="I96" s="1040"/>
      <c r="J96" s="1040">
        <f>700000+189000</f>
        <v>889000</v>
      </c>
      <c r="K96" s="1040"/>
      <c r="L96" s="1040"/>
      <c r="M96" s="1040"/>
      <c r="N96" s="1040"/>
      <c r="O96" s="1040"/>
      <c r="P96" s="1041"/>
      <c r="Q96" s="1452"/>
      <c r="R96" s="1040"/>
      <c r="S96" s="1040"/>
      <c r="T96" s="1040">
        <f>700000+189000</f>
        <v>889000</v>
      </c>
      <c r="U96" s="1040"/>
      <c r="V96" s="1040"/>
      <c r="W96" s="1040"/>
      <c r="X96" s="1041"/>
    </row>
    <row r="97" spans="1:24" ht="16.5" customHeight="1" x14ac:dyDescent="0.25">
      <c r="A97" s="2093" t="s">
        <v>269</v>
      </c>
      <c r="B97" s="2092" t="s">
        <v>275</v>
      </c>
      <c r="C97" s="2089" t="s">
        <v>2876</v>
      </c>
      <c r="D97" s="978" t="s">
        <v>1815</v>
      </c>
      <c r="E97" s="1038" t="s">
        <v>571</v>
      </c>
      <c r="F97" s="1039" t="s">
        <v>90</v>
      </c>
      <c r="G97" s="1042" t="s">
        <v>1766</v>
      </c>
      <c r="H97" s="1040">
        <f>-3318+3318</f>
        <v>0</v>
      </c>
      <c r="I97" s="1040"/>
      <c r="J97" s="1040"/>
      <c r="K97" s="1040"/>
      <c r="L97" s="1040"/>
      <c r="M97" s="1040"/>
      <c r="N97" s="1040"/>
      <c r="O97" s="1040"/>
      <c r="P97" s="1041"/>
      <c r="Q97" s="1452"/>
      <c r="R97" s="1040"/>
      <c r="S97" s="1040"/>
      <c r="T97" s="1040"/>
      <c r="U97" s="1040"/>
      <c r="V97" s="1040"/>
      <c r="W97" s="1040"/>
      <c r="X97" s="1041"/>
    </row>
    <row r="98" spans="1:24" ht="16.5" customHeight="1" x14ac:dyDescent="0.25">
      <c r="A98" s="2087"/>
      <c r="B98" s="2085"/>
      <c r="C98" s="2090"/>
      <c r="D98" s="978" t="s">
        <v>1815</v>
      </c>
      <c r="E98" s="1038" t="s">
        <v>561</v>
      </c>
      <c r="F98" s="1039" t="s">
        <v>131</v>
      </c>
      <c r="G98" s="1042" t="s">
        <v>1766</v>
      </c>
      <c r="H98" s="1040">
        <f>-2151577+2038094+113483</f>
        <v>0</v>
      </c>
      <c r="I98" s="1040"/>
      <c r="J98" s="1040"/>
      <c r="K98" s="1040"/>
      <c r="L98" s="1040"/>
      <c r="M98" s="1040"/>
      <c r="N98" s="1040"/>
      <c r="O98" s="1040"/>
      <c r="P98" s="1041"/>
      <c r="Q98" s="1452"/>
      <c r="R98" s="1040"/>
      <c r="S98" s="1040"/>
      <c r="T98" s="1040"/>
      <c r="U98" s="1040"/>
      <c r="V98" s="1040"/>
      <c r="W98" s="1040"/>
      <c r="X98" s="1041"/>
    </row>
    <row r="99" spans="1:24" ht="16.5" customHeight="1" x14ac:dyDescent="0.25">
      <c r="A99" s="2088"/>
      <c r="B99" s="2086"/>
      <c r="C99" s="2091"/>
      <c r="D99" s="978" t="s">
        <v>1815</v>
      </c>
      <c r="E99" s="1038" t="s">
        <v>561</v>
      </c>
      <c r="F99" s="1039" t="s">
        <v>150</v>
      </c>
      <c r="G99" s="1042" t="s">
        <v>1766</v>
      </c>
      <c r="H99" s="1040">
        <f>-112174+112174</f>
        <v>0</v>
      </c>
      <c r="I99" s="1040"/>
      <c r="J99" s="1040"/>
      <c r="K99" s="1040"/>
      <c r="L99" s="1040"/>
      <c r="M99" s="1040"/>
      <c r="N99" s="1040"/>
      <c r="O99" s="1040"/>
      <c r="P99" s="1041"/>
      <c r="Q99" s="1452"/>
      <c r="R99" s="1040"/>
      <c r="S99" s="1040"/>
      <c r="T99" s="1040"/>
      <c r="U99" s="1040"/>
      <c r="V99" s="1040"/>
      <c r="W99" s="1040"/>
      <c r="X99" s="1041"/>
    </row>
    <row r="100" spans="1:24" x14ac:dyDescent="0.25">
      <c r="A100" s="1437"/>
      <c r="B100" s="1436"/>
      <c r="C100" s="1450"/>
      <c r="D100" s="978"/>
      <c r="E100" s="1038"/>
      <c r="F100" s="1039"/>
      <c r="G100" s="1042"/>
      <c r="H100" s="1040"/>
      <c r="I100" s="1040"/>
      <c r="J100" s="1040"/>
      <c r="K100" s="1040"/>
      <c r="L100" s="1040"/>
      <c r="M100" s="1040"/>
      <c r="N100" s="1040"/>
      <c r="O100" s="1040"/>
      <c r="P100" s="1041"/>
      <c r="Q100" s="1452"/>
      <c r="R100" s="1040"/>
      <c r="S100" s="1040"/>
      <c r="T100" s="1040"/>
      <c r="U100" s="1040"/>
      <c r="V100" s="1040"/>
      <c r="W100" s="1040"/>
      <c r="X100" s="1041"/>
    </row>
    <row r="101" spans="1:24" ht="18.75" x14ac:dyDescent="0.3">
      <c r="A101" s="2021" t="s">
        <v>1663</v>
      </c>
      <c r="B101" s="2022"/>
      <c r="C101" s="2022"/>
      <c r="D101" s="956"/>
      <c r="E101" s="956"/>
      <c r="F101" s="956"/>
      <c r="G101" s="956"/>
      <c r="H101" s="1595">
        <f t="shared" ref="H101:X101" si="2">SUM(H91:H100)+H72</f>
        <v>5475000</v>
      </c>
      <c r="I101" s="1595">
        <f t="shared" si="2"/>
        <v>685750</v>
      </c>
      <c r="J101" s="1595">
        <f t="shared" si="2"/>
        <v>2133701</v>
      </c>
      <c r="K101" s="1595">
        <f t="shared" si="2"/>
        <v>0</v>
      </c>
      <c r="L101" s="1595">
        <f t="shared" si="2"/>
        <v>19044359</v>
      </c>
      <c r="M101" s="1595">
        <f t="shared" si="2"/>
        <v>3627948</v>
      </c>
      <c r="N101" s="1595">
        <f t="shared" si="2"/>
        <v>0</v>
      </c>
      <c r="O101" s="1595">
        <f t="shared" si="2"/>
        <v>0</v>
      </c>
      <c r="P101" s="1596">
        <f t="shared" si="2"/>
        <v>0</v>
      </c>
      <c r="Q101" s="1597">
        <f t="shared" si="2"/>
        <v>0</v>
      </c>
      <c r="R101" s="1595">
        <f t="shared" si="2"/>
        <v>0</v>
      </c>
      <c r="S101" s="1595">
        <f t="shared" si="2"/>
        <v>0</v>
      </c>
      <c r="T101" s="1595">
        <f t="shared" si="2"/>
        <v>2025751</v>
      </c>
      <c r="U101" s="1595">
        <f t="shared" si="2"/>
        <v>0</v>
      </c>
      <c r="V101" s="1595">
        <f t="shared" si="2"/>
        <v>0</v>
      </c>
      <c r="W101" s="1595">
        <f t="shared" si="2"/>
        <v>0</v>
      </c>
      <c r="X101" s="1596">
        <f t="shared" si="2"/>
        <v>28941007</v>
      </c>
    </row>
    <row r="102" spans="1:24" ht="17.25" customHeight="1" x14ac:dyDescent="0.25">
      <c r="A102" s="968"/>
      <c r="B102" s="968"/>
      <c r="C102" s="998"/>
      <c r="D102" s="968"/>
      <c r="E102" s="968"/>
      <c r="F102" s="968"/>
      <c r="G102" s="968"/>
      <c r="H102" s="1052"/>
      <c r="I102" s="1052"/>
      <c r="J102" s="1052"/>
      <c r="K102" s="1052"/>
      <c r="L102" s="1052"/>
      <c r="M102" s="1052"/>
      <c r="N102" s="1052"/>
      <c r="O102" s="1052"/>
      <c r="P102" s="1052"/>
      <c r="Q102" s="1052"/>
      <c r="R102" s="1052"/>
      <c r="S102" s="1052"/>
      <c r="T102" s="1052"/>
      <c r="U102" s="1052"/>
      <c r="V102" s="1052"/>
      <c r="W102" s="1052"/>
      <c r="X102" s="1052"/>
    </row>
    <row r="103" spans="1:24" ht="19.5" customHeight="1" x14ac:dyDescent="0.25">
      <c r="A103" s="968"/>
      <c r="B103" s="968"/>
      <c r="C103" s="998"/>
      <c r="D103" s="968"/>
      <c r="E103" s="968"/>
      <c r="F103" s="968"/>
      <c r="G103" s="968"/>
      <c r="H103" s="1052"/>
      <c r="I103" s="1052"/>
      <c r="J103" s="1052"/>
      <c r="K103" s="1052"/>
      <c r="L103" s="1052"/>
      <c r="M103" s="1052"/>
      <c r="N103" s="1052"/>
      <c r="O103" s="1052"/>
      <c r="P103" s="1052"/>
      <c r="Q103" s="1052"/>
      <c r="R103" s="1052"/>
      <c r="S103" s="1052"/>
      <c r="T103" s="1052"/>
      <c r="U103" s="1052"/>
      <c r="V103" s="1052"/>
      <c r="W103" s="1052"/>
      <c r="X103" s="1052"/>
    </row>
    <row r="104" spans="1:24" x14ac:dyDescent="0.25">
      <c r="A104" s="968"/>
      <c r="B104" s="968"/>
      <c r="C104" s="998"/>
      <c r="D104" s="968"/>
      <c r="E104" s="968"/>
      <c r="F104" s="968"/>
      <c r="G104" s="968"/>
      <c r="H104" s="968"/>
      <c r="I104" s="968"/>
      <c r="J104" s="968"/>
      <c r="K104" s="968"/>
      <c r="L104" s="968"/>
      <c r="M104" s="968"/>
      <c r="N104" s="968"/>
      <c r="O104" s="968"/>
      <c r="P104" s="968"/>
      <c r="Q104" s="968"/>
      <c r="R104" s="968"/>
      <c r="S104" s="968"/>
      <c r="T104" s="968"/>
      <c r="U104" s="968"/>
      <c r="V104" s="968"/>
      <c r="W104" s="968"/>
      <c r="X104" s="968"/>
    </row>
    <row r="105" spans="1:24" x14ac:dyDescent="0.25">
      <c r="A105" s="968"/>
      <c r="B105" s="968"/>
      <c r="C105" s="998"/>
      <c r="D105" s="968"/>
      <c r="E105" s="968"/>
      <c r="F105" s="968"/>
      <c r="G105" s="968"/>
      <c r="H105" s="968"/>
      <c r="I105" s="968"/>
      <c r="J105" s="968"/>
      <c r="K105" s="968"/>
      <c r="L105" s="968"/>
      <c r="M105" s="968"/>
      <c r="N105" s="968"/>
      <c r="O105" s="968"/>
      <c r="P105" s="968"/>
      <c r="Q105" s="968"/>
      <c r="R105" s="968"/>
      <c r="S105" s="968"/>
      <c r="T105" s="968"/>
      <c r="U105" s="968"/>
      <c r="V105" s="968"/>
      <c r="W105" s="968"/>
      <c r="X105" s="968"/>
    </row>
    <row r="106" spans="1:24" ht="23.25" customHeight="1" x14ac:dyDescent="0.25">
      <c r="A106" s="968"/>
      <c r="B106" s="968"/>
      <c r="C106" s="998"/>
      <c r="D106" s="968"/>
      <c r="E106" s="968"/>
      <c r="F106" s="968"/>
      <c r="G106" s="968"/>
      <c r="H106" s="968"/>
      <c r="I106" s="2042" t="s">
        <v>1664</v>
      </c>
      <c r="J106" s="2042"/>
      <c r="K106" s="2042"/>
      <c r="L106" s="2042">
        <v>427246149</v>
      </c>
      <c r="M106" s="2042"/>
      <c r="N106" s="996"/>
      <c r="O106" s="996"/>
      <c r="P106" s="996"/>
      <c r="Q106" s="996"/>
      <c r="R106" s="2042" t="s">
        <v>1665</v>
      </c>
      <c r="S106" s="2042"/>
      <c r="T106" s="2042"/>
      <c r="U106" s="2042">
        <v>427246149</v>
      </c>
      <c r="V106" s="2042"/>
      <c r="W106" s="968"/>
      <c r="X106" s="968"/>
    </row>
    <row r="107" spans="1:24" ht="22.5" customHeight="1" x14ac:dyDescent="0.25">
      <c r="A107" s="968"/>
      <c r="B107" s="968"/>
      <c r="C107" s="998"/>
      <c r="D107" s="968"/>
      <c r="E107" s="968"/>
      <c r="F107" s="968"/>
      <c r="G107" s="968"/>
      <c r="H107" s="968"/>
      <c r="I107" s="2042" t="s">
        <v>1666</v>
      </c>
      <c r="J107" s="2042"/>
      <c r="K107" s="2042"/>
      <c r="L107" s="2042">
        <f>SUM(H101:P101)</f>
        <v>30966758</v>
      </c>
      <c r="M107" s="2042"/>
      <c r="N107" s="996"/>
      <c r="O107" s="996"/>
      <c r="P107" s="996"/>
      <c r="Q107" s="996"/>
      <c r="R107" s="2042" t="s">
        <v>1666</v>
      </c>
      <c r="S107" s="2042"/>
      <c r="T107" s="2042"/>
      <c r="U107" s="2042">
        <f>SUM(Q101:X101)</f>
        <v>30966758</v>
      </c>
      <c r="V107" s="2042"/>
      <c r="W107" s="968"/>
      <c r="X107" s="968"/>
    </row>
    <row r="108" spans="1:24" ht="24" customHeight="1" x14ac:dyDescent="0.25">
      <c r="A108" s="968"/>
      <c r="B108" s="968"/>
      <c r="C108" s="998"/>
      <c r="D108" s="968"/>
      <c r="E108" s="968"/>
      <c r="F108" s="968"/>
      <c r="G108" s="968"/>
      <c r="H108" s="968"/>
      <c r="I108" s="2042" t="s">
        <v>1512</v>
      </c>
      <c r="J108" s="2042"/>
      <c r="K108" s="2042"/>
      <c r="L108" s="2042">
        <f>+L106+L107</f>
        <v>458212907</v>
      </c>
      <c r="M108" s="2042"/>
      <c r="N108" s="996"/>
      <c r="O108" s="996"/>
      <c r="P108" s="996"/>
      <c r="Q108" s="996"/>
      <c r="R108" s="2042" t="s">
        <v>1512</v>
      </c>
      <c r="S108" s="2042"/>
      <c r="T108" s="2042"/>
      <c r="U108" s="2042">
        <f>+U106+U107</f>
        <v>458212907</v>
      </c>
      <c r="V108" s="2042"/>
      <c r="W108" s="968"/>
      <c r="X108" s="968"/>
    </row>
    <row r="109" spans="1:24" x14ac:dyDescent="0.25">
      <c r="A109" s="968"/>
      <c r="B109" s="968"/>
      <c r="C109" s="998"/>
      <c r="D109" s="968"/>
      <c r="E109" s="968"/>
      <c r="F109" s="968"/>
      <c r="G109" s="968"/>
      <c r="H109" s="968"/>
      <c r="I109" s="968"/>
      <c r="J109" s="968"/>
      <c r="K109" s="968"/>
      <c r="L109" s="968"/>
      <c r="M109" s="968"/>
      <c r="N109" s="968"/>
      <c r="O109" s="968"/>
      <c r="P109" s="968"/>
      <c r="Q109" s="968"/>
      <c r="R109" s="968"/>
      <c r="S109" s="968"/>
      <c r="T109" s="968"/>
      <c r="U109" s="968"/>
      <c r="V109" s="968"/>
      <c r="W109" s="968"/>
      <c r="X109" s="968"/>
    </row>
    <row r="110" spans="1:24" x14ac:dyDescent="0.25">
      <c r="A110" s="968"/>
      <c r="B110" s="968"/>
      <c r="C110" s="998"/>
      <c r="D110" s="968"/>
      <c r="E110" s="968"/>
      <c r="F110" s="968"/>
      <c r="G110" s="968"/>
      <c r="H110" s="968"/>
      <c r="I110" s="968"/>
      <c r="J110" s="968"/>
      <c r="K110" s="968"/>
      <c r="L110" s="968"/>
      <c r="M110" s="968"/>
      <c r="N110" s="968"/>
      <c r="O110" s="968"/>
      <c r="P110" s="968"/>
      <c r="Q110" s="968"/>
      <c r="R110" s="968"/>
      <c r="S110" s="968"/>
      <c r="T110" s="968"/>
      <c r="U110" s="968"/>
      <c r="V110" s="968"/>
      <c r="W110" s="968"/>
      <c r="X110" s="968"/>
    </row>
    <row r="111" spans="1:24" x14ac:dyDescent="0.25">
      <c r="A111" s="968"/>
      <c r="B111" s="968"/>
      <c r="C111" s="998"/>
      <c r="D111" s="968"/>
      <c r="E111" s="968"/>
      <c r="F111" s="968"/>
      <c r="G111" s="968"/>
      <c r="H111" s="968"/>
      <c r="I111" s="968"/>
      <c r="J111" s="968"/>
      <c r="K111" s="968"/>
      <c r="L111" s="968"/>
      <c r="M111" s="968"/>
      <c r="N111" s="968"/>
      <c r="O111" s="968"/>
      <c r="P111" s="968"/>
      <c r="Q111" s="968"/>
      <c r="R111" s="968"/>
      <c r="S111" s="968"/>
      <c r="T111" s="968"/>
      <c r="U111" s="968"/>
      <c r="V111" s="968"/>
      <c r="W111" s="968"/>
      <c r="X111" s="968"/>
    </row>
    <row r="112" spans="1:24" x14ac:dyDescent="0.25">
      <c r="A112" s="968"/>
      <c r="B112" s="968"/>
      <c r="C112" s="998"/>
      <c r="D112" s="968"/>
      <c r="E112" s="968"/>
      <c r="F112" s="968"/>
      <c r="G112" s="968"/>
      <c r="H112" s="968"/>
      <c r="I112" s="968"/>
      <c r="J112" s="968"/>
      <c r="K112" s="968"/>
      <c r="L112" s="968"/>
      <c r="M112" s="968"/>
      <c r="N112" s="968"/>
      <c r="O112" s="968"/>
      <c r="P112" s="968"/>
      <c r="Q112" s="968"/>
      <c r="R112" s="968"/>
      <c r="S112" s="968"/>
      <c r="T112" s="968"/>
      <c r="U112" s="968"/>
      <c r="V112" s="968"/>
      <c r="W112" s="968"/>
      <c r="X112" s="968"/>
    </row>
    <row r="113" spans="1:24" ht="15.75" x14ac:dyDescent="0.25">
      <c r="A113" s="2010" t="s">
        <v>3372</v>
      </c>
      <c r="B113" s="2010"/>
      <c r="C113" s="2010"/>
      <c r="D113" s="2010"/>
      <c r="E113" s="2010"/>
      <c r="F113" s="2010"/>
      <c r="G113" s="2010"/>
      <c r="H113" s="2010"/>
      <c r="I113" s="2010"/>
      <c r="J113" s="2010"/>
      <c r="K113" s="2010"/>
      <c r="L113" s="2010"/>
      <c r="M113" s="2010"/>
      <c r="N113" s="2010"/>
      <c r="O113" s="2010"/>
      <c r="P113" s="2010"/>
      <c r="Q113" s="2010"/>
      <c r="R113" s="2010"/>
      <c r="S113" s="2010"/>
      <c r="T113" s="2010"/>
      <c r="U113" s="2010"/>
      <c r="V113" s="2010"/>
      <c r="W113" s="2010"/>
      <c r="X113" s="2010"/>
    </row>
    <row r="114" spans="1:24" ht="15.75" x14ac:dyDescent="0.25">
      <c r="A114" s="1246"/>
      <c r="B114" s="1246"/>
      <c r="C114" s="1246"/>
      <c r="D114" s="1246"/>
      <c r="E114" s="1246"/>
      <c r="F114" s="1246"/>
      <c r="G114" s="1246"/>
      <c r="H114" s="1246"/>
      <c r="I114" s="1246"/>
      <c r="J114" s="1246"/>
      <c r="K114" s="1246"/>
      <c r="L114" s="1246"/>
      <c r="M114" s="1246"/>
      <c r="N114" s="1246"/>
      <c r="O114" s="1246"/>
      <c r="P114" s="1246"/>
      <c r="Q114" s="1246"/>
      <c r="R114" s="1246"/>
      <c r="S114" s="1246"/>
      <c r="T114" s="1246"/>
      <c r="U114" s="1246"/>
      <c r="V114" s="1246"/>
      <c r="W114" s="1246"/>
      <c r="X114" s="1246"/>
    </row>
    <row r="115" spans="1:24" x14ac:dyDescent="0.25">
      <c r="A115" s="2055" t="s">
        <v>1708</v>
      </c>
      <c r="B115" s="2055"/>
      <c r="C115" s="2055"/>
      <c r="D115" s="2055"/>
      <c r="E115" s="2055"/>
      <c r="F115" s="2055"/>
      <c r="G115" s="2055"/>
      <c r="H115" s="2055"/>
      <c r="I115" s="2055"/>
      <c r="J115" s="2055"/>
      <c r="K115" s="2055"/>
      <c r="L115" s="2055"/>
      <c r="M115" s="2055"/>
      <c r="N115" s="2055"/>
      <c r="O115" s="2055"/>
      <c r="P115" s="2055"/>
      <c r="Q115" s="2055"/>
      <c r="R115" s="2055"/>
      <c r="S115" s="2055"/>
      <c r="T115" s="2055"/>
      <c r="U115" s="2055"/>
      <c r="V115" s="2055"/>
      <c r="W115" s="2055"/>
      <c r="X115" s="2055"/>
    </row>
    <row r="116" spans="1:24" ht="21" customHeight="1" x14ac:dyDescent="0.25">
      <c r="A116" s="968"/>
      <c r="B116" s="968"/>
      <c r="C116" s="998"/>
      <c r="D116" s="968"/>
      <c r="E116" s="968"/>
      <c r="F116" s="968"/>
      <c r="G116" s="968"/>
      <c r="H116" s="968"/>
      <c r="I116" s="968"/>
      <c r="J116" s="968"/>
      <c r="K116" s="968"/>
      <c r="L116" s="968"/>
      <c r="M116" s="968"/>
      <c r="N116" s="968"/>
      <c r="O116" s="968"/>
      <c r="P116" s="968"/>
      <c r="Q116" s="968"/>
      <c r="R116" s="968"/>
      <c r="S116" s="968"/>
      <c r="T116" s="968"/>
      <c r="U116" s="968"/>
      <c r="V116" s="968"/>
      <c r="W116" s="968"/>
      <c r="X116" s="968"/>
    </row>
    <row r="117" spans="1:24" ht="15" customHeight="1" x14ac:dyDescent="0.25">
      <c r="A117" s="2098" t="s">
        <v>37</v>
      </c>
      <c r="B117" s="1773" t="s">
        <v>1640</v>
      </c>
      <c r="C117" s="2097" t="s">
        <v>2</v>
      </c>
      <c r="D117" s="2099" t="s">
        <v>1641</v>
      </c>
      <c r="E117" s="2099" t="s">
        <v>116</v>
      </c>
      <c r="F117" s="2099" t="s">
        <v>1642</v>
      </c>
      <c r="G117" s="2099" t="s">
        <v>1643</v>
      </c>
      <c r="H117" s="2101" t="s">
        <v>1644</v>
      </c>
      <c r="I117" s="2101"/>
      <c r="J117" s="2101"/>
      <c r="K117" s="2101"/>
      <c r="L117" s="2101"/>
      <c r="M117" s="2101"/>
      <c r="N117" s="2101"/>
      <c r="O117" s="2102"/>
      <c r="P117" s="1251"/>
      <c r="Q117" s="2105" t="s">
        <v>1645</v>
      </c>
      <c r="R117" s="2101"/>
      <c r="S117" s="2101"/>
      <c r="T117" s="2101"/>
      <c r="U117" s="2101"/>
      <c r="V117" s="2101"/>
      <c r="W117" s="2101"/>
      <c r="X117" s="2104"/>
    </row>
    <row r="118" spans="1:24" ht="83.25" customHeight="1" x14ac:dyDescent="0.25">
      <c r="A118" s="2093"/>
      <c r="B118" s="1774"/>
      <c r="C118" s="2092"/>
      <c r="D118" s="2100"/>
      <c r="E118" s="2100"/>
      <c r="F118" s="2100"/>
      <c r="G118" s="2100"/>
      <c r="H118" s="1093" t="s">
        <v>1709</v>
      </c>
      <c r="I118" s="1093" t="s">
        <v>1710</v>
      </c>
      <c r="J118" s="1093" t="s">
        <v>1711</v>
      </c>
      <c r="K118" s="1093" t="s">
        <v>1670</v>
      </c>
      <c r="L118" s="1093" t="s">
        <v>1706</v>
      </c>
      <c r="M118" s="1093" t="s">
        <v>1672</v>
      </c>
      <c r="N118" s="1093" t="s">
        <v>1673</v>
      </c>
      <c r="O118" s="1093" t="s">
        <v>1653</v>
      </c>
      <c r="P118" s="1095" t="s">
        <v>1654</v>
      </c>
      <c r="Q118" s="1250" t="s">
        <v>1655</v>
      </c>
      <c r="R118" s="1032" t="s">
        <v>1656</v>
      </c>
      <c r="S118" s="1032" t="s">
        <v>1712</v>
      </c>
      <c r="T118" s="1032" t="s">
        <v>1713</v>
      </c>
      <c r="U118" s="1032" t="s">
        <v>1659</v>
      </c>
      <c r="V118" s="1032" t="s">
        <v>1660</v>
      </c>
      <c r="W118" s="1032" t="s">
        <v>1661</v>
      </c>
      <c r="X118" s="1034" t="s">
        <v>1714</v>
      </c>
    </row>
    <row r="119" spans="1:24" ht="20.25" customHeight="1" x14ac:dyDescent="0.25">
      <c r="A119" s="2098" t="s">
        <v>270</v>
      </c>
      <c r="B119" s="2097" t="s">
        <v>276</v>
      </c>
      <c r="C119" s="2096" t="s">
        <v>3086</v>
      </c>
      <c r="D119" s="974" t="s">
        <v>1815</v>
      </c>
      <c r="E119" s="1169" t="s">
        <v>571</v>
      </c>
      <c r="F119" s="1169" t="s">
        <v>90</v>
      </c>
      <c r="G119" s="1035" t="s">
        <v>1766</v>
      </c>
      <c r="H119" s="1036">
        <f>-1202453+1200000+2453</f>
        <v>0</v>
      </c>
      <c r="I119" s="1036"/>
      <c r="J119" s="1036"/>
      <c r="K119" s="1036"/>
      <c r="L119" s="1036"/>
      <c r="M119" s="1036"/>
      <c r="N119" s="1036"/>
      <c r="O119" s="1036"/>
      <c r="P119" s="1037"/>
      <c r="Q119" s="1451"/>
      <c r="R119" s="1036"/>
      <c r="S119" s="1036"/>
      <c r="T119" s="1036"/>
      <c r="U119" s="1036"/>
      <c r="V119" s="1036"/>
      <c r="W119" s="1036"/>
      <c r="X119" s="1037"/>
    </row>
    <row r="120" spans="1:24" ht="20.25" customHeight="1" x14ac:dyDescent="0.25">
      <c r="A120" s="2095"/>
      <c r="B120" s="2094"/>
      <c r="C120" s="2084"/>
      <c r="D120" s="978" t="s">
        <v>1815</v>
      </c>
      <c r="E120" s="1038" t="s">
        <v>561</v>
      </c>
      <c r="F120" s="1039" t="s">
        <v>131</v>
      </c>
      <c r="G120" s="1042" t="s">
        <v>1766</v>
      </c>
      <c r="H120" s="1040">
        <f>-21621198+11234205+10150000+136993+100000</f>
        <v>0</v>
      </c>
      <c r="I120" s="1040"/>
      <c r="J120" s="1040"/>
      <c r="K120" s="1040"/>
      <c r="L120" s="1040"/>
      <c r="M120" s="1040"/>
      <c r="N120" s="1040"/>
      <c r="O120" s="1040"/>
      <c r="P120" s="1041"/>
      <c r="Q120" s="1452"/>
      <c r="R120" s="1040"/>
      <c r="S120" s="1040"/>
      <c r="T120" s="1040"/>
      <c r="U120" s="1040"/>
      <c r="V120" s="1040"/>
      <c r="W120" s="1040"/>
      <c r="X120" s="1041"/>
    </row>
    <row r="121" spans="1:24" ht="20.25" customHeight="1" x14ac:dyDescent="0.25">
      <c r="A121" s="2095"/>
      <c r="B121" s="2094"/>
      <c r="C121" s="2084"/>
      <c r="D121" s="978" t="s">
        <v>1815</v>
      </c>
      <c r="E121" s="1038" t="s">
        <v>561</v>
      </c>
      <c r="F121" s="1039" t="s">
        <v>150</v>
      </c>
      <c r="G121" s="1042" t="s">
        <v>1766</v>
      </c>
      <c r="H121" s="1040">
        <f>-8624951+939951+7625000+60000</f>
        <v>0</v>
      </c>
      <c r="I121" s="1040"/>
      <c r="J121" s="1040"/>
      <c r="K121" s="1040"/>
      <c r="L121" s="1040"/>
      <c r="M121" s="1040"/>
      <c r="N121" s="1040"/>
      <c r="O121" s="1040"/>
      <c r="P121" s="1041"/>
      <c r="Q121" s="1452"/>
      <c r="R121" s="1040"/>
      <c r="S121" s="1040"/>
      <c r="T121" s="1040"/>
      <c r="U121" s="1040"/>
      <c r="V121" s="1040"/>
      <c r="W121" s="1040"/>
      <c r="X121" s="1041"/>
    </row>
    <row r="122" spans="1:24" ht="23.25" customHeight="1" x14ac:dyDescent="0.25">
      <c r="A122" s="2095" t="s">
        <v>271</v>
      </c>
      <c r="B122" s="2094" t="s">
        <v>277</v>
      </c>
      <c r="C122" s="2084" t="s">
        <v>3169</v>
      </c>
      <c r="D122" s="978" t="s">
        <v>1815</v>
      </c>
      <c r="E122" s="1038" t="s">
        <v>571</v>
      </c>
      <c r="F122" s="1039" t="s">
        <v>90</v>
      </c>
      <c r="G122" s="1042" t="s">
        <v>1754</v>
      </c>
      <c r="H122" s="1040"/>
      <c r="I122" s="1040"/>
      <c r="J122" s="1040">
        <f>320371+86537</f>
        <v>406908</v>
      </c>
      <c r="K122" s="1040"/>
      <c r="L122" s="1040"/>
      <c r="M122" s="1040"/>
      <c r="N122" s="1040"/>
      <c r="O122" s="1040"/>
      <c r="P122" s="1041"/>
      <c r="Q122" s="1452"/>
      <c r="R122" s="1040"/>
      <c r="S122" s="1040"/>
      <c r="T122" s="1040">
        <f>320371+86537</f>
        <v>406908</v>
      </c>
      <c r="U122" s="1040"/>
      <c r="V122" s="1040"/>
      <c r="W122" s="1040"/>
      <c r="X122" s="1041"/>
    </row>
    <row r="123" spans="1:24" ht="23.25" customHeight="1" x14ac:dyDescent="0.25">
      <c r="A123" s="2095"/>
      <c r="B123" s="2094"/>
      <c r="C123" s="2084"/>
      <c r="D123" s="978" t="s">
        <v>1815</v>
      </c>
      <c r="E123" s="1038" t="s">
        <v>561</v>
      </c>
      <c r="F123" s="1039" t="s">
        <v>150</v>
      </c>
      <c r="G123" s="1042" t="s">
        <v>1754</v>
      </c>
      <c r="H123" s="1040"/>
      <c r="I123" s="1040"/>
      <c r="J123" s="1040">
        <v>208266</v>
      </c>
      <c r="K123" s="1040"/>
      <c r="L123" s="1040"/>
      <c r="M123" s="1040"/>
      <c r="N123" s="1040"/>
      <c r="O123" s="1040"/>
      <c r="P123" s="1041"/>
      <c r="Q123" s="1452"/>
      <c r="R123" s="1040"/>
      <c r="S123" s="1040"/>
      <c r="T123" s="1040">
        <v>208266</v>
      </c>
      <c r="U123" s="1040"/>
      <c r="V123" s="1040"/>
      <c r="W123" s="1040"/>
      <c r="X123" s="1041"/>
    </row>
    <row r="124" spans="1:24" ht="18" customHeight="1" x14ac:dyDescent="0.25">
      <c r="A124" s="2095" t="s">
        <v>272</v>
      </c>
      <c r="B124" s="2094" t="s">
        <v>278</v>
      </c>
      <c r="C124" s="2084" t="s">
        <v>3237</v>
      </c>
      <c r="D124" s="978" t="s">
        <v>1815</v>
      </c>
      <c r="E124" s="1038" t="s">
        <v>1297</v>
      </c>
      <c r="F124" s="1039" t="s">
        <v>127</v>
      </c>
      <c r="G124" s="1042" t="s">
        <v>1754</v>
      </c>
      <c r="H124" s="1040"/>
      <c r="I124" s="1040"/>
      <c r="J124" s="1040"/>
      <c r="K124" s="1040"/>
      <c r="L124" s="1040"/>
      <c r="M124" s="1040"/>
      <c r="N124" s="1040"/>
      <c r="O124" s="1040"/>
      <c r="P124" s="1041"/>
      <c r="Q124" s="1452"/>
      <c r="R124" s="1040"/>
      <c r="S124" s="1040"/>
      <c r="T124" s="1040"/>
      <c r="U124" s="1040"/>
      <c r="V124" s="1040"/>
      <c r="W124" s="1040"/>
      <c r="X124" s="1041">
        <v>200000</v>
      </c>
    </row>
    <row r="125" spans="1:24" ht="17.25" customHeight="1" x14ac:dyDescent="0.25">
      <c r="A125" s="2095"/>
      <c r="B125" s="2094"/>
      <c r="C125" s="2084"/>
      <c r="D125" s="978" t="s">
        <v>1815</v>
      </c>
      <c r="E125" s="1038" t="s">
        <v>571</v>
      </c>
      <c r="F125" s="1039" t="s">
        <v>90</v>
      </c>
      <c r="G125" s="1042" t="s">
        <v>1754</v>
      </c>
      <c r="H125" s="1040">
        <v>200000</v>
      </c>
      <c r="I125" s="1040"/>
      <c r="J125" s="1040"/>
      <c r="K125" s="1040"/>
      <c r="L125" s="1040"/>
      <c r="M125" s="1040"/>
      <c r="N125" s="1040"/>
      <c r="O125" s="1040"/>
      <c r="P125" s="1041"/>
      <c r="Q125" s="1452"/>
      <c r="R125" s="1040"/>
      <c r="S125" s="1040"/>
      <c r="T125" s="1040"/>
      <c r="U125" s="1040"/>
      <c r="V125" s="1040"/>
      <c r="W125" s="1040"/>
      <c r="X125" s="1041"/>
    </row>
    <row r="126" spans="1:24" ht="17.25" customHeight="1" x14ac:dyDescent="0.25">
      <c r="A126" s="2095" t="s">
        <v>273</v>
      </c>
      <c r="B126" s="2094" t="s">
        <v>282</v>
      </c>
      <c r="C126" s="2084" t="s">
        <v>3241</v>
      </c>
      <c r="D126" s="978" t="s">
        <v>1815</v>
      </c>
      <c r="E126" s="1038" t="s">
        <v>571</v>
      </c>
      <c r="F126" s="1039" t="s">
        <v>90</v>
      </c>
      <c r="G126" s="1042" t="s">
        <v>1766</v>
      </c>
      <c r="H126" s="1040">
        <f>-82597+80000+2597</f>
        <v>0</v>
      </c>
      <c r="I126" s="1040"/>
      <c r="J126" s="1040"/>
      <c r="K126" s="1040"/>
      <c r="L126" s="1040"/>
      <c r="M126" s="1040"/>
      <c r="N126" s="1040"/>
      <c r="O126" s="1040"/>
      <c r="P126" s="1041"/>
      <c r="Q126" s="1452"/>
      <c r="R126" s="1040"/>
      <c r="S126" s="1040"/>
      <c r="T126" s="1040"/>
      <c r="U126" s="1040"/>
      <c r="V126" s="1040"/>
      <c r="W126" s="1040"/>
      <c r="X126" s="1041"/>
    </row>
    <row r="127" spans="1:24" ht="17.25" customHeight="1" x14ac:dyDescent="0.25">
      <c r="A127" s="2095"/>
      <c r="B127" s="2094"/>
      <c r="C127" s="2084"/>
      <c r="D127" s="978" t="s">
        <v>1815</v>
      </c>
      <c r="E127" s="1038" t="s">
        <v>561</v>
      </c>
      <c r="F127" s="1039" t="s">
        <v>131</v>
      </c>
      <c r="G127" s="1042" t="s">
        <v>1766</v>
      </c>
      <c r="H127" s="1040">
        <f>-11171162+103898+11067264</f>
        <v>0</v>
      </c>
      <c r="I127" s="1040"/>
      <c r="J127" s="1040"/>
      <c r="K127" s="1040"/>
      <c r="L127" s="1040"/>
      <c r="M127" s="1040"/>
      <c r="N127" s="1040"/>
      <c r="O127" s="1040"/>
      <c r="P127" s="1041"/>
      <c r="Q127" s="1452"/>
      <c r="R127" s="1040"/>
      <c r="S127" s="1040"/>
      <c r="T127" s="1040"/>
      <c r="U127" s="1040"/>
      <c r="V127" s="1040"/>
      <c r="W127" s="1040"/>
      <c r="X127" s="1041"/>
    </row>
    <row r="128" spans="1:24" ht="17.25" customHeight="1" x14ac:dyDescent="0.25">
      <c r="A128" s="2095"/>
      <c r="B128" s="2094"/>
      <c r="C128" s="2084"/>
      <c r="D128" s="978" t="s">
        <v>1815</v>
      </c>
      <c r="E128" s="1038" t="s">
        <v>561</v>
      </c>
      <c r="F128" s="1039" t="s">
        <v>150</v>
      </c>
      <c r="G128" s="1042" t="s">
        <v>1766</v>
      </c>
      <c r="H128" s="1040">
        <f>-8426051+8422913+3138</f>
        <v>0</v>
      </c>
      <c r="I128" s="1040"/>
      <c r="J128" s="1040"/>
      <c r="K128" s="1040"/>
      <c r="L128" s="1040"/>
      <c r="M128" s="1040"/>
      <c r="N128" s="1040"/>
      <c r="O128" s="1040"/>
      <c r="P128" s="1041"/>
      <c r="Q128" s="1452"/>
      <c r="R128" s="1040"/>
      <c r="S128" s="1040"/>
      <c r="T128" s="1040"/>
      <c r="U128" s="1040"/>
      <c r="V128" s="1040"/>
      <c r="W128" s="1040"/>
      <c r="X128" s="1041"/>
    </row>
    <row r="129" spans="1:24" ht="40.5" customHeight="1" x14ac:dyDescent="0.25">
      <c r="A129" s="1437" t="s">
        <v>274</v>
      </c>
      <c r="B129" s="1436" t="s">
        <v>284</v>
      </c>
      <c r="C129" s="1435" t="s">
        <v>3290</v>
      </c>
      <c r="D129" s="978" t="s">
        <v>1815</v>
      </c>
      <c r="E129" s="1038" t="s">
        <v>561</v>
      </c>
      <c r="F129" s="1039" t="s">
        <v>150</v>
      </c>
      <c r="G129" s="1042" t="s">
        <v>1766</v>
      </c>
      <c r="H129" s="1040"/>
      <c r="I129" s="1040"/>
      <c r="J129" s="1040">
        <f>-100000+100000</f>
        <v>0</v>
      </c>
      <c r="K129" s="1040"/>
      <c r="L129" s="1040"/>
      <c r="M129" s="1040"/>
      <c r="N129" s="1040"/>
      <c r="O129" s="1040"/>
      <c r="P129" s="1041"/>
      <c r="Q129" s="1452"/>
      <c r="R129" s="1040"/>
      <c r="S129" s="1040"/>
      <c r="T129" s="1040"/>
      <c r="U129" s="1040"/>
      <c r="V129" s="1040"/>
      <c r="W129" s="1040"/>
      <c r="X129" s="1041"/>
    </row>
    <row r="130" spans="1:24" ht="18.75" customHeight="1" x14ac:dyDescent="0.25">
      <c r="A130" s="2093" t="s">
        <v>275</v>
      </c>
      <c r="B130" s="2092" t="s">
        <v>283</v>
      </c>
      <c r="C130" s="2089" t="s">
        <v>3291</v>
      </c>
      <c r="D130" s="978" t="s">
        <v>1815</v>
      </c>
      <c r="E130" s="1038" t="s">
        <v>1297</v>
      </c>
      <c r="F130" s="1039" t="s">
        <v>127</v>
      </c>
      <c r="G130" s="1042" t="s">
        <v>1754</v>
      </c>
      <c r="H130" s="1040"/>
      <c r="I130" s="1040"/>
      <c r="J130" s="1040"/>
      <c r="K130" s="1040"/>
      <c r="L130" s="1040"/>
      <c r="M130" s="1040"/>
      <c r="N130" s="1040"/>
      <c r="O130" s="1040"/>
      <c r="P130" s="1041"/>
      <c r="Q130" s="1452"/>
      <c r="R130" s="1040"/>
      <c r="S130" s="1040"/>
      <c r="T130" s="1040"/>
      <c r="U130" s="1040"/>
      <c r="V130" s="1040"/>
      <c r="W130" s="1040"/>
      <c r="X130" s="1041">
        <v>889000</v>
      </c>
    </row>
    <row r="131" spans="1:24" ht="18.75" customHeight="1" x14ac:dyDescent="0.25">
      <c r="A131" s="2088"/>
      <c r="B131" s="2086"/>
      <c r="C131" s="2091"/>
      <c r="D131" s="978" t="s">
        <v>1815</v>
      </c>
      <c r="E131" s="1038" t="s">
        <v>561</v>
      </c>
      <c r="F131" s="1039" t="s">
        <v>150</v>
      </c>
      <c r="G131" s="1042" t="s">
        <v>1754</v>
      </c>
      <c r="H131" s="1040"/>
      <c r="I131" s="1040"/>
      <c r="J131" s="1040">
        <f>700000+189000</f>
        <v>889000</v>
      </c>
      <c r="K131" s="1040"/>
      <c r="L131" s="1040"/>
      <c r="M131" s="1040"/>
      <c r="N131" s="1040"/>
      <c r="O131" s="1040"/>
      <c r="P131" s="1041"/>
      <c r="Q131" s="1452"/>
      <c r="R131" s="1040"/>
      <c r="S131" s="1040"/>
      <c r="T131" s="1040"/>
      <c r="U131" s="1040"/>
      <c r="V131" s="1040"/>
      <c r="W131" s="1040"/>
      <c r="X131" s="1041"/>
    </row>
    <row r="132" spans="1:24" ht="17.25" customHeight="1" x14ac:dyDescent="0.25">
      <c r="A132" s="2093" t="s">
        <v>276</v>
      </c>
      <c r="B132" s="2092" t="s">
        <v>285</v>
      </c>
      <c r="C132" s="2084" t="s">
        <v>3369</v>
      </c>
      <c r="D132" s="978" t="s">
        <v>1815</v>
      </c>
      <c r="E132" s="1038" t="s">
        <v>571</v>
      </c>
      <c r="F132" s="1039" t="s">
        <v>90</v>
      </c>
      <c r="G132" s="1042" t="s">
        <v>1754</v>
      </c>
      <c r="H132" s="1040"/>
      <c r="I132" s="1040"/>
      <c r="J132" s="1040">
        <f>1000000+270000</f>
        <v>1270000</v>
      </c>
      <c r="K132" s="1040"/>
      <c r="L132" s="1040"/>
      <c r="M132" s="1040"/>
      <c r="N132" s="1040"/>
      <c r="O132" s="1040"/>
      <c r="P132" s="1041"/>
      <c r="Q132" s="1452"/>
      <c r="R132" s="1040"/>
      <c r="S132" s="1040"/>
      <c r="T132" s="1040">
        <f>1000000+270000</f>
        <v>1270000</v>
      </c>
      <c r="U132" s="1040"/>
      <c r="V132" s="1040"/>
      <c r="W132" s="1040"/>
      <c r="X132" s="1041"/>
    </row>
    <row r="133" spans="1:24" ht="17.25" customHeight="1" x14ac:dyDescent="0.25">
      <c r="A133" s="2087"/>
      <c r="B133" s="2085"/>
      <c r="C133" s="2084"/>
      <c r="D133" s="978" t="s">
        <v>1815</v>
      </c>
      <c r="E133" s="1038" t="s">
        <v>561</v>
      </c>
      <c r="F133" s="1039" t="s">
        <v>131</v>
      </c>
      <c r="G133" s="1042" t="s">
        <v>1754</v>
      </c>
      <c r="H133" s="1040"/>
      <c r="I133" s="1040"/>
      <c r="J133" s="1040">
        <v>200000</v>
      </c>
      <c r="K133" s="1040"/>
      <c r="L133" s="1040"/>
      <c r="M133" s="1040"/>
      <c r="N133" s="1040"/>
      <c r="O133" s="1040"/>
      <c r="P133" s="1041"/>
      <c r="Q133" s="1452"/>
      <c r="R133" s="1040"/>
      <c r="S133" s="1040"/>
      <c r="T133" s="1040">
        <v>200000</v>
      </c>
      <c r="U133" s="1040"/>
      <c r="V133" s="1040"/>
      <c r="W133" s="1040"/>
      <c r="X133" s="1041"/>
    </row>
    <row r="134" spans="1:24" ht="17.25" customHeight="1" x14ac:dyDescent="0.25">
      <c r="A134" s="2088"/>
      <c r="B134" s="2086"/>
      <c r="C134" s="2084"/>
      <c r="D134" s="978" t="s">
        <v>1815</v>
      </c>
      <c r="E134" s="1038" t="s">
        <v>561</v>
      </c>
      <c r="F134" s="1039" t="s">
        <v>150</v>
      </c>
      <c r="G134" s="1042" t="s">
        <v>1754</v>
      </c>
      <c r="H134" s="1040"/>
      <c r="I134" s="1040"/>
      <c r="J134" s="1040">
        <v>700000</v>
      </c>
      <c r="K134" s="1040"/>
      <c r="L134" s="1040"/>
      <c r="M134" s="1040"/>
      <c r="N134" s="1040"/>
      <c r="O134" s="1040"/>
      <c r="P134" s="1041"/>
      <c r="Q134" s="1452"/>
      <c r="R134" s="1040"/>
      <c r="S134" s="1040"/>
      <c r="T134" s="1040">
        <v>700000</v>
      </c>
      <c r="U134" s="1040"/>
      <c r="V134" s="1040"/>
      <c r="W134" s="1040"/>
      <c r="X134" s="1041"/>
    </row>
    <row r="135" spans="1:24" ht="21" customHeight="1" x14ac:dyDescent="0.25">
      <c r="A135" s="2093" t="s">
        <v>277</v>
      </c>
      <c r="B135" s="2092" t="s">
        <v>286</v>
      </c>
      <c r="C135" s="2084" t="s">
        <v>3375</v>
      </c>
      <c r="D135" s="1368" t="s">
        <v>1815</v>
      </c>
      <c r="E135" s="1527" t="s">
        <v>571</v>
      </c>
      <c r="F135" s="1385" t="s">
        <v>90</v>
      </c>
      <c r="G135" s="1528" t="s">
        <v>1766</v>
      </c>
      <c r="H135" s="1386">
        <f>-3030+3030</f>
        <v>0</v>
      </c>
      <c r="I135" s="1040"/>
      <c r="J135" s="1040"/>
      <c r="K135" s="1040"/>
      <c r="L135" s="1040"/>
      <c r="M135" s="1040"/>
      <c r="N135" s="1040"/>
      <c r="O135" s="1040"/>
      <c r="P135" s="1041"/>
      <c r="Q135" s="1452"/>
      <c r="R135" s="1040"/>
      <c r="S135" s="1040"/>
      <c r="T135" s="1040"/>
      <c r="U135" s="1040"/>
      <c r="V135" s="1040"/>
      <c r="W135" s="1040"/>
      <c r="X135" s="1041"/>
    </row>
    <row r="136" spans="1:24" ht="21" customHeight="1" x14ac:dyDescent="0.25">
      <c r="A136" s="2087"/>
      <c r="B136" s="2085"/>
      <c r="C136" s="2084"/>
      <c r="D136" s="1368" t="s">
        <v>1815</v>
      </c>
      <c r="E136" s="1527" t="s">
        <v>561</v>
      </c>
      <c r="F136" s="1385" t="s">
        <v>131</v>
      </c>
      <c r="G136" s="1528" t="s">
        <v>1766</v>
      </c>
      <c r="H136" s="1386">
        <f>-11536492+11243422+93070+200000</f>
        <v>0</v>
      </c>
      <c r="I136" s="1040"/>
      <c r="J136" s="1040"/>
      <c r="K136" s="1040"/>
      <c r="L136" s="1040"/>
      <c r="M136" s="1040"/>
      <c r="N136" s="1040"/>
      <c r="O136" s="1040"/>
      <c r="P136" s="1041"/>
      <c r="Q136" s="1452"/>
      <c r="R136" s="1040"/>
      <c r="S136" s="1040"/>
      <c r="T136" s="1040"/>
      <c r="U136" s="1040"/>
      <c r="V136" s="1040"/>
      <c r="W136" s="1040"/>
      <c r="X136" s="1041"/>
    </row>
    <row r="137" spans="1:24" ht="21" customHeight="1" x14ac:dyDescent="0.25">
      <c r="A137" s="2087"/>
      <c r="B137" s="2085"/>
      <c r="C137" s="2084"/>
      <c r="D137" s="1368" t="s">
        <v>1815</v>
      </c>
      <c r="E137" s="1527" t="s">
        <v>561</v>
      </c>
      <c r="F137" s="1385" t="s">
        <v>150</v>
      </c>
      <c r="G137" s="1528" t="s">
        <v>1766</v>
      </c>
      <c r="H137" s="1386">
        <f>-8498618+8422136+76482</f>
        <v>0</v>
      </c>
      <c r="I137" s="1040"/>
      <c r="J137" s="1040"/>
      <c r="K137" s="1040"/>
      <c r="L137" s="1040"/>
      <c r="M137" s="1040"/>
      <c r="N137" s="1040"/>
      <c r="O137" s="1040"/>
      <c r="P137" s="1041"/>
      <c r="Q137" s="1452"/>
      <c r="R137" s="1040"/>
      <c r="S137" s="1040"/>
      <c r="T137" s="1040"/>
      <c r="U137" s="1040"/>
      <c r="V137" s="1040"/>
      <c r="W137" s="1040"/>
      <c r="X137" s="1041"/>
    </row>
    <row r="138" spans="1:24" ht="29.25" customHeight="1" x14ac:dyDescent="0.25">
      <c r="A138" s="1590" t="s">
        <v>278</v>
      </c>
      <c r="B138" s="1588" t="s">
        <v>194</v>
      </c>
      <c r="C138" s="1435" t="s">
        <v>3451</v>
      </c>
      <c r="D138" s="1368" t="s">
        <v>1815</v>
      </c>
      <c r="E138" s="1527" t="s">
        <v>571</v>
      </c>
      <c r="F138" s="1385" t="s">
        <v>90</v>
      </c>
      <c r="G138" s="1528" t="s">
        <v>1766</v>
      </c>
      <c r="H138" s="1386"/>
      <c r="I138" s="1040"/>
      <c r="J138" s="1040">
        <f>-16220+16220</f>
        <v>0</v>
      </c>
      <c r="K138" s="1040"/>
      <c r="L138" s="1040"/>
      <c r="M138" s="1040"/>
      <c r="N138" s="1040"/>
      <c r="O138" s="1040"/>
      <c r="P138" s="1041"/>
      <c r="Q138" s="1452"/>
      <c r="R138" s="1040"/>
      <c r="S138" s="1040"/>
      <c r="T138" s="1040"/>
      <c r="U138" s="1040"/>
      <c r="V138" s="1040"/>
      <c r="W138" s="1040"/>
      <c r="X138" s="1041"/>
    </row>
    <row r="139" spans="1:24" ht="22.5" customHeight="1" x14ac:dyDescent="0.25">
      <c r="A139" s="2087" t="s">
        <v>282</v>
      </c>
      <c r="B139" s="2085" t="s">
        <v>195</v>
      </c>
      <c r="C139" s="2084" t="s">
        <v>3489</v>
      </c>
      <c r="D139" s="1368" t="s">
        <v>1815</v>
      </c>
      <c r="E139" s="1527" t="s">
        <v>571</v>
      </c>
      <c r="F139" s="1385" t="s">
        <v>90</v>
      </c>
      <c r="G139" s="1528" t="s">
        <v>1754</v>
      </c>
      <c r="H139" s="1386"/>
      <c r="I139" s="1040"/>
      <c r="J139" s="1040">
        <f>153110+41340</f>
        <v>194450</v>
      </c>
      <c r="K139" s="1040"/>
      <c r="L139" s="1040"/>
      <c r="M139" s="1040"/>
      <c r="N139" s="1040"/>
      <c r="O139" s="1040"/>
      <c r="P139" s="1041"/>
      <c r="Q139" s="1452"/>
      <c r="R139" s="1040"/>
      <c r="S139" s="1040"/>
      <c r="T139" s="1040">
        <f>153110+41340</f>
        <v>194450</v>
      </c>
      <c r="U139" s="1040"/>
      <c r="V139" s="1040"/>
      <c r="W139" s="1040"/>
      <c r="X139" s="1041"/>
    </row>
    <row r="140" spans="1:24" ht="22.5" customHeight="1" x14ac:dyDescent="0.25">
      <c r="A140" s="2088"/>
      <c r="B140" s="2086"/>
      <c r="C140" s="2084"/>
      <c r="D140" s="1368" t="s">
        <v>1815</v>
      </c>
      <c r="E140" s="1527" t="s">
        <v>561</v>
      </c>
      <c r="F140" s="1385" t="s">
        <v>131</v>
      </c>
      <c r="G140" s="1528" t="s">
        <v>1754</v>
      </c>
      <c r="H140" s="1386"/>
      <c r="I140" s="1040"/>
      <c r="J140" s="1040">
        <v>110050</v>
      </c>
      <c r="K140" s="1040"/>
      <c r="L140" s="1040"/>
      <c r="M140" s="1040"/>
      <c r="N140" s="1040"/>
      <c r="O140" s="1040"/>
      <c r="P140" s="1041"/>
      <c r="Q140" s="1452"/>
      <c r="R140" s="1040"/>
      <c r="S140" s="1040"/>
      <c r="T140" s="1040">
        <v>110050</v>
      </c>
      <c r="U140" s="1040"/>
      <c r="V140" s="1040"/>
      <c r="W140" s="1040"/>
      <c r="X140" s="1041"/>
    </row>
    <row r="141" spans="1:24" ht="28.5" customHeight="1" x14ac:dyDescent="0.25">
      <c r="A141" s="1589" t="s">
        <v>283</v>
      </c>
      <c r="B141" s="1587" t="s">
        <v>196</v>
      </c>
      <c r="C141" s="1526" t="s">
        <v>3528</v>
      </c>
      <c r="D141" s="1368" t="s">
        <v>1815</v>
      </c>
      <c r="E141" s="1527" t="s">
        <v>561</v>
      </c>
      <c r="F141" s="1385" t="s">
        <v>131</v>
      </c>
      <c r="G141" s="1528" t="s">
        <v>1766</v>
      </c>
      <c r="H141" s="1386">
        <f>-133000+133000</f>
        <v>0</v>
      </c>
      <c r="I141" s="1040"/>
      <c r="J141" s="1040"/>
      <c r="K141" s="1040"/>
      <c r="L141" s="1040"/>
      <c r="M141" s="1040"/>
      <c r="N141" s="1040"/>
      <c r="O141" s="1040"/>
      <c r="P141" s="1041"/>
      <c r="Q141" s="1452"/>
      <c r="R141" s="1040"/>
      <c r="S141" s="1040"/>
      <c r="T141" s="1040"/>
      <c r="U141" s="1040"/>
      <c r="V141" s="1040"/>
      <c r="W141" s="1040"/>
      <c r="X141" s="1041"/>
    </row>
    <row r="142" spans="1:24" ht="20.25" customHeight="1" x14ac:dyDescent="0.25">
      <c r="A142" s="2093" t="s">
        <v>284</v>
      </c>
      <c r="B142" s="2092" t="s">
        <v>197</v>
      </c>
      <c r="C142" s="2089" t="s">
        <v>3537</v>
      </c>
      <c r="D142" s="1368" t="s">
        <v>1815</v>
      </c>
      <c r="E142" s="1527" t="s">
        <v>571</v>
      </c>
      <c r="F142" s="1385" t="s">
        <v>90</v>
      </c>
      <c r="G142" s="1528" t="s">
        <v>1766</v>
      </c>
      <c r="H142" s="1386"/>
      <c r="I142" s="1040"/>
      <c r="J142" s="1040">
        <v>187302</v>
      </c>
      <c r="K142" s="1040"/>
      <c r="L142" s="1040"/>
      <c r="M142" s="1040"/>
      <c r="N142" s="1040"/>
      <c r="O142" s="1040"/>
      <c r="P142" s="1041"/>
      <c r="Q142" s="1452"/>
      <c r="R142" s="1040"/>
      <c r="S142" s="1040"/>
      <c r="T142" s="1040">
        <f>147559+39841-98</f>
        <v>187302</v>
      </c>
      <c r="U142" s="1040"/>
      <c r="V142" s="1040"/>
      <c r="W142" s="1040"/>
      <c r="X142" s="1041"/>
    </row>
    <row r="143" spans="1:24" ht="20.25" customHeight="1" x14ac:dyDescent="0.25">
      <c r="A143" s="2087"/>
      <c r="B143" s="2085"/>
      <c r="C143" s="2090"/>
      <c r="D143" s="1368" t="s">
        <v>1815</v>
      </c>
      <c r="E143" s="1527" t="s">
        <v>561</v>
      </c>
      <c r="F143" s="1385" t="s">
        <v>131</v>
      </c>
      <c r="G143" s="1528" t="s">
        <v>1766</v>
      </c>
      <c r="H143" s="1386"/>
      <c r="I143" s="1040"/>
      <c r="J143" s="1040">
        <v>217265</v>
      </c>
      <c r="K143" s="1040"/>
      <c r="L143" s="1040"/>
      <c r="M143" s="1040"/>
      <c r="N143" s="1040"/>
      <c r="O143" s="1040"/>
      <c r="P143" s="1041"/>
      <c r="Q143" s="1452"/>
      <c r="R143" s="1040"/>
      <c r="S143" s="1040"/>
      <c r="T143" s="1040">
        <f>217350-85</f>
        <v>217265</v>
      </c>
      <c r="U143" s="1040"/>
      <c r="V143" s="1040"/>
      <c r="W143" s="1040"/>
      <c r="X143" s="1041"/>
    </row>
    <row r="144" spans="1:24" ht="20.25" customHeight="1" x14ac:dyDescent="0.25">
      <c r="A144" s="2088"/>
      <c r="B144" s="2086"/>
      <c r="C144" s="2091"/>
      <c r="D144" s="1368" t="s">
        <v>1815</v>
      </c>
      <c r="E144" s="1527" t="s">
        <v>561</v>
      </c>
      <c r="F144" s="1385" t="s">
        <v>150</v>
      </c>
      <c r="G144" s="1528" t="s">
        <v>1754</v>
      </c>
      <c r="H144" s="1386"/>
      <c r="I144" s="1040"/>
      <c r="J144" s="1040">
        <v>65450</v>
      </c>
      <c r="K144" s="1040"/>
      <c r="L144" s="1040"/>
      <c r="M144" s="1040"/>
      <c r="N144" s="1040"/>
      <c r="O144" s="1040"/>
      <c r="P144" s="1041"/>
      <c r="Q144" s="1452"/>
      <c r="R144" s="1040"/>
      <c r="S144" s="1040"/>
      <c r="T144" s="1040">
        <v>65450</v>
      </c>
      <c r="U144" s="1040"/>
      <c r="V144" s="1040"/>
      <c r="W144" s="1040"/>
      <c r="X144" s="1041"/>
    </row>
    <row r="145" spans="1:24" x14ac:dyDescent="0.25">
      <c r="A145" s="1324"/>
      <c r="B145" s="1325"/>
      <c r="C145" s="1043"/>
      <c r="D145" s="983"/>
      <c r="E145" s="1329"/>
      <c r="F145" s="1044"/>
      <c r="G145" s="1045"/>
      <c r="H145" s="1046"/>
      <c r="I145" s="1040"/>
      <c r="J145" s="1040"/>
      <c r="K145" s="1040"/>
      <c r="L145" s="1040"/>
      <c r="M145" s="1040"/>
      <c r="N145" s="1040"/>
      <c r="O145" s="1040"/>
      <c r="P145" s="1041"/>
      <c r="Q145" s="1452"/>
      <c r="R145" s="1040"/>
      <c r="S145" s="1040"/>
      <c r="T145" s="1040"/>
      <c r="U145" s="1040"/>
      <c r="V145" s="1040"/>
      <c r="W145" s="1040"/>
      <c r="X145" s="1041"/>
    </row>
    <row r="146" spans="1:24" ht="18.75" x14ac:dyDescent="0.3">
      <c r="A146" s="2021" t="s">
        <v>1663</v>
      </c>
      <c r="B146" s="2022"/>
      <c r="C146" s="2022"/>
      <c r="D146" s="956"/>
      <c r="E146" s="956"/>
      <c r="F146" s="956"/>
      <c r="G146" s="956"/>
      <c r="H146" s="1595">
        <f t="shared" ref="H146:X146" si="3">SUM(H119:H145)+H101</f>
        <v>5675000</v>
      </c>
      <c r="I146" s="1595">
        <f t="shared" si="3"/>
        <v>685750</v>
      </c>
      <c r="J146" s="1595">
        <f t="shared" si="3"/>
        <v>6582392</v>
      </c>
      <c r="K146" s="1595">
        <f t="shared" si="3"/>
        <v>0</v>
      </c>
      <c r="L146" s="1595">
        <f t="shared" si="3"/>
        <v>19044359</v>
      </c>
      <c r="M146" s="1595">
        <f t="shared" si="3"/>
        <v>3627948</v>
      </c>
      <c r="N146" s="1595">
        <f t="shared" si="3"/>
        <v>0</v>
      </c>
      <c r="O146" s="1595">
        <f t="shared" si="3"/>
        <v>0</v>
      </c>
      <c r="P146" s="1596">
        <f t="shared" si="3"/>
        <v>0</v>
      </c>
      <c r="Q146" s="1597">
        <f t="shared" si="3"/>
        <v>0</v>
      </c>
      <c r="R146" s="1595">
        <f t="shared" si="3"/>
        <v>0</v>
      </c>
      <c r="S146" s="1595">
        <f t="shared" si="3"/>
        <v>0</v>
      </c>
      <c r="T146" s="1595">
        <f t="shared" si="3"/>
        <v>5585442</v>
      </c>
      <c r="U146" s="1595">
        <f t="shared" si="3"/>
        <v>0</v>
      </c>
      <c r="V146" s="1595">
        <f t="shared" si="3"/>
        <v>0</v>
      </c>
      <c r="W146" s="1595">
        <f t="shared" si="3"/>
        <v>0</v>
      </c>
      <c r="X146" s="1596">
        <f t="shared" si="3"/>
        <v>30030007</v>
      </c>
    </row>
    <row r="147" spans="1:24" ht="19.5" customHeight="1" x14ac:dyDescent="0.25">
      <c r="A147" s="968"/>
      <c r="B147" s="968"/>
      <c r="C147" s="998"/>
      <c r="D147" s="968"/>
      <c r="E147" s="968"/>
      <c r="F147" s="968"/>
      <c r="G147" s="968"/>
      <c r="H147" s="1052">
        <f>'2.4. sz. Bölcsőde'!O9-'2.4. sz. Bölcsőde'!N9</f>
        <v>5675000</v>
      </c>
      <c r="I147" s="1052">
        <f>'2.4. sz. Bölcsőde'!O10-'2.4. sz. Bölcsőde'!N10</f>
        <v>685750</v>
      </c>
      <c r="J147" s="1052">
        <f>'2.4. sz. Bölcsőde'!O11-'2.4. sz. Bölcsőde'!N11</f>
        <v>6582392</v>
      </c>
      <c r="K147" s="1052">
        <f>'2.4. sz. Bölcsőde'!O12-'2.4. sz. Bölcsőde'!N12</f>
        <v>0</v>
      </c>
      <c r="L147" s="1052">
        <f>'2.4. sz. Bölcsőde'!O13-'2.4. sz. Bölcsőde'!N13</f>
        <v>19044359</v>
      </c>
      <c r="M147" s="1052">
        <f>'2.4. sz. Bölcsőde'!O17-'2.4. sz. Bölcsőde'!N17</f>
        <v>3627948</v>
      </c>
      <c r="N147" s="1052">
        <f>'2.4. sz. Bölcsőde'!O18-'2.4. sz. Bölcsőde'!N18</f>
        <v>0</v>
      </c>
      <c r="O147" s="1052">
        <f>'2.4. sz. Bölcsőde'!O19-'2.4. sz. Bölcsőde'!N19</f>
        <v>0</v>
      </c>
      <c r="P147" s="1052">
        <f>'2.4. sz. Bölcsőde'!O22-'2.4. sz. Bölcsőde'!N22</f>
        <v>0</v>
      </c>
      <c r="Q147" s="1052">
        <f>'2.4. sz. Bölcsőde'!O31-'2.4. sz. Bölcsőde'!N31</f>
        <v>0</v>
      </c>
      <c r="R147" s="1052">
        <f>'2.4. sz. Bölcsőde'!O32-'2.4. sz. Bölcsőde'!N32</f>
        <v>0</v>
      </c>
      <c r="S147" s="1052">
        <f>'2.4. sz. Bölcsőde'!O33-'2.4. sz. Bölcsőde'!N33</f>
        <v>0</v>
      </c>
      <c r="T147" s="1052">
        <f>'2.4. sz. Bölcsőde'!O34-'2.4. sz. Bölcsőde'!N34</f>
        <v>5585442</v>
      </c>
      <c r="U147" s="1052">
        <f>'2.4. sz. Bölcsőde'!O35-'2.4. sz. Bölcsőde'!N35</f>
        <v>0</v>
      </c>
      <c r="V147" s="1052">
        <f>'2.4. sz. Bölcsőde'!O36-'2.4. sz. Bölcsőde'!N36</f>
        <v>0</v>
      </c>
      <c r="W147" s="1052">
        <f>'2.4. sz. Bölcsőde'!O37-'2.4. sz. Bölcsőde'!N37</f>
        <v>0</v>
      </c>
      <c r="X147" s="1052">
        <f>'2.4. sz. Bölcsőde'!O39-'2.4. sz. Bölcsőde'!N39</f>
        <v>30030007</v>
      </c>
    </row>
    <row r="148" spans="1:24" ht="18" customHeight="1" x14ac:dyDescent="0.25">
      <c r="A148" s="968"/>
      <c r="B148" s="968"/>
      <c r="C148" s="998"/>
      <c r="D148" s="968"/>
      <c r="E148" s="968"/>
      <c r="F148" s="968"/>
      <c r="G148" s="968"/>
      <c r="H148" s="1052">
        <f>+H147-H146</f>
        <v>0</v>
      </c>
      <c r="I148" s="1052">
        <f>+I147-I146</f>
        <v>0</v>
      </c>
      <c r="J148" s="1052">
        <f>+J147-J146</f>
        <v>0</v>
      </c>
      <c r="K148" s="1052">
        <f t="shared" ref="K148:X148" si="4">+K147-K146</f>
        <v>0</v>
      </c>
      <c r="L148" s="1052">
        <f t="shared" si="4"/>
        <v>0</v>
      </c>
      <c r="M148" s="1052">
        <f t="shared" si="4"/>
        <v>0</v>
      </c>
      <c r="N148" s="1052">
        <f t="shared" si="4"/>
        <v>0</v>
      </c>
      <c r="O148" s="1052">
        <f t="shared" si="4"/>
        <v>0</v>
      </c>
      <c r="P148" s="1052">
        <f t="shared" si="4"/>
        <v>0</v>
      </c>
      <c r="Q148" s="1052">
        <f t="shared" si="4"/>
        <v>0</v>
      </c>
      <c r="R148" s="1052">
        <f t="shared" si="4"/>
        <v>0</v>
      </c>
      <c r="S148" s="1052">
        <f t="shared" si="4"/>
        <v>0</v>
      </c>
      <c r="T148" s="1052">
        <f t="shared" si="4"/>
        <v>0</v>
      </c>
      <c r="U148" s="1052">
        <f t="shared" si="4"/>
        <v>0</v>
      </c>
      <c r="V148" s="1052">
        <f t="shared" si="4"/>
        <v>0</v>
      </c>
      <c r="W148" s="1052">
        <f t="shared" si="4"/>
        <v>0</v>
      </c>
      <c r="X148" s="1052">
        <f t="shared" si="4"/>
        <v>0</v>
      </c>
    </row>
    <row r="149" spans="1:24" x14ac:dyDescent="0.25">
      <c r="A149" s="968"/>
      <c r="B149" s="968"/>
      <c r="C149" s="998"/>
      <c r="D149" s="968"/>
      <c r="E149" s="968"/>
      <c r="F149" s="968"/>
      <c r="G149" s="968"/>
      <c r="H149" s="968"/>
      <c r="I149" s="968"/>
      <c r="J149" s="968"/>
      <c r="K149" s="968"/>
      <c r="L149" s="968"/>
      <c r="M149" s="968"/>
      <c r="N149" s="968"/>
      <c r="O149" s="968"/>
      <c r="P149" s="968"/>
      <c r="Q149" s="968"/>
      <c r="R149" s="968"/>
      <c r="S149" s="968"/>
      <c r="T149" s="968"/>
      <c r="U149" s="968"/>
      <c r="V149" s="968"/>
      <c r="W149" s="968"/>
      <c r="X149" s="968"/>
    </row>
    <row r="150" spans="1:24" x14ac:dyDescent="0.25">
      <c r="A150" s="968"/>
      <c r="B150" s="968"/>
      <c r="C150" s="998"/>
      <c r="D150" s="968"/>
      <c r="E150" s="968"/>
      <c r="F150" s="968"/>
      <c r="G150" s="968"/>
      <c r="H150" s="968"/>
      <c r="I150" s="968"/>
      <c r="J150" s="968"/>
      <c r="K150" s="968"/>
      <c r="L150" s="968"/>
      <c r="M150" s="968"/>
      <c r="N150" s="968"/>
      <c r="O150" s="968"/>
      <c r="P150" s="968"/>
      <c r="Q150" s="968"/>
      <c r="R150" s="968"/>
      <c r="S150" s="968"/>
      <c r="T150" s="968"/>
      <c r="U150" s="968"/>
      <c r="V150" s="968"/>
      <c r="W150" s="968"/>
      <c r="X150" s="968"/>
    </row>
    <row r="151" spans="1:24" ht="21" customHeight="1" x14ac:dyDescent="0.25">
      <c r="A151" s="968"/>
      <c r="B151" s="968"/>
      <c r="C151" s="998"/>
      <c r="D151" s="968"/>
      <c r="E151" s="968"/>
      <c r="F151" s="968"/>
      <c r="G151" s="968"/>
      <c r="H151" s="968"/>
      <c r="I151" s="2042" t="s">
        <v>1664</v>
      </c>
      <c r="J151" s="2042"/>
      <c r="K151" s="2042"/>
      <c r="L151" s="2042">
        <v>427246149</v>
      </c>
      <c r="M151" s="2042"/>
      <c r="N151" s="996"/>
      <c r="O151" s="996"/>
      <c r="P151" s="996"/>
      <c r="Q151" s="996"/>
      <c r="R151" s="2042" t="s">
        <v>1665</v>
      </c>
      <c r="S151" s="2042"/>
      <c r="T151" s="2042"/>
      <c r="U151" s="2042">
        <v>427246149</v>
      </c>
      <c r="V151" s="2042"/>
      <c r="W151" s="968"/>
      <c r="X151" s="968"/>
    </row>
    <row r="152" spans="1:24" ht="21" customHeight="1" x14ac:dyDescent="0.25">
      <c r="A152" s="968"/>
      <c r="B152" s="968"/>
      <c r="C152" s="998"/>
      <c r="D152" s="968"/>
      <c r="E152" s="968"/>
      <c r="F152" s="968"/>
      <c r="G152" s="968"/>
      <c r="H152" s="968"/>
      <c r="I152" s="2042" t="s">
        <v>1666</v>
      </c>
      <c r="J152" s="2042"/>
      <c r="K152" s="2042"/>
      <c r="L152" s="2042">
        <f>SUM(H146:P146)</f>
        <v>35615449</v>
      </c>
      <c r="M152" s="2042"/>
      <c r="N152" s="996"/>
      <c r="O152" s="996"/>
      <c r="P152" s="996"/>
      <c r="Q152" s="996"/>
      <c r="R152" s="2042" t="s">
        <v>1666</v>
      </c>
      <c r="S152" s="2042"/>
      <c r="T152" s="2042"/>
      <c r="U152" s="2042">
        <f>SUM(Q146:X146)</f>
        <v>35615449</v>
      </c>
      <c r="V152" s="2042"/>
      <c r="W152" s="968"/>
      <c r="X152" s="968"/>
    </row>
    <row r="153" spans="1:24" ht="21" customHeight="1" x14ac:dyDescent="0.25">
      <c r="A153" s="968"/>
      <c r="B153" s="968"/>
      <c r="C153" s="998"/>
      <c r="D153" s="968"/>
      <c r="E153" s="968"/>
      <c r="F153" s="968"/>
      <c r="G153" s="968"/>
      <c r="H153" s="968"/>
      <c r="I153" s="2042" t="s">
        <v>1512</v>
      </c>
      <c r="J153" s="2042"/>
      <c r="K153" s="2042"/>
      <c r="L153" s="2042">
        <f>+L151+L152</f>
        <v>462861598</v>
      </c>
      <c r="M153" s="2042"/>
      <c r="N153" s="996"/>
      <c r="O153" s="996"/>
      <c r="P153" s="996"/>
      <c r="Q153" s="996"/>
      <c r="R153" s="2042" t="s">
        <v>1512</v>
      </c>
      <c r="S153" s="2042"/>
      <c r="T153" s="2042"/>
      <c r="U153" s="2042">
        <f>+U151+U152</f>
        <v>462861598</v>
      </c>
      <c r="V153" s="2042"/>
      <c r="W153" s="968"/>
      <c r="X153" s="968"/>
    </row>
    <row r="154" spans="1:24" x14ac:dyDescent="0.25">
      <c r="A154" s="968"/>
      <c r="B154" s="968"/>
      <c r="C154" s="998"/>
      <c r="D154" s="968"/>
      <c r="E154" s="968"/>
      <c r="F154" s="968"/>
      <c r="G154" s="968"/>
      <c r="H154" s="968"/>
      <c r="I154" s="968"/>
      <c r="J154" s="968"/>
      <c r="K154" s="968"/>
      <c r="L154" s="968"/>
      <c r="M154" s="968"/>
      <c r="N154" s="968"/>
      <c r="O154" s="968"/>
      <c r="P154" s="968"/>
      <c r="Q154" s="968"/>
      <c r="R154" s="968"/>
      <c r="S154" s="968"/>
      <c r="T154" s="968"/>
      <c r="U154" s="968"/>
      <c r="V154" s="968"/>
      <c r="W154" s="968"/>
      <c r="X154" s="968"/>
    </row>
    <row r="155" spans="1:24" x14ac:dyDescent="0.25">
      <c r="A155" s="968"/>
      <c r="B155" s="968"/>
      <c r="C155" s="998"/>
      <c r="D155" s="968"/>
      <c r="E155" s="968"/>
      <c r="F155" s="968"/>
      <c r="G155" s="968"/>
      <c r="H155" s="968"/>
      <c r="I155" s="968"/>
      <c r="J155" s="968"/>
      <c r="K155" s="968"/>
      <c r="L155" s="968"/>
      <c r="M155" s="968"/>
      <c r="N155" s="968"/>
      <c r="O155" s="968"/>
      <c r="P155" s="968"/>
      <c r="Q155" s="968"/>
      <c r="R155" s="968"/>
      <c r="S155" s="968"/>
      <c r="T155" s="968"/>
      <c r="U155" s="968"/>
      <c r="V155" s="968"/>
      <c r="W155" s="968"/>
      <c r="X155" s="968"/>
    </row>
  </sheetData>
  <mergeCells count="180">
    <mergeCell ref="C135:C137"/>
    <mergeCell ref="B135:B137"/>
    <mergeCell ref="A135:A137"/>
    <mergeCell ref="C132:C134"/>
    <mergeCell ref="B132:B134"/>
    <mergeCell ref="A132:A134"/>
    <mergeCell ref="C119:C121"/>
    <mergeCell ref="B119:B121"/>
    <mergeCell ref="A119:A121"/>
    <mergeCell ref="I108:K108"/>
    <mergeCell ref="L108:M108"/>
    <mergeCell ref="R108:T108"/>
    <mergeCell ref="A113:X113"/>
    <mergeCell ref="A115:X115"/>
    <mergeCell ref="A117:A118"/>
    <mergeCell ref="B117:B118"/>
    <mergeCell ref="C117:C118"/>
    <mergeCell ref="D117:D118"/>
    <mergeCell ref="E117:E118"/>
    <mergeCell ref="F117:F118"/>
    <mergeCell ref="G117:G118"/>
    <mergeCell ref="H117:O117"/>
    <mergeCell ref="Q117:X117"/>
    <mergeCell ref="U108:V108"/>
    <mergeCell ref="H89:O89"/>
    <mergeCell ref="Q89:X89"/>
    <mergeCell ref="C93:C95"/>
    <mergeCell ref="B93:B95"/>
    <mergeCell ref="R106:T106"/>
    <mergeCell ref="U106:V106"/>
    <mergeCell ref="A72:C72"/>
    <mergeCell ref="I77:K77"/>
    <mergeCell ref="I79:K79"/>
    <mergeCell ref="L79:M79"/>
    <mergeCell ref="R79:T79"/>
    <mergeCell ref="U79:V79"/>
    <mergeCell ref="L77:M77"/>
    <mergeCell ref="C91:C92"/>
    <mergeCell ref="B91:B92"/>
    <mergeCell ref="A91:A92"/>
    <mergeCell ref="C97:C99"/>
    <mergeCell ref="B97:B99"/>
    <mergeCell ref="A97:A99"/>
    <mergeCell ref="A101:C101"/>
    <mergeCell ref="L106:M106"/>
    <mergeCell ref="C63:C65"/>
    <mergeCell ref="B63:B65"/>
    <mergeCell ref="A63:A65"/>
    <mergeCell ref="I107:K107"/>
    <mergeCell ref="L107:M107"/>
    <mergeCell ref="R107:T107"/>
    <mergeCell ref="U107:V107"/>
    <mergeCell ref="R77:T77"/>
    <mergeCell ref="U77:V77"/>
    <mergeCell ref="I78:K78"/>
    <mergeCell ref="L78:M78"/>
    <mergeCell ref="R78:T78"/>
    <mergeCell ref="U78:V78"/>
    <mergeCell ref="A84:X84"/>
    <mergeCell ref="A87:X87"/>
    <mergeCell ref="A89:A90"/>
    <mergeCell ref="B89:B90"/>
    <mergeCell ref="A93:A95"/>
    <mergeCell ref="C89:C90"/>
    <mergeCell ref="D89:D90"/>
    <mergeCell ref="E89:E90"/>
    <mergeCell ref="F89:F90"/>
    <mergeCell ref="G89:G90"/>
    <mergeCell ref="I106:K106"/>
    <mergeCell ref="C7:C11"/>
    <mergeCell ref="B7:B11"/>
    <mergeCell ref="A7:A11"/>
    <mergeCell ref="C12:C13"/>
    <mergeCell ref="B12:B13"/>
    <mergeCell ref="A12:A13"/>
    <mergeCell ref="C17:C18"/>
    <mergeCell ref="B17:B18"/>
    <mergeCell ref="A17:A18"/>
    <mergeCell ref="C14:C15"/>
    <mergeCell ref="B14:B15"/>
    <mergeCell ref="A14:A15"/>
    <mergeCell ref="A38:X38"/>
    <mergeCell ref="A41:X41"/>
    <mergeCell ref="A43:A44"/>
    <mergeCell ref="B43:B44"/>
    <mergeCell ref="C43:C44"/>
    <mergeCell ref="D43:D44"/>
    <mergeCell ref="E43:E44"/>
    <mergeCell ref="F43:F44"/>
    <mergeCell ref="G43:G44"/>
    <mergeCell ref="H43:O43"/>
    <mergeCell ref="Q43:X43"/>
    <mergeCell ref="A1:X1"/>
    <mergeCell ref="A3:X3"/>
    <mergeCell ref="A5:A6"/>
    <mergeCell ref="B5:B6"/>
    <mergeCell ref="C5:C6"/>
    <mergeCell ref="D5:D6"/>
    <mergeCell ref="E5:E6"/>
    <mergeCell ref="F5:F6"/>
    <mergeCell ref="G5:G6"/>
    <mergeCell ref="H5:O5"/>
    <mergeCell ref="Q5:X5"/>
    <mergeCell ref="R33:T33"/>
    <mergeCell ref="U33:V33"/>
    <mergeCell ref="I34:K34"/>
    <mergeCell ref="L34:M34"/>
    <mergeCell ref="R34:T34"/>
    <mergeCell ref="U34:V34"/>
    <mergeCell ref="C19:C20"/>
    <mergeCell ref="B19:B20"/>
    <mergeCell ref="A19:A20"/>
    <mergeCell ref="I33:K33"/>
    <mergeCell ref="L33:M33"/>
    <mergeCell ref="A28:C28"/>
    <mergeCell ref="I32:K32"/>
    <mergeCell ref="L32:M32"/>
    <mergeCell ref="C21:C22"/>
    <mergeCell ref="B21:B22"/>
    <mergeCell ref="A21:A22"/>
    <mergeCell ref="C23:C25"/>
    <mergeCell ref="B23:B25"/>
    <mergeCell ref="A23:A25"/>
    <mergeCell ref="R32:T32"/>
    <mergeCell ref="U32:V32"/>
    <mergeCell ref="C45:C46"/>
    <mergeCell ref="B45:B46"/>
    <mergeCell ref="A45:A46"/>
    <mergeCell ref="C60:C62"/>
    <mergeCell ref="B60:B62"/>
    <mergeCell ref="A60:A62"/>
    <mergeCell ref="C47:C48"/>
    <mergeCell ref="B47:B48"/>
    <mergeCell ref="A47:A48"/>
    <mergeCell ref="C49:C52"/>
    <mergeCell ref="B49:B52"/>
    <mergeCell ref="A49:A52"/>
    <mergeCell ref="C53:C54"/>
    <mergeCell ref="B53:B54"/>
    <mergeCell ref="A53:A54"/>
    <mergeCell ref="C55:C57"/>
    <mergeCell ref="B55:B57"/>
    <mergeCell ref="A55:A57"/>
    <mergeCell ref="C66:C67"/>
    <mergeCell ref="B66:B67"/>
    <mergeCell ref="A66:A67"/>
    <mergeCell ref="C68:C70"/>
    <mergeCell ref="B68:B70"/>
    <mergeCell ref="A130:A131"/>
    <mergeCell ref="C122:C123"/>
    <mergeCell ref="B122:B123"/>
    <mergeCell ref="A122:A123"/>
    <mergeCell ref="C124:C125"/>
    <mergeCell ref="B124:B125"/>
    <mergeCell ref="A124:A125"/>
    <mergeCell ref="C126:C128"/>
    <mergeCell ref="B126:B128"/>
    <mergeCell ref="A126:A128"/>
    <mergeCell ref="C130:C131"/>
    <mergeCell ref="A68:A70"/>
    <mergeCell ref="B130:B131"/>
    <mergeCell ref="C139:C140"/>
    <mergeCell ref="B139:B140"/>
    <mergeCell ref="A139:A140"/>
    <mergeCell ref="I152:K152"/>
    <mergeCell ref="L152:M152"/>
    <mergeCell ref="R152:T152"/>
    <mergeCell ref="U152:V152"/>
    <mergeCell ref="I153:K153"/>
    <mergeCell ref="L153:M153"/>
    <mergeCell ref="R153:T153"/>
    <mergeCell ref="U153:V153"/>
    <mergeCell ref="A146:C146"/>
    <mergeCell ref="I151:K151"/>
    <mergeCell ref="L151:M151"/>
    <mergeCell ref="R151:T151"/>
    <mergeCell ref="U151:V151"/>
    <mergeCell ref="C142:C144"/>
    <mergeCell ref="B142:B144"/>
    <mergeCell ref="A142:A144"/>
  </mergeCells>
  <printOptions horizontalCentered="1" verticalCentered="1"/>
  <pageMargins left="0.11811023622047245" right="0.11811023622047245" top="0.35433070866141736" bottom="0.35433070866141736" header="0.31496062992125984" footer="0.31496062992125984"/>
  <pageSetup paperSize="9" scale="49" orientation="landscape" r:id="rId1"/>
  <headerFooter>
    <oddHeader>&amp;R&amp;A</oddHeader>
    <oddFooter>&amp;C&amp;P/&amp;N</oddFooter>
  </headerFooter>
  <rowBreaks count="3" manualBreakCount="3">
    <brk id="34" max="23" man="1"/>
    <brk id="79" max="23" man="1"/>
    <brk id="131" max="2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12"/>
  <sheetViews>
    <sheetView view="pageBreakPreview" topLeftCell="A76" zoomScale="89" zoomScaleNormal="100" zoomScaleSheetLayoutView="89" workbookViewId="0">
      <selection activeCell="H85" sqref="H85"/>
    </sheetView>
  </sheetViews>
  <sheetFormatPr defaultRowHeight="15" x14ac:dyDescent="0.25"/>
  <cols>
    <col min="1" max="2" width="5.28515625" style="968" customWidth="1"/>
    <col min="3" max="3" width="35.140625" style="968" customWidth="1"/>
    <col min="4" max="4" width="6.42578125" style="968" customWidth="1"/>
    <col min="5" max="5" width="8.140625" style="968" customWidth="1"/>
    <col min="6" max="6" width="5.140625" style="968" customWidth="1"/>
    <col min="7" max="7" width="4.85546875" style="968" customWidth="1"/>
    <col min="8" max="8" width="14.140625" style="968" customWidth="1"/>
    <col min="9" max="9" width="14.42578125" style="968" customWidth="1"/>
    <col min="10" max="10" width="12.28515625" style="968" customWidth="1"/>
    <col min="11" max="11" width="11.7109375" style="968" customWidth="1"/>
    <col min="12" max="12" width="13.85546875" style="968" customWidth="1"/>
    <col min="13" max="13" width="11.28515625" style="968" customWidth="1"/>
    <col min="14" max="14" width="10.7109375" style="968" customWidth="1"/>
    <col min="15" max="15" width="12" style="968" customWidth="1"/>
    <col min="16" max="16" width="11.5703125" style="968" customWidth="1"/>
    <col min="17" max="17" width="14.28515625" style="997" customWidth="1"/>
    <col min="18" max="18" width="13.7109375" style="968" customWidth="1"/>
    <col min="19" max="19" width="11.7109375" style="968" customWidth="1"/>
    <col min="20" max="20" width="11.42578125" style="968" customWidth="1"/>
    <col min="21" max="21" width="12" style="968" customWidth="1"/>
    <col min="22" max="22" width="12.28515625" style="968" customWidth="1"/>
    <col min="23" max="23" width="13" style="968" customWidth="1"/>
    <col min="24" max="24" width="12.7109375" style="968" customWidth="1"/>
    <col min="25" max="25" width="9.140625" style="968"/>
    <col min="26" max="26" width="11.140625" style="968" bestFit="1" customWidth="1"/>
    <col min="27" max="256" width="9.140625" style="968"/>
    <col min="257" max="258" width="5.28515625" style="968" customWidth="1"/>
    <col min="259" max="259" width="35.140625" style="968" customWidth="1"/>
    <col min="260" max="260" width="6.42578125" style="968" customWidth="1"/>
    <col min="261" max="261" width="8.140625" style="968" customWidth="1"/>
    <col min="262" max="262" width="5.140625" style="968" customWidth="1"/>
    <col min="263" max="263" width="4.85546875" style="968" customWidth="1"/>
    <col min="264" max="264" width="14.28515625" style="968" customWidth="1"/>
    <col min="265" max="265" width="14.42578125" style="968" customWidth="1"/>
    <col min="266" max="266" width="12.28515625" style="968" customWidth="1"/>
    <col min="267" max="267" width="11.140625" style="968" customWidth="1"/>
    <col min="268" max="268" width="13.85546875" style="968" customWidth="1"/>
    <col min="269" max="269" width="11.28515625" style="968" customWidth="1"/>
    <col min="270" max="270" width="10.7109375" style="968" customWidth="1"/>
    <col min="271" max="271" width="12" style="968" customWidth="1"/>
    <col min="272" max="272" width="11.5703125" style="968" customWidth="1"/>
    <col min="273" max="273" width="14.28515625" style="968" customWidth="1"/>
    <col min="274" max="274" width="13.7109375" style="968" customWidth="1"/>
    <col min="275" max="275" width="11.7109375" style="968" customWidth="1"/>
    <col min="276" max="278" width="12.28515625" style="968" customWidth="1"/>
    <col min="279" max="279" width="13.28515625" style="968" customWidth="1"/>
    <col min="280" max="280" width="12.7109375" style="968" customWidth="1"/>
    <col min="281" max="281" width="9.140625" style="968"/>
    <col min="282" max="282" width="11.140625" style="968" bestFit="1" customWidth="1"/>
    <col min="283" max="512" width="9.140625" style="968"/>
    <col min="513" max="514" width="5.28515625" style="968" customWidth="1"/>
    <col min="515" max="515" width="35.140625" style="968" customWidth="1"/>
    <col min="516" max="516" width="6.42578125" style="968" customWidth="1"/>
    <col min="517" max="517" width="8.140625" style="968" customWidth="1"/>
    <col min="518" max="518" width="5.140625" style="968" customWidth="1"/>
    <col min="519" max="519" width="4.85546875" style="968" customWidth="1"/>
    <col min="520" max="520" width="14.28515625" style="968" customWidth="1"/>
    <col min="521" max="521" width="14.42578125" style="968" customWidth="1"/>
    <col min="522" max="522" width="12.28515625" style="968" customWidth="1"/>
    <col min="523" max="523" width="11.140625" style="968" customWidth="1"/>
    <col min="524" max="524" width="13.85546875" style="968" customWidth="1"/>
    <col min="525" max="525" width="11.28515625" style="968" customWidth="1"/>
    <col min="526" max="526" width="10.7109375" style="968" customWidth="1"/>
    <col min="527" max="527" width="12" style="968" customWidth="1"/>
    <col min="528" max="528" width="11.5703125" style="968" customWidth="1"/>
    <col min="529" max="529" width="14.28515625" style="968" customWidth="1"/>
    <col min="530" max="530" width="13.7109375" style="968" customWidth="1"/>
    <col min="531" max="531" width="11.7109375" style="968" customWidth="1"/>
    <col min="532" max="534" width="12.28515625" style="968" customWidth="1"/>
    <col min="535" max="535" width="13.28515625" style="968" customWidth="1"/>
    <col min="536" max="536" width="12.7109375" style="968" customWidth="1"/>
    <col min="537" max="537" width="9.140625" style="968"/>
    <col min="538" max="538" width="11.140625" style="968" bestFit="1" customWidth="1"/>
    <col min="539" max="768" width="9.140625" style="968"/>
    <col min="769" max="770" width="5.28515625" style="968" customWidth="1"/>
    <col min="771" max="771" width="35.140625" style="968" customWidth="1"/>
    <col min="772" max="772" width="6.42578125" style="968" customWidth="1"/>
    <col min="773" max="773" width="8.140625" style="968" customWidth="1"/>
    <col min="774" max="774" width="5.140625" style="968" customWidth="1"/>
    <col min="775" max="775" width="4.85546875" style="968" customWidth="1"/>
    <col min="776" max="776" width="14.28515625" style="968" customWidth="1"/>
    <col min="777" max="777" width="14.42578125" style="968" customWidth="1"/>
    <col min="778" max="778" width="12.28515625" style="968" customWidth="1"/>
    <col min="779" max="779" width="11.140625" style="968" customWidth="1"/>
    <col min="780" max="780" width="13.85546875" style="968" customWidth="1"/>
    <col min="781" max="781" width="11.28515625" style="968" customWidth="1"/>
    <col min="782" max="782" width="10.7109375" style="968" customWidth="1"/>
    <col min="783" max="783" width="12" style="968" customWidth="1"/>
    <col min="784" max="784" width="11.5703125" style="968" customWidth="1"/>
    <col min="785" max="785" width="14.28515625" style="968" customWidth="1"/>
    <col min="786" max="786" width="13.7109375" style="968" customWidth="1"/>
    <col min="787" max="787" width="11.7109375" style="968" customWidth="1"/>
    <col min="788" max="790" width="12.28515625" style="968" customWidth="1"/>
    <col min="791" max="791" width="13.28515625" style="968" customWidth="1"/>
    <col min="792" max="792" width="12.7109375" style="968" customWidth="1"/>
    <col min="793" max="793" width="9.140625" style="968"/>
    <col min="794" max="794" width="11.140625" style="968" bestFit="1" customWidth="1"/>
    <col min="795" max="1024" width="9.140625" style="968"/>
    <col min="1025" max="1026" width="5.28515625" style="968" customWidth="1"/>
    <col min="1027" max="1027" width="35.140625" style="968" customWidth="1"/>
    <col min="1028" max="1028" width="6.42578125" style="968" customWidth="1"/>
    <col min="1029" max="1029" width="8.140625" style="968" customWidth="1"/>
    <col min="1030" max="1030" width="5.140625" style="968" customWidth="1"/>
    <col min="1031" max="1031" width="4.85546875" style="968" customWidth="1"/>
    <col min="1032" max="1032" width="14.28515625" style="968" customWidth="1"/>
    <col min="1033" max="1033" width="14.42578125" style="968" customWidth="1"/>
    <col min="1034" max="1034" width="12.28515625" style="968" customWidth="1"/>
    <col min="1035" max="1035" width="11.140625" style="968" customWidth="1"/>
    <col min="1036" max="1036" width="13.85546875" style="968" customWidth="1"/>
    <col min="1037" max="1037" width="11.28515625" style="968" customWidth="1"/>
    <col min="1038" max="1038" width="10.7109375" style="968" customWidth="1"/>
    <col min="1039" max="1039" width="12" style="968" customWidth="1"/>
    <col min="1040" max="1040" width="11.5703125" style="968" customWidth="1"/>
    <col min="1041" max="1041" width="14.28515625" style="968" customWidth="1"/>
    <col min="1042" max="1042" width="13.7109375" style="968" customWidth="1"/>
    <col min="1043" max="1043" width="11.7109375" style="968" customWidth="1"/>
    <col min="1044" max="1046" width="12.28515625" style="968" customWidth="1"/>
    <col min="1047" max="1047" width="13.28515625" style="968" customWidth="1"/>
    <col min="1048" max="1048" width="12.7109375" style="968" customWidth="1"/>
    <col min="1049" max="1049" width="9.140625" style="968"/>
    <col min="1050" max="1050" width="11.140625" style="968" bestFit="1" customWidth="1"/>
    <col min="1051" max="1280" width="9.140625" style="968"/>
    <col min="1281" max="1282" width="5.28515625" style="968" customWidth="1"/>
    <col min="1283" max="1283" width="35.140625" style="968" customWidth="1"/>
    <col min="1284" max="1284" width="6.42578125" style="968" customWidth="1"/>
    <col min="1285" max="1285" width="8.140625" style="968" customWidth="1"/>
    <col min="1286" max="1286" width="5.140625" style="968" customWidth="1"/>
    <col min="1287" max="1287" width="4.85546875" style="968" customWidth="1"/>
    <col min="1288" max="1288" width="14.28515625" style="968" customWidth="1"/>
    <col min="1289" max="1289" width="14.42578125" style="968" customWidth="1"/>
    <col min="1290" max="1290" width="12.28515625" style="968" customWidth="1"/>
    <col min="1291" max="1291" width="11.140625" style="968" customWidth="1"/>
    <col min="1292" max="1292" width="13.85546875" style="968" customWidth="1"/>
    <col min="1293" max="1293" width="11.28515625" style="968" customWidth="1"/>
    <col min="1294" max="1294" width="10.7109375" style="968" customWidth="1"/>
    <col min="1295" max="1295" width="12" style="968" customWidth="1"/>
    <col min="1296" max="1296" width="11.5703125" style="968" customWidth="1"/>
    <col min="1297" max="1297" width="14.28515625" style="968" customWidth="1"/>
    <col min="1298" max="1298" width="13.7109375" style="968" customWidth="1"/>
    <col min="1299" max="1299" width="11.7109375" style="968" customWidth="1"/>
    <col min="1300" max="1302" width="12.28515625" style="968" customWidth="1"/>
    <col min="1303" max="1303" width="13.28515625" style="968" customWidth="1"/>
    <col min="1304" max="1304" width="12.7109375" style="968" customWidth="1"/>
    <col min="1305" max="1305" width="9.140625" style="968"/>
    <col min="1306" max="1306" width="11.140625" style="968" bestFit="1" customWidth="1"/>
    <col min="1307" max="1536" width="9.140625" style="968"/>
    <col min="1537" max="1538" width="5.28515625" style="968" customWidth="1"/>
    <col min="1539" max="1539" width="35.140625" style="968" customWidth="1"/>
    <col min="1540" max="1540" width="6.42578125" style="968" customWidth="1"/>
    <col min="1541" max="1541" width="8.140625" style="968" customWidth="1"/>
    <col min="1542" max="1542" width="5.140625" style="968" customWidth="1"/>
    <col min="1543" max="1543" width="4.85546875" style="968" customWidth="1"/>
    <col min="1544" max="1544" width="14.28515625" style="968" customWidth="1"/>
    <col min="1545" max="1545" width="14.42578125" style="968" customWidth="1"/>
    <col min="1546" max="1546" width="12.28515625" style="968" customWidth="1"/>
    <col min="1547" max="1547" width="11.140625" style="968" customWidth="1"/>
    <col min="1548" max="1548" width="13.85546875" style="968" customWidth="1"/>
    <col min="1549" max="1549" width="11.28515625" style="968" customWidth="1"/>
    <col min="1550" max="1550" width="10.7109375" style="968" customWidth="1"/>
    <col min="1551" max="1551" width="12" style="968" customWidth="1"/>
    <col min="1552" max="1552" width="11.5703125" style="968" customWidth="1"/>
    <col min="1553" max="1553" width="14.28515625" style="968" customWidth="1"/>
    <col min="1554" max="1554" width="13.7109375" style="968" customWidth="1"/>
    <col min="1555" max="1555" width="11.7109375" style="968" customWidth="1"/>
    <col min="1556" max="1558" width="12.28515625" style="968" customWidth="1"/>
    <col min="1559" max="1559" width="13.28515625" style="968" customWidth="1"/>
    <col min="1560" max="1560" width="12.7109375" style="968" customWidth="1"/>
    <col min="1561" max="1561" width="9.140625" style="968"/>
    <col min="1562" max="1562" width="11.140625" style="968" bestFit="1" customWidth="1"/>
    <col min="1563" max="1792" width="9.140625" style="968"/>
    <col min="1793" max="1794" width="5.28515625" style="968" customWidth="1"/>
    <col min="1795" max="1795" width="35.140625" style="968" customWidth="1"/>
    <col min="1796" max="1796" width="6.42578125" style="968" customWidth="1"/>
    <col min="1797" max="1797" width="8.140625" style="968" customWidth="1"/>
    <col min="1798" max="1798" width="5.140625" style="968" customWidth="1"/>
    <col min="1799" max="1799" width="4.85546875" style="968" customWidth="1"/>
    <col min="1800" max="1800" width="14.28515625" style="968" customWidth="1"/>
    <col min="1801" max="1801" width="14.42578125" style="968" customWidth="1"/>
    <col min="1802" max="1802" width="12.28515625" style="968" customWidth="1"/>
    <col min="1803" max="1803" width="11.140625" style="968" customWidth="1"/>
    <col min="1804" max="1804" width="13.85546875" style="968" customWidth="1"/>
    <col min="1805" max="1805" width="11.28515625" style="968" customWidth="1"/>
    <col min="1806" max="1806" width="10.7109375" style="968" customWidth="1"/>
    <col min="1807" max="1807" width="12" style="968" customWidth="1"/>
    <col min="1808" max="1808" width="11.5703125" style="968" customWidth="1"/>
    <col min="1809" max="1809" width="14.28515625" style="968" customWidth="1"/>
    <col min="1810" max="1810" width="13.7109375" style="968" customWidth="1"/>
    <col min="1811" max="1811" width="11.7109375" style="968" customWidth="1"/>
    <col min="1812" max="1814" width="12.28515625" style="968" customWidth="1"/>
    <col min="1815" max="1815" width="13.28515625" style="968" customWidth="1"/>
    <col min="1816" max="1816" width="12.7109375" style="968" customWidth="1"/>
    <col min="1817" max="1817" width="9.140625" style="968"/>
    <col min="1818" max="1818" width="11.140625" style="968" bestFit="1" customWidth="1"/>
    <col min="1819" max="2048" width="9.140625" style="968"/>
    <col min="2049" max="2050" width="5.28515625" style="968" customWidth="1"/>
    <col min="2051" max="2051" width="35.140625" style="968" customWidth="1"/>
    <col min="2052" max="2052" width="6.42578125" style="968" customWidth="1"/>
    <col min="2053" max="2053" width="8.140625" style="968" customWidth="1"/>
    <col min="2054" max="2054" width="5.140625" style="968" customWidth="1"/>
    <col min="2055" max="2055" width="4.85546875" style="968" customWidth="1"/>
    <col min="2056" max="2056" width="14.28515625" style="968" customWidth="1"/>
    <col min="2057" max="2057" width="14.42578125" style="968" customWidth="1"/>
    <col min="2058" max="2058" width="12.28515625" style="968" customWidth="1"/>
    <col min="2059" max="2059" width="11.140625" style="968" customWidth="1"/>
    <col min="2060" max="2060" width="13.85546875" style="968" customWidth="1"/>
    <col min="2061" max="2061" width="11.28515625" style="968" customWidth="1"/>
    <col min="2062" max="2062" width="10.7109375" style="968" customWidth="1"/>
    <col min="2063" max="2063" width="12" style="968" customWidth="1"/>
    <col min="2064" max="2064" width="11.5703125" style="968" customWidth="1"/>
    <col min="2065" max="2065" width="14.28515625" style="968" customWidth="1"/>
    <col min="2066" max="2066" width="13.7109375" style="968" customWidth="1"/>
    <col min="2067" max="2067" width="11.7109375" style="968" customWidth="1"/>
    <col min="2068" max="2070" width="12.28515625" style="968" customWidth="1"/>
    <col min="2071" max="2071" width="13.28515625" style="968" customWidth="1"/>
    <col min="2072" max="2072" width="12.7109375" style="968" customWidth="1"/>
    <col min="2073" max="2073" width="9.140625" style="968"/>
    <col min="2074" max="2074" width="11.140625" style="968" bestFit="1" customWidth="1"/>
    <col min="2075" max="2304" width="9.140625" style="968"/>
    <col min="2305" max="2306" width="5.28515625" style="968" customWidth="1"/>
    <col min="2307" max="2307" width="35.140625" style="968" customWidth="1"/>
    <col min="2308" max="2308" width="6.42578125" style="968" customWidth="1"/>
    <col min="2309" max="2309" width="8.140625" style="968" customWidth="1"/>
    <col min="2310" max="2310" width="5.140625" style="968" customWidth="1"/>
    <col min="2311" max="2311" width="4.85546875" style="968" customWidth="1"/>
    <col min="2312" max="2312" width="14.28515625" style="968" customWidth="1"/>
    <col min="2313" max="2313" width="14.42578125" style="968" customWidth="1"/>
    <col min="2314" max="2314" width="12.28515625" style="968" customWidth="1"/>
    <col min="2315" max="2315" width="11.140625" style="968" customWidth="1"/>
    <col min="2316" max="2316" width="13.85546875" style="968" customWidth="1"/>
    <col min="2317" max="2317" width="11.28515625" style="968" customWidth="1"/>
    <col min="2318" max="2318" width="10.7109375" style="968" customWidth="1"/>
    <col min="2319" max="2319" width="12" style="968" customWidth="1"/>
    <col min="2320" max="2320" width="11.5703125" style="968" customWidth="1"/>
    <col min="2321" max="2321" width="14.28515625" style="968" customWidth="1"/>
    <col min="2322" max="2322" width="13.7109375" style="968" customWidth="1"/>
    <col min="2323" max="2323" width="11.7109375" style="968" customWidth="1"/>
    <col min="2324" max="2326" width="12.28515625" style="968" customWidth="1"/>
    <col min="2327" max="2327" width="13.28515625" style="968" customWidth="1"/>
    <col min="2328" max="2328" width="12.7109375" style="968" customWidth="1"/>
    <col min="2329" max="2329" width="9.140625" style="968"/>
    <col min="2330" max="2330" width="11.140625" style="968" bestFit="1" customWidth="1"/>
    <col min="2331" max="2560" width="9.140625" style="968"/>
    <col min="2561" max="2562" width="5.28515625" style="968" customWidth="1"/>
    <col min="2563" max="2563" width="35.140625" style="968" customWidth="1"/>
    <col min="2564" max="2564" width="6.42578125" style="968" customWidth="1"/>
    <col min="2565" max="2565" width="8.140625" style="968" customWidth="1"/>
    <col min="2566" max="2566" width="5.140625" style="968" customWidth="1"/>
    <col min="2567" max="2567" width="4.85546875" style="968" customWidth="1"/>
    <col min="2568" max="2568" width="14.28515625" style="968" customWidth="1"/>
    <col min="2569" max="2569" width="14.42578125" style="968" customWidth="1"/>
    <col min="2570" max="2570" width="12.28515625" style="968" customWidth="1"/>
    <col min="2571" max="2571" width="11.140625" style="968" customWidth="1"/>
    <col min="2572" max="2572" width="13.85546875" style="968" customWidth="1"/>
    <col min="2573" max="2573" width="11.28515625" style="968" customWidth="1"/>
    <col min="2574" max="2574" width="10.7109375" style="968" customWidth="1"/>
    <col min="2575" max="2575" width="12" style="968" customWidth="1"/>
    <col min="2576" max="2576" width="11.5703125" style="968" customWidth="1"/>
    <col min="2577" max="2577" width="14.28515625" style="968" customWidth="1"/>
    <col min="2578" max="2578" width="13.7109375" style="968" customWidth="1"/>
    <col min="2579" max="2579" width="11.7109375" style="968" customWidth="1"/>
    <col min="2580" max="2582" width="12.28515625" style="968" customWidth="1"/>
    <col min="2583" max="2583" width="13.28515625" style="968" customWidth="1"/>
    <col min="2584" max="2584" width="12.7109375" style="968" customWidth="1"/>
    <col min="2585" max="2585" width="9.140625" style="968"/>
    <col min="2586" max="2586" width="11.140625" style="968" bestFit="1" customWidth="1"/>
    <col min="2587" max="2816" width="9.140625" style="968"/>
    <col min="2817" max="2818" width="5.28515625" style="968" customWidth="1"/>
    <col min="2819" max="2819" width="35.140625" style="968" customWidth="1"/>
    <col min="2820" max="2820" width="6.42578125" style="968" customWidth="1"/>
    <col min="2821" max="2821" width="8.140625" style="968" customWidth="1"/>
    <col min="2822" max="2822" width="5.140625" style="968" customWidth="1"/>
    <col min="2823" max="2823" width="4.85546875" style="968" customWidth="1"/>
    <col min="2824" max="2824" width="14.28515625" style="968" customWidth="1"/>
    <col min="2825" max="2825" width="14.42578125" style="968" customWidth="1"/>
    <col min="2826" max="2826" width="12.28515625" style="968" customWidth="1"/>
    <col min="2827" max="2827" width="11.140625" style="968" customWidth="1"/>
    <col min="2828" max="2828" width="13.85546875" style="968" customWidth="1"/>
    <col min="2829" max="2829" width="11.28515625" style="968" customWidth="1"/>
    <col min="2830" max="2830" width="10.7109375" style="968" customWidth="1"/>
    <col min="2831" max="2831" width="12" style="968" customWidth="1"/>
    <col min="2832" max="2832" width="11.5703125" style="968" customWidth="1"/>
    <col min="2833" max="2833" width="14.28515625" style="968" customWidth="1"/>
    <col min="2834" max="2834" width="13.7109375" style="968" customWidth="1"/>
    <col min="2835" max="2835" width="11.7109375" style="968" customWidth="1"/>
    <col min="2836" max="2838" width="12.28515625" style="968" customWidth="1"/>
    <col min="2839" max="2839" width="13.28515625" style="968" customWidth="1"/>
    <col min="2840" max="2840" width="12.7109375" style="968" customWidth="1"/>
    <col min="2841" max="2841" width="9.140625" style="968"/>
    <col min="2842" max="2842" width="11.140625" style="968" bestFit="1" customWidth="1"/>
    <col min="2843" max="3072" width="9.140625" style="968"/>
    <col min="3073" max="3074" width="5.28515625" style="968" customWidth="1"/>
    <col min="3075" max="3075" width="35.140625" style="968" customWidth="1"/>
    <col min="3076" max="3076" width="6.42578125" style="968" customWidth="1"/>
    <col min="3077" max="3077" width="8.140625" style="968" customWidth="1"/>
    <col min="3078" max="3078" width="5.140625" style="968" customWidth="1"/>
    <col min="3079" max="3079" width="4.85546875" style="968" customWidth="1"/>
    <col min="3080" max="3080" width="14.28515625" style="968" customWidth="1"/>
    <col min="3081" max="3081" width="14.42578125" style="968" customWidth="1"/>
    <col min="3082" max="3082" width="12.28515625" style="968" customWidth="1"/>
    <col min="3083" max="3083" width="11.140625" style="968" customWidth="1"/>
    <col min="3084" max="3084" width="13.85546875" style="968" customWidth="1"/>
    <col min="3085" max="3085" width="11.28515625" style="968" customWidth="1"/>
    <col min="3086" max="3086" width="10.7109375" style="968" customWidth="1"/>
    <col min="3087" max="3087" width="12" style="968" customWidth="1"/>
    <col min="3088" max="3088" width="11.5703125" style="968" customWidth="1"/>
    <col min="3089" max="3089" width="14.28515625" style="968" customWidth="1"/>
    <col min="3090" max="3090" width="13.7109375" style="968" customWidth="1"/>
    <col min="3091" max="3091" width="11.7109375" style="968" customWidth="1"/>
    <col min="3092" max="3094" width="12.28515625" style="968" customWidth="1"/>
    <col min="3095" max="3095" width="13.28515625" style="968" customWidth="1"/>
    <col min="3096" max="3096" width="12.7109375" style="968" customWidth="1"/>
    <col min="3097" max="3097" width="9.140625" style="968"/>
    <col min="3098" max="3098" width="11.140625" style="968" bestFit="1" customWidth="1"/>
    <col min="3099" max="3328" width="9.140625" style="968"/>
    <col min="3329" max="3330" width="5.28515625" style="968" customWidth="1"/>
    <col min="3331" max="3331" width="35.140625" style="968" customWidth="1"/>
    <col min="3332" max="3332" width="6.42578125" style="968" customWidth="1"/>
    <col min="3333" max="3333" width="8.140625" style="968" customWidth="1"/>
    <col min="3334" max="3334" width="5.140625" style="968" customWidth="1"/>
    <col min="3335" max="3335" width="4.85546875" style="968" customWidth="1"/>
    <col min="3336" max="3336" width="14.28515625" style="968" customWidth="1"/>
    <col min="3337" max="3337" width="14.42578125" style="968" customWidth="1"/>
    <col min="3338" max="3338" width="12.28515625" style="968" customWidth="1"/>
    <col min="3339" max="3339" width="11.140625" style="968" customWidth="1"/>
    <col min="3340" max="3340" width="13.85546875" style="968" customWidth="1"/>
    <col min="3341" max="3341" width="11.28515625" style="968" customWidth="1"/>
    <col min="3342" max="3342" width="10.7109375" style="968" customWidth="1"/>
    <col min="3343" max="3343" width="12" style="968" customWidth="1"/>
    <col min="3344" max="3344" width="11.5703125" style="968" customWidth="1"/>
    <col min="3345" max="3345" width="14.28515625" style="968" customWidth="1"/>
    <col min="3346" max="3346" width="13.7109375" style="968" customWidth="1"/>
    <col min="3347" max="3347" width="11.7109375" style="968" customWidth="1"/>
    <col min="3348" max="3350" width="12.28515625" style="968" customWidth="1"/>
    <col min="3351" max="3351" width="13.28515625" style="968" customWidth="1"/>
    <col min="3352" max="3352" width="12.7109375" style="968" customWidth="1"/>
    <col min="3353" max="3353" width="9.140625" style="968"/>
    <col min="3354" max="3354" width="11.140625" style="968" bestFit="1" customWidth="1"/>
    <col min="3355" max="3584" width="9.140625" style="968"/>
    <col min="3585" max="3586" width="5.28515625" style="968" customWidth="1"/>
    <col min="3587" max="3587" width="35.140625" style="968" customWidth="1"/>
    <col min="3588" max="3588" width="6.42578125" style="968" customWidth="1"/>
    <col min="3589" max="3589" width="8.140625" style="968" customWidth="1"/>
    <col min="3590" max="3590" width="5.140625" style="968" customWidth="1"/>
    <col min="3591" max="3591" width="4.85546875" style="968" customWidth="1"/>
    <col min="3592" max="3592" width="14.28515625" style="968" customWidth="1"/>
    <col min="3593" max="3593" width="14.42578125" style="968" customWidth="1"/>
    <col min="3594" max="3594" width="12.28515625" style="968" customWidth="1"/>
    <col min="3595" max="3595" width="11.140625" style="968" customWidth="1"/>
    <col min="3596" max="3596" width="13.85546875" style="968" customWidth="1"/>
    <col min="3597" max="3597" width="11.28515625" style="968" customWidth="1"/>
    <col min="3598" max="3598" width="10.7109375" style="968" customWidth="1"/>
    <col min="3599" max="3599" width="12" style="968" customWidth="1"/>
    <col min="3600" max="3600" width="11.5703125" style="968" customWidth="1"/>
    <col min="3601" max="3601" width="14.28515625" style="968" customWidth="1"/>
    <col min="3602" max="3602" width="13.7109375" style="968" customWidth="1"/>
    <col min="3603" max="3603" width="11.7109375" style="968" customWidth="1"/>
    <col min="3604" max="3606" width="12.28515625" style="968" customWidth="1"/>
    <col min="3607" max="3607" width="13.28515625" style="968" customWidth="1"/>
    <col min="3608" max="3608" width="12.7109375" style="968" customWidth="1"/>
    <col min="3609" max="3609" width="9.140625" style="968"/>
    <col min="3610" max="3610" width="11.140625" style="968" bestFit="1" customWidth="1"/>
    <col min="3611" max="3840" width="9.140625" style="968"/>
    <col min="3841" max="3842" width="5.28515625" style="968" customWidth="1"/>
    <col min="3843" max="3843" width="35.140625" style="968" customWidth="1"/>
    <col min="3844" max="3844" width="6.42578125" style="968" customWidth="1"/>
    <col min="3845" max="3845" width="8.140625" style="968" customWidth="1"/>
    <col min="3846" max="3846" width="5.140625" style="968" customWidth="1"/>
    <col min="3847" max="3847" width="4.85546875" style="968" customWidth="1"/>
    <col min="3848" max="3848" width="14.28515625" style="968" customWidth="1"/>
    <col min="3849" max="3849" width="14.42578125" style="968" customWidth="1"/>
    <col min="3850" max="3850" width="12.28515625" style="968" customWidth="1"/>
    <col min="3851" max="3851" width="11.140625" style="968" customWidth="1"/>
    <col min="3852" max="3852" width="13.85546875" style="968" customWidth="1"/>
    <col min="3853" max="3853" width="11.28515625" style="968" customWidth="1"/>
    <col min="3854" max="3854" width="10.7109375" style="968" customWidth="1"/>
    <col min="3855" max="3855" width="12" style="968" customWidth="1"/>
    <col min="3856" max="3856" width="11.5703125" style="968" customWidth="1"/>
    <col min="3857" max="3857" width="14.28515625" style="968" customWidth="1"/>
    <col min="3858" max="3858" width="13.7109375" style="968" customWidth="1"/>
    <col min="3859" max="3859" width="11.7109375" style="968" customWidth="1"/>
    <col min="3860" max="3862" width="12.28515625" style="968" customWidth="1"/>
    <col min="3863" max="3863" width="13.28515625" style="968" customWidth="1"/>
    <col min="3864" max="3864" width="12.7109375" style="968" customWidth="1"/>
    <col min="3865" max="3865" width="9.140625" style="968"/>
    <col min="3866" max="3866" width="11.140625" style="968" bestFit="1" customWidth="1"/>
    <col min="3867" max="4096" width="9.140625" style="968"/>
    <col min="4097" max="4098" width="5.28515625" style="968" customWidth="1"/>
    <col min="4099" max="4099" width="35.140625" style="968" customWidth="1"/>
    <col min="4100" max="4100" width="6.42578125" style="968" customWidth="1"/>
    <col min="4101" max="4101" width="8.140625" style="968" customWidth="1"/>
    <col min="4102" max="4102" width="5.140625" style="968" customWidth="1"/>
    <col min="4103" max="4103" width="4.85546875" style="968" customWidth="1"/>
    <col min="4104" max="4104" width="14.28515625" style="968" customWidth="1"/>
    <col min="4105" max="4105" width="14.42578125" style="968" customWidth="1"/>
    <col min="4106" max="4106" width="12.28515625" style="968" customWidth="1"/>
    <col min="4107" max="4107" width="11.140625" style="968" customWidth="1"/>
    <col min="4108" max="4108" width="13.85546875" style="968" customWidth="1"/>
    <col min="4109" max="4109" width="11.28515625" style="968" customWidth="1"/>
    <col min="4110" max="4110" width="10.7109375" style="968" customWidth="1"/>
    <col min="4111" max="4111" width="12" style="968" customWidth="1"/>
    <col min="4112" max="4112" width="11.5703125" style="968" customWidth="1"/>
    <col min="4113" max="4113" width="14.28515625" style="968" customWidth="1"/>
    <col min="4114" max="4114" width="13.7109375" style="968" customWidth="1"/>
    <col min="4115" max="4115" width="11.7109375" style="968" customWidth="1"/>
    <col min="4116" max="4118" width="12.28515625" style="968" customWidth="1"/>
    <col min="4119" max="4119" width="13.28515625" style="968" customWidth="1"/>
    <col min="4120" max="4120" width="12.7109375" style="968" customWidth="1"/>
    <col min="4121" max="4121" width="9.140625" style="968"/>
    <col min="4122" max="4122" width="11.140625" style="968" bestFit="1" customWidth="1"/>
    <col min="4123" max="4352" width="9.140625" style="968"/>
    <col min="4353" max="4354" width="5.28515625" style="968" customWidth="1"/>
    <col min="4355" max="4355" width="35.140625" style="968" customWidth="1"/>
    <col min="4356" max="4356" width="6.42578125" style="968" customWidth="1"/>
    <col min="4357" max="4357" width="8.140625" style="968" customWidth="1"/>
    <col min="4358" max="4358" width="5.140625" style="968" customWidth="1"/>
    <col min="4359" max="4359" width="4.85546875" style="968" customWidth="1"/>
    <col min="4360" max="4360" width="14.28515625" style="968" customWidth="1"/>
    <col min="4361" max="4361" width="14.42578125" style="968" customWidth="1"/>
    <col min="4362" max="4362" width="12.28515625" style="968" customWidth="1"/>
    <col min="4363" max="4363" width="11.140625" style="968" customWidth="1"/>
    <col min="4364" max="4364" width="13.85546875" style="968" customWidth="1"/>
    <col min="4365" max="4365" width="11.28515625" style="968" customWidth="1"/>
    <col min="4366" max="4366" width="10.7109375" style="968" customWidth="1"/>
    <col min="4367" max="4367" width="12" style="968" customWidth="1"/>
    <col min="4368" max="4368" width="11.5703125" style="968" customWidth="1"/>
    <col min="4369" max="4369" width="14.28515625" style="968" customWidth="1"/>
    <col min="4370" max="4370" width="13.7109375" style="968" customWidth="1"/>
    <col min="4371" max="4371" width="11.7109375" style="968" customWidth="1"/>
    <col min="4372" max="4374" width="12.28515625" style="968" customWidth="1"/>
    <col min="4375" max="4375" width="13.28515625" style="968" customWidth="1"/>
    <col min="4376" max="4376" width="12.7109375" style="968" customWidth="1"/>
    <col min="4377" max="4377" width="9.140625" style="968"/>
    <col min="4378" max="4378" width="11.140625" style="968" bestFit="1" customWidth="1"/>
    <col min="4379" max="4608" width="9.140625" style="968"/>
    <col min="4609" max="4610" width="5.28515625" style="968" customWidth="1"/>
    <col min="4611" max="4611" width="35.140625" style="968" customWidth="1"/>
    <col min="4612" max="4612" width="6.42578125" style="968" customWidth="1"/>
    <col min="4613" max="4613" width="8.140625" style="968" customWidth="1"/>
    <col min="4614" max="4614" width="5.140625" style="968" customWidth="1"/>
    <col min="4615" max="4615" width="4.85546875" style="968" customWidth="1"/>
    <col min="4616" max="4616" width="14.28515625" style="968" customWidth="1"/>
    <col min="4617" max="4617" width="14.42578125" style="968" customWidth="1"/>
    <col min="4618" max="4618" width="12.28515625" style="968" customWidth="1"/>
    <col min="4619" max="4619" width="11.140625" style="968" customWidth="1"/>
    <col min="4620" max="4620" width="13.85546875" style="968" customWidth="1"/>
    <col min="4621" max="4621" width="11.28515625" style="968" customWidth="1"/>
    <col min="4622" max="4622" width="10.7109375" style="968" customWidth="1"/>
    <col min="4623" max="4623" width="12" style="968" customWidth="1"/>
    <col min="4624" max="4624" width="11.5703125" style="968" customWidth="1"/>
    <col min="4625" max="4625" width="14.28515625" style="968" customWidth="1"/>
    <col min="4626" max="4626" width="13.7109375" style="968" customWidth="1"/>
    <col min="4627" max="4627" width="11.7109375" style="968" customWidth="1"/>
    <col min="4628" max="4630" width="12.28515625" style="968" customWidth="1"/>
    <col min="4631" max="4631" width="13.28515625" style="968" customWidth="1"/>
    <col min="4632" max="4632" width="12.7109375" style="968" customWidth="1"/>
    <col min="4633" max="4633" width="9.140625" style="968"/>
    <col min="4634" max="4634" width="11.140625" style="968" bestFit="1" customWidth="1"/>
    <col min="4635" max="4864" width="9.140625" style="968"/>
    <col min="4865" max="4866" width="5.28515625" style="968" customWidth="1"/>
    <col min="4867" max="4867" width="35.140625" style="968" customWidth="1"/>
    <col min="4868" max="4868" width="6.42578125" style="968" customWidth="1"/>
    <col min="4869" max="4869" width="8.140625" style="968" customWidth="1"/>
    <col min="4870" max="4870" width="5.140625" style="968" customWidth="1"/>
    <col min="4871" max="4871" width="4.85546875" style="968" customWidth="1"/>
    <col min="4872" max="4872" width="14.28515625" style="968" customWidth="1"/>
    <col min="4873" max="4873" width="14.42578125" style="968" customWidth="1"/>
    <col min="4874" max="4874" width="12.28515625" style="968" customWidth="1"/>
    <col min="4875" max="4875" width="11.140625" style="968" customWidth="1"/>
    <col min="4876" max="4876" width="13.85546875" style="968" customWidth="1"/>
    <col min="4877" max="4877" width="11.28515625" style="968" customWidth="1"/>
    <col min="4878" max="4878" width="10.7109375" style="968" customWidth="1"/>
    <col min="4879" max="4879" width="12" style="968" customWidth="1"/>
    <col min="4880" max="4880" width="11.5703125" style="968" customWidth="1"/>
    <col min="4881" max="4881" width="14.28515625" style="968" customWidth="1"/>
    <col min="4882" max="4882" width="13.7109375" style="968" customWidth="1"/>
    <col min="4883" max="4883" width="11.7109375" style="968" customWidth="1"/>
    <col min="4884" max="4886" width="12.28515625" style="968" customWidth="1"/>
    <col min="4887" max="4887" width="13.28515625" style="968" customWidth="1"/>
    <col min="4888" max="4888" width="12.7109375" style="968" customWidth="1"/>
    <col min="4889" max="4889" width="9.140625" style="968"/>
    <col min="4890" max="4890" width="11.140625" style="968" bestFit="1" customWidth="1"/>
    <col min="4891" max="5120" width="9.140625" style="968"/>
    <col min="5121" max="5122" width="5.28515625" style="968" customWidth="1"/>
    <col min="5123" max="5123" width="35.140625" style="968" customWidth="1"/>
    <col min="5124" max="5124" width="6.42578125" style="968" customWidth="1"/>
    <col min="5125" max="5125" width="8.140625" style="968" customWidth="1"/>
    <col min="5126" max="5126" width="5.140625" style="968" customWidth="1"/>
    <col min="5127" max="5127" width="4.85546875" style="968" customWidth="1"/>
    <col min="5128" max="5128" width="14.28515625" style="968" customWidth="1"/>
    <col min="5129" max="5129" width="14.42578125" style="968" customWidth="1"/>
    <col min="5130" max="5130" width="12.28515625" style="968" customWidth="1"/>
    <col min="5131" max="5131" width="11.140625" style="968" customWidth="1"/>
    <col min="5132" max="5132" width="13.85546875" style="968" customWidth="1"/>
    <col min="5133" max="5133" width="11.28515625" style="968" customWidth="1"/>
    <col min="5134" max="5134" width="10.7109375" style="968" customWidth="1"/>
    <col min="5135" max="5135" width="12" style="968" customWidth="1"/>
    <col min="5136" max="5136" width="11.5703125" style="968" customWidth="1"/>
    <col min="5137" max="5137" width="14.28515625" style="968" customWidth="1"/>
    <col min="5138" max="5138" width="13.7109375" style="968" customWidth="1"/>
    <col min="5139" max="5139" width="11.7109375" style="968" customWidth="1"/>
    <col min="5140" max="5142" width="12.28515625" style="968" customWidth="1"/>
    <col min="5143" max="5143" width="13.28515625" style="968" customWidth="1"/>
    <col min="5144" max="5144" width="12.7109375" style="968" customWidth="1"/>
    <col min="5145" max="5145" width="9.140625" style="968"/>
    <col min="5146" max="5146" width="11.140625" style="968" bestFit="1" customWidth="1"/>
    <col min="5147" max="5376" width="9.140625" style="968"/>
    <col min="5377" max="5378" width="5.28515625" style="968" customWidth="1"/>
    <col min="5379" max="5379" width="35.140625" style="968" customWidth="1"/>
    <col min="5380" max="5380" width="6.42578125" style="968" customWidth="1"/>
    <col min="5381" max="5381" width="8.140625" style="968" customWidth="1"/>
    <col min="5382" max="5382" width="5.140625" style="968" customWidth="1"/>
    <col min="5383" max="5383" width="4.85546875" style="968" customWidth="1"/>
    <col min="5384" max="5384" width="14.28515625" style="968" customWidth="1"/>
    <col min="5385" max="5385" width="14.42578125" style="968" customWidth="1"/>
    <col min="5386" max="5386" width="12.28515625" style="968" customWidth="1"/>
    <col min="5387" max="5387" width="11.140625" style="968" customWidth="1"/>
    <col min="5388" max="5388" width="13.85546875" style="968" customWidth="1"/>
    <col min="5389" max="5389" width="11.28515625" style="968" customWidth="1"/>
    <col min="5390" max="5390" width="10.7109375" style="968" customWidth="1"/>
    <col min="5391" max="5391" width="12" style="968" customWidth="1"/>
    <col min="5392" max="5392" width="11.5703125" style="968" customWidth="1"/>
    <col min="5393" max="5393" width="14.28515625" style="968" customWidth="1"/>
    <col min="5394" max="5394" width="13.7109375" style="968" customWidth="1"/>
    <col min="5395" max="5395" width="11.7109375" style="968" customWidth="1"/>
    <col min="5396" max="5398" width="12.28515625" style="968" customWidth="1"/>
    <col min="5399" max="5399" width="13.28515625" style="968" customWidth="1"/>
    <col min="5400" max="5400" width="12.7109375" style="968" customWidth="1"/>
    <col min="5401" max="5401" width="9.140625" style="968"/>
    <col min="5402" max="5402" width="11.140625" style="968" bestFit="1" customWidth="1"/>
    <col min="5403" max="5632" width="9.140625" style="968"/>
    <col min="5633" max="5634" width="5.28515625" style="968" customWidth="1"/>
    <col min="5635" max="5635" width="35.140625" style="968" customWidth="1"/>
    <col min="5636" max="5636" width="6.42578125" style="968" customWidth="1"/>
    <col min="5637" max="5637" width="8.140625" style="968" customWidth="1"/>
    <col min="5638" max="5638" width="5.140625" style="968" customWidth="1"/>
    <col min="5639" max="5639" width="4.85546875" style="968" customWidth="1"/>
    <col min="5640" max="5640" width="14.28515625" style="968" customWidth="1"/>
    <col min="5641" max="5641" width="14.42578125" style="968" customWidth="1"/>
    <col min="5642" max="5642" width="12.28515625" style="968" customWidth="1"/>
    <col min="5643" max="5643" width="11.140625" style="968" customWidth="1"/>
    <col min="5644" max="5644" width="13.85546875" style="968" customWidth="1"/>
    <col min="5645" max="5645" width="11.28515625" style="968" customWidth="1"/>
    <col min="5646" max="5646" width="10.7109375" style="968" customWidth="1"/>
    <col min="5647" max="5647" width="12" style="968" customWidth="1"/>
    <col min="5648" max="5648" width="11.5703125" style="968" customWidth="1"/>
    <col min="5649" max="5649" width="14.28515625" style="968" customWidth="1"/>
    <col min="5650" max="5650" width="13.7109375" style="968" customWidth="1"/>
    <col min="5651" max="5651" width="11.7109375" style="968" customWidth="1"/>
    <col min="5652" max="5654" width="12.28515625" style="968" customWidth="1"/>
    <col min="5655" max="5655" width="13.28515625" style="968" customWidth="1"/>
    <col min="5656" max="5656" width="12.7109375" style="968" customWidth="1"/>
    <col min="5657" max="5657" width="9.140625" style="968"/>
    <col min="5658" max="5658" width="11.140625" style="968" bestFit="1" customWidth="1"/>
    <col min="5659" max="5888" width="9.140625" style="968"/>
    <col min="5889" max="5890" width="5.28515625" style="968" customWidth="1"/>
    <col min="5891" max="5891" width="35.140625" style="968" customWidth="1"/>
    <col min="5892" max="5892" width="6.42578125" style="968" customWidth="1"/>
    <col min="5893" max="5893" width="8.140625" style="968" customWidth="1"/>
    <col min="5894" max="5894" width="5.140625" style="968" customWidth="1"/>
    <col min="5895" max="5895" width="4.85546875" style="968" customWidth="1"/>
    <col min="5896" max="5896" width="14.28515625" style="968" customWidth="1"/>
    <col min="5897" max="5897" width="14.42578125" style="968" customWidth="1"/>
    <col min="5898" max="5898" width="12.28515625" style="968" customWidth="1"/>
    <col min="5899" max="5899" width="11.140625" style="968" customWidth="1"/>
    <col min="5900" max="5900" width="13.85546875" style="968" customWidth="1"/>
    <col min="5901" max="5901" width="11.28515625" style="968" customWidth="1"/>
    <col min="5902" max="5902" width="10.7109375" style="968" customWidth="1"/>
    <col min="5903" max="5903" width="12" style="968" customWidth="1"/>
    <col min="5904" max="5904" width="11.5703125" style="968" customWidth="1"/>
    <col min="5905" max="5905" width="14.28515625" style="968" customWidth="1"/>
    <col min="5906" max="5906" width="13.7109375" style="968" customWidth="1"/>
    <col min="5907" max="5907" width="11.7109375" style="968" customWidth="1"/>
    <col min="5908" max="5910" width="12.28515625" style="968" customWidth="1"/>
    <col min="5911" max="5911" width="13.28515625" style="968" customWidth="1"/>
    <col min="5912" max="5912" width="12.7109375" style="968" customWidth="1"/>
    <col min="5913" max="5913" width="9.140625" style="968"/>
    <col min="5914" max="5914" width="11.140625" style="968" bestFit="1" customWidth="1"/>
    <col min="5915" max="6144" width="9.140625" style="968"/>
    <col min="6145" max="6146" width="5.28515625" style="968" customWidth="1"/>
    <col min="6147" max="6147" width="35.140625" style="968" customWidth="1"/>
    <col min="6148" max="6148" width="6.42578125" style="968" customWidth="1"/>
    <col min="6149" max="6149" width="8.140625" style="968" customWidth="1"/>
    <col min="6150" max="6150" width="5.140625" style="968" customWidth="1"/>
    <col min="6151" max="6151" width="4.85546875" style="968" customWidth="1"/>
    <col min="6152" max="6152" width="14.28515625" style="968" customWidth="1"/>
    <col min="6153" max="6153" width="14.42578125" style="968" customWidth="1"/>
    <col min="6154" max="6154" width="12.28515625" style="968" customWidth="1"/>
    <col min="6155" max="6155" width="11.140625" style="968" customWidth="1"/>
    <col min="6156" max="6156" width="13.85546875" style="968" customWidth="1"/>
    <col min="6157" max="6157" width="11.28515625" style="968" customWidth="1"/>
    <col min="6158" max="6158" width="10.7109375" style="968" customWidth="1"/>
    <col min="6159" max="6159" width="12" style="968" customWidth="1"/>
    <col min="6160" max="6160" width="11.5703125" style="968" customWidth="1"/>
    <col min="6161" max="6161" width="14.28515625" style="968" customWidth="1"/>
    <col min="6162" max="6162" width="13.7109375" style="968" customWidth="1"/>
    <col min="6163" max="6163" width="11.7109375" style="968" customWidth="1"/>
    <col min="6164" max="6166" width="12.28515625" style="968" customWidth="1"/>
    <col min="6167" max="6167" width="13.28515625" style="968" customWidth="1"/>
    <col min="6168" max="6168" width="12.7109375" style="968" customWidth="1"/>
    <col min="6169" max="6169" width="9.140625" style="968"/>
    <col min="6170" max="6170" width="11.140625" style="968" bestFit="1" customWidth="1"/>
    <col min="6171" max="6400" width="9.140625" style="968"/>
    <col min="6401" max="6402" width="5.28515625" style="968" customWidth="1"/>
    <col min="6403" max="6403" width="35.140625" style="968" customWidth="1"/>
    <col min="6404" max="6404" width="6.42578125" style="968" customWidth="1"/>
    <col min="6405" max="6405" width="8.140625" style="968" customWidth="1"/>
    <col min="6406" max="6406" width="5.140625" style="968" customWidth="1"/>
    <col min="6407" max="6407" width="4.85546875" style="968" customWidth="1"/>
    <col min="6408" max="6408" width="14.28515625" style="968" customWidth="1"/>
    <col min="6409" max="6409" width="14.42578125" style="968" customWidth="1"/>
    <col min="6410" max="6410" width="12.28515625" style="968" customWidth="1"/>
    <col min="6411" max="6411" width="11.140625" style="968" customWidth="1"/>
    <col min="6412" max="6412" width="13.85546875" style="968" customWidth="1"/>
    <col min="6413" max="6413" width="11.28515625" style="968" customWidth="1"/>
    <col min="6414" max="6414" width="10.7109375" style="968" customWidth="1"/>
    <col min="6415" max="6415" width="12" style="968" customWidth="1"/>
    <col min="6416" max="6416" width="11.5703125" style="968" customWidth="1"/>
    <col min="6417" max="6417" width="14.28515625" style="968" customWidth="1"/>
    <col min="6418" max="6418" width="13.7109375" style="968" customWidth="1"/>
    <col min="6419" max="6419" width="11.7109375" style="968" customWidth="1"/>
    <col min="6420" max="6422" width="12.28515625" style="968" customWidth="1"/>
    <col min="6423" max="6423" width="13.28515625" style="968" customWidth="1"/>
    <col min="6424" max="6424" width="12.7109375" style="968" customWidth="1"/>
    <col min="6425" max="6425" width="9.140625" style="968"/>
    <col min="6426" max="6426" width="11.140625" style="968" bestFit="1" customWidth="1"/>
    <col min="6427" max="6656" width="9.140625" style="968"/>
    <col min="6657" max="6658" width="5.28515625" style="968" customWidth="1"/>
    <col min="6659" max="6659" width="35.140625" style="968" customWidth="1"/>
    <col min="6660" max="6660" width="6.42578125" style="968" customWidth="1"/>
    <col min="6661" max="6661" width="8.140625" style="968" customWidth="1"/>
    <col min="6662" max="6662" width="5.140625" style="968" customWidth="1"/>
    <col min="6663" max="6663" width="4.85546875" style="968" customWidth="1"/>
    <col min="6664" max="6664" width="14.28515625" style="968" customWidth="1"/>
    <col min="6665" max="6665" width="14.42578125" style="968" customWidth="1"/>
    <col min="6666" max="6666" width="12.28515625" style="968" customWidth="1"/>
    <col min="6667" max="6667" width="11.140625" style="968" customWidth="1"/>
    <col min="6668" max="6668" width="13.85546875" style="968" customWidth="1"/>
    <col min="6669" max="6669" width="11.28515625" style="968" customWidth="1"/>
    <col min="6670" max="6670" width="10.7109375" style="968" customWidth="1"/>
    <col min="6671" max="6671" width="12" style="968" customWidth="1"/>
    <col min="6672" max="6672" width="11.5703125" style="968" customWidth="1"/>
    <col min="6673" max="6673" width="14.28515625" style="968" customWidth="1"/>
    <col min="6674" max="6674" width="13.7109375" style="968" customWidth="1"/>
    <col min="6675" max="6675" width="11.7109375" style="968" customWidth="1"/>
    <col min="6676" max="6678" width="12.28515625" style="968" customWidth="1"/>
    <col min="6679" max="6679" width="13.28515625" style="968" customWidth="1"/>
    <col min="6680" max="6680" width="12.7109375" style="968" customWidth="1"/>
    <col min="6681" max="6681" width="9.140625" style="968"/>
    <col min="6682" max="6682" width="11.140625" style="968" bestFit="1" customWidth="1"/>
    <col min="6683" max="6912" width="9.140625" style="968"/>
    <col min="6913" max="6914" width="5.28515625" style="968" customWidth="1"/>
    <col min="6915" max="6915" width="35.140625" style="968" customWidth="1"/>
    <col min="6916" max="6916" width="6.42578125" style="968" customWidth="1"/>
    <col min="6917" max="6917" width="8.140625" style="968" customWidth="1"/>
    <col min="6918" max="6918" width="5.140625" style="968" customWidth="1"/>
    <col min="6919" max="6919" width="4.85546875" style="968" customWidth="1"/>
    <col min="6920" max="6920" width="14.28515625" style="968" customWidth="1"/>
    <col min="6921" max="6921" width="14.42578125" style="968" customWidth="1"/>
    <col min="6922" max="6922" width="12.28515625" style="968" customWidth="1"/>
    <col min="6923" max="6923" width="11.140625" style="968" customWidth="1"/>
    <col min="6924" max="6924" width="13.85546875" style="968" customWidth="1"/>
    <col min="6925" max="6925" width="11.28515625" style="968" customWidth="1"/>
    <col min="6926" max="6926" width="10.7109375" style="968" customWidth="1"/>
    <col min="6927" max="6927" width="12" style="968" customWidth="1"/>
    <col min="6928" max="6928" width="11.5703125" style="968" customWidth="1"/>
    <col min="6929" max="6929" width="14.28515625" style="968" customWidth="1"/>
    <col min="6930" max="6930" width="13.7109375" style="968" customWidth="1"/>
    <col min="6931" max="6931" width="11.7109375" style="968" customWidth="1"/>
    <col min="6932" max="6934" width="12.28515625" style="968" customWidth="1"/>
    <col min="6935" max="6935" width="13.28515625" style="968" customWidth="1"/>
    <col min="6936" max="6936" width="12.7109375" style="968" customWidth="1"/>
    <col min="6937" max="6937" width="9.140625" style="968"/>
    <col min="6938" max="6938" width="11.140625" style="968" bestFit="1" customWidth="1"/>
    <col min="6939" max="7168" width="9.140625" style="968"/>
    <col min="7169" max="7170" width="5.28515625" style="968" customWidth="1"/>
    <col min="7171" max="7171" width="35.140625" style="968" customWidth="1"/>
    <col min="7172" max="7172" width="6.42578125" style="968" customWidth="1"/>
    <col min="7173" max="7173" width="8.140625" style="968" customWidth="1"/>
    <col min="7174" max="7174" width="5.140625" style="968" customWidth="1"/>
    <col min="7175" max="7175" width="4.85546875" style="968" customWidth="1"/>
    <col min="7176" max="7176" width="14.28515625" style="968" customWidth="1"/>
    <col min="7177" max="7177" width="14.42578125" style="968" customWidth="1"/>
    <col min="7178" max="7178" width="12.28515625" style="968" customWidth="1"/>
    <col min="7179" max="7179" width="11.140625" style="968" customWidth="1"/>
    <col min="7180" max="7180" width="13.85546875" style="968" customWidth="1"/>
    <col min="7181" max="7181" width="11.28515625" style="968" customWidth="1"/>
    <col min="7182" max="7182" width="10.7109375" style="968" customWidth="1"/>
    <col min="7183" max="7183" width="12" style="968" customWidth="1"/>
    <col min="7184" max="7184" width="11.5703125" style="968" customWidth="1"/>
    <col min="7185" max="7185" width="14.28515625" style="968" customWidth="1"/>
    <col min="7186" max="7186" width="13.7109375" style="968" customWidth="1"/>
    <col min="7187" max="7187" width="11.7109375" style="968" customWidth="1"/>
    <col min="7188" max="7190" width="12.28515625" style="968" customWidth="1"/>
    <col min="7191" max="7191" width="13.28515625" style="968" customWidth="1"/>
    <col min="7192" max="7192" width="12.7109375" style="968" customWidth="1"/>
    <col min="7193" max="7193" width="9.140625" style="968"/>
    <col min="7194" max="7194" width="11.140625" style="968" bestFit="1" customWidth="1"/>
    <col min="7195" max="7424" width="9.140625" style="968"/>
    <col min="7425" max="7426" width="5.28515625" style="968" customWidth="1"/>
    <col min="7427" max="7427" width="35.140625" style="968" customWidth="1"/>
    <col min="7428" max="7428" width="6.42578125" style="968" customWidth="1"/>
    <col min="7429" max="7429" width="8.140625" style="968" customWidth="1"/>
    <col min="7430" max="7430" width="5.140625" style="968" customWidth="1"/>
    <col min="7431" max="7431" width="4.85546875" style="968" customWidth="1"/>
    <col min="7432" max="7432" width="14.28515625" style="968" customWidth="1"/>
    <col min="7433" max="7433" width="14.42578125" style="968" customWidth="1"/>
    <col min="7434" max="7434" width="12.28515625" style="968" customWidth="1"/>
    <col min="7435" max="7435" width="11.140625" style="968" customWidth="1"/>
    <col min="7436" max="7436" width="13.85546875" style="968" customWidth="1"/>
    <col min="7437" max="7437" width="11.28515625" style="968" customWidth="1"/>
    <col min="7438" max="7438" width="10.7109375" style="968" customWidth="1"/>
    <col min="7439" max="7439" width="12" style="968" customWidth="1"/>
    <col min="7440" max="7440" width="11.5703125" style="968" customWidth="1"/>
    <col min="7441" max="7441" width="14.28515625" style="968" customWidth="1"/>
    <col min="7442" max="7442" width="13.7109375" style="968" customWidth="1"/>
    <col min="7443" max="7443" width="11.7109375" style="968" customWidth="1"/>
    <col min="7444" max="7446" width="12.28515625" style="968" customWidth="1"/>
    <col min="7447" max="7447" width="13.28515625" style="968" customWidth="1"/>
    <col min="7448" max="7448" width="12.7109375" style="968" customWidth="1"/>
    <col min="7449" max="7449" width="9.140625" style="968"/>
    <col min="7450" max="7450" width="11.140625" style="968" bestFit="1" customWidth="1"/>
    <col min="7451" max="7680" width="9.140625" style="968"/>
    <col min="7681" max="7682" width="5.28515625" style="968" customWidth="1"/>
    <col min="7683" max="7683" width="35.140625" style="968" customWidth="1"/>
    <col min="7684" max="7684" width="6.42578125" style="968" customWidth="1"/>
    <col min="7685" max="7685" width="8.140625" style="968" customWidth="1"/>
    <col min="7686" max="7686" width="5.140625" style="968" customWidth="1"/>
    <col min="7687" max="7687" width="4.85546875" style="968" customWidth="1"/>
    <col min="7688" max="7688" width="14.28515625" style="968" customWidth="1"/>
    <col min="7689" max="7689" width="14.42578125" style="968" customWidth="1"/>
    <col min="7690" max="7690" width="12.28515625" style="968" customWidth="1"/>
    <col min="7691" max="7691" width="11.140625" style="968" customWidth="1"/>
    <col min="7692" max="7692" width="13.85546875" style="968" customWidth="1"/>
    <col min="7693" max="7693" width="11.28515625" style="968" customWidth="1"/>
    <col min="7694" max="7694" width="10.7109375" style="968" customWidth="1"/>
    <col min="7695" max="7695" width="12" style="968" customWidth="1"/>
    <col min="7696" max="7696" width="11.5703125" style="968" customWidth="1"/>
    <col min="7697" max="7697" width="14.28515625" style="968" customWidth="1"/>
    <col min="7698" max="7698" width="13.7109375" style="968" customWidth="1"/>
    <col min="7699" max="7699" width="11.7109375" style="968" customWidth="1"/>
    <col min="7700" max="7702" width="12.28515625" style="968" customWidth="1"/>
    <col min="7703" max="7703" width="13.28515625" style="968" customWidth="1"/>
    <col min="7704" max="7704" width="12.7109375" style="968" customWidth="1"/>
    <col min="7705" max="7705" width="9.140625" style="968"/>
    <col min="7706" max="7706" width="11.140625" style="968" bestFit="1" customWidth="1"/>
    <col min="7707" max="7936" width="9.140625" style="968"/>
    <col min="7937" max="7938" width="5.28515625" style="968" customWidth="1"/>
    <col min="7939" max="7939" width="35.140625" style="968" customWidth="1"/>
    <col min="7940" max="7940" width="6.42578125" style="968" customWidth="1"/>
    <col min="7941" max="7941" width="8.140625" style="968" customWidth="1"/>
    <col min="7942" max="7942" width="5.140625" style="968" customWidth="1"/>
    <col min="7943" max="7943" width="4.85546875" style="968" customWidth="1"/>
    <col min="7944" max="7944" width="14.28515625" style="968" customWidth="1"/>
    <col min="7945" max="7945" width="14.42578125" style="968" customWidth="1"/>
    <col min="7946" max="7946" width="12.28515625" style="968" customWidth="1"/>
    <col min="7947" max="7947" width="11.140625" style="968" customWidth="1"/>
    <col min="7948" max="7948" width="13.85546875" style="968" customWidth="1"/>
    <col min="7949" max="7949" width="11.28515625" style="968" customWidth="1"/>
    <col min="7950" max="7950" width="10.7109375" style="968" customWidth="1"/>
    <col min="7951" max="7951" width="12" style="968" customWidth="1"/>
    <col min="7952" max="7952" width="11.5703125" style="968" customWidth="1"/>
    <col min="7953" max="7953" width="14.28515625" style="968" customWidth="1"/>
    <col min="7954" max="7954" width="13.7109375" style="968" customWidth="1"/>
    <col min="7955" max="7955" width="11.7109375" style="968" customWidth="1"/>
    <col min="7956" max="7958" width="12.28515625" style="968" customWidth="1"/>
    <col min="7959" max="7959" width="13.28515625" style="968" customWidth="1"/>
    <col min="7960" max="7960" width="12.7109375" style="968" customWidth="1"/>
    <col min="7961" max="7961" width="9.140625" style="968"/>
    <col min="7962" max="7962" width="11.140625" style="968" bestFit="1" customWidth="1"/>
    <col min="7963" max="8192" width="9.140625" style="968"/>
    <col min="8193" max="8194" width="5.28515625" style="968" customWidth="1"/>
    <col min="8195" max="8195" width="35.140625" style="968" customWidth="1"/>
    <col min="8196" max="8196" width="6.42578125" style="968" customWidth="1"/>
    <col min="8197" max="8197" width="8.140625" style="968" customWidth="1"/>
    <col min="8198" max="8198" width="5.140625" style="968" customWidth="1"/>
    <col min="8199" max="8199" width="4.85546875" style="968" customWidth="1"/>
    <col min="8200" max="8200" width="14.28515625" style="968" customWidth="1"/>
    <col min="8201" max="8201" width="14.42578125" style="968" customWidth="1"/>
    <col min="8202" max="8202" width="12.28515625" style="968" customWidth="1"/>
    <col min="8203" max="8203" width="11.140625" style="968" customWidth="1"/>
    <col min="8204" max="8204" width="13.85546875" style="968" customWidth="1"/>
    <col min="8205" max="8205" width="11.28515625" style="968" customWidth="1"/>
    <col min="8206" max="8206" width="10.7109375" style="968" customWidth="1"/>
    <col min="8207" max="8207" width="12" style="968" customWidth="1"/>
    <col min="8208" max="8208" width="11.5703125" style="968" customWidth="1"/>
    <col min="8209" max="8209" width="14.28515625" style="968" customWidth="1"/>
    <col min="8210" max="8210" width="13.7109375" style="968" customWidth="1"/>
    <col min="8211" max="8211" width="11.7109375" style="968" customWidth="1"/>
    <col min="8212" max="8214" width="12.28515625" style="968" customWidth="1"/>
    <col min="8215" max="8215" width="13.28515625" style="968" customWidth="1"/>
    <col min="8216" max="8216" width="12.7109375" style="968" customWidth="1"/>
    <col min="8217" max="8217" width="9.140625" style="968"/>
    <col min="8218" max="8218" width="11.140625" style="968" bestFit="1" customWidth="1"/>
    <col min="8219" max="8448" width="9.140625" style="968"/>
    <col min="8449" max="8450" width="5.28515625" style="968" customWidth="1"/>
    <col min="8451" max="8451" width="35.140625" style="968" customWidth="1"/>
    <col min="8452" max="8452" width="6.42578125" style="968" customWidth="1"/>
    <col min="8453" max="8453" width="8.140625" style="968" customWidth="1"/>
    <col min="8454" max="8454" width="5.140625" style="968" customWidth="1"/>
    <col min="8455" max="8455" width="4.85546875" style="968" customWidth="1"/>
    <col min="8456" max="8456" width="14.28515625" style="968" customWidth="1"/>
    <col min="8457" max="8457" width="14.42578125" style="968" customWidth="1"/>
    <col min="8458" max="8458" width="12.28515625" style="968" customWidth="1"/>
    <col min="8459" max="8459" width="11.140625" style="968" customWidth="1"/>
    <col min="8460" max="8460" width="13.85546875" style="968" customWidth="1"/>
    <col min="8461" max="8461" width="11.28515625" style="968" customWidth="1"/>
    <col min="8462" max="8462" width="10.7109375" style="968" customWidth="1"/>
    <col min="8463" max="8463" width="12" style="968" customWidth="1"/>
    <col min="8464" max="8464" width="11.5703125" style="968" customWidth="1"/>
    <col min="8465" max="8465" width="14.28515625" style="968" customWidth="1"/>
    <col min="8466" max="8466" width="13.7109375" style="968" customWidth="1"/>
    <col min="8467" max="8467" width="11.7109375" style="968" customWidth="1"/>
    <col min="8468" max="8470" width="12.28515625" style="968" customWidth="1"/>
    <col min="8471" max="8471" width="13.28515625" style="968" customWidth="1"/>
    <col min="8472" max="8472" width="12.7109375" style="968" customWidth="1"/>
    <col min="8473" max="8473" width="9.140625" style="968"/>
    <col min="8474" max="8474" width="11.140625" style="968" bestFit="1" customWidth="1"/>
    <col min="8475" max="8704" width="9.140625" style="968"/>
    <col min="8705" max="8706" width="5.28515625" style="968" customWidth="1"/>
    <col min="8707" max="8707" width="35.140625" style="968" customWidth="1"/>
    <col min="8708" max="8708" width="6.42578125" style="968" customWidth="1"/>
    <col min="8709" max="8709" width="8.140625" style="968" customWidth="1"/>
    <col min="8710" max="8710" width="5.140625" style="968" customWidth="1"/>
    <col min="8711" max="8711" width="4.85546875" style="968" customWidth="1"/>
    <col min="8712" max="8712" width="14.28515625" style="968" customWidth="1"/>
    <col min="8713" max="8713" width="14.42578125" style="968" customWidth="1"/>
    <col min="8714" max="8714" width="12.28515625" style="968" customWidth="1"/>
    <col min="8715" max="8715" width="11.140625" style="968" customWidth="1"/>
    <col min="8716" max="8716" width="13.85546875" style="968" customWidth="1"/>
    <col min="8717" max="8717" width="11.28515625" style="968" customWidth="1"/>
    <col min="8718" max="8718" width="10.7109375" style="968" customWidth="1"/>
    <col min="8719" max="8719" width="12" style="968" customWidth="1"/>
    <col min="8720" max="8720" width="11.5703125" style="968" customWidth="1"/>
    <col min="8721" max="8721" width="14.28515625" style="968" customWidth="1"/>
    <col min="8722" max="8722" width="13.7109375" style="968" customWidth="1"/>
    <col min="8723" max="8723" width="11.7109375" style="968" customWidth="1"/>
    <col min="8724" max="8726" width="12.28515625" style="968" customWidth="1"/>
    <col min="8727" max="8727" width="13.28515625" style="968" customWidth="1"/>
    <col min="8728" max="8728" width="12.7109375" style="968" customWidth="1"/>
    <col min="8729" max="8729" width="9.140625" style="968"/>
    <col min="8730" max="8730" width="11.140625" style="968" bestFit="1" customWidth="1"/>
    <col min="8731" max="8960" width="9.140625" style="968"/>
    <col min="8961" max="8962" width="5.28515625" style="968" customWidth="1"/>
    <col min="8963" max="8963" width="35.140625" style="968" customWidth="1"/>
    <col min="8964" max="8964" width="6.42578125" style="968" customWidth="1"/>
    <col min="8965" max="8965" width="8.140625" style="968" customWidth="1"/>
    <col min="8966" max="8966" width="5.140625" style="968" customWidth="1"/>
    <col min="8967" max="8967" width="4.85546875" style="968" customWidth="1"/>
    <col min="8968" max="8968" width="14.28515625" style="968" customWidth="1"/>
    <col min="8969" max="8969" width="14.42578125" style="968" customWidth="1"/>
    <col min="8970" max="8970" width="12.28515625" style="968" customWidth="1"/>
    <col min="8971" max="8971" width="11.140625" style="968" customWidth="1"/>
    <col min="8972" max="8972" width="13.85546875" style="968" customWidth="1"/>
    <col min="8973" max="8973" width="11.28515625" style="968" customWidth="1"/>
    <col min="8974" max="8974" width="10.7109375" style="968" customWidth="1"/>
    <col min="8975" max="8975" width="12" style="968" customWidth="1"/>
    <col min="8976" max="8976" width="11.5703125" style="968" customWidth="1"/>
    <col min="8977" max="8977" width="14.28515625" style="968" customWidth="1"/>
    <col min="8978" max="8978" width="13.7109375" style="968" customWidth="1"/>
    <col min="8979" max="8979" width="11.7109375" style="968" customWidth="1"/>
    <col min="8980" max="8982" width="12.28515625" style="968" customWidth="1"/>
    <col min="8983" max="8983" width="13.28515625" style="968" customWidth="1"/>
    <col min="8984" max="8984" width="12.7109375" style="968" customWidth="1"/>
    <col min="8985" max="8985" width="9.140625" style="968"/>
    <col min="8986" max="8986" width="11.140625" style="968" bestFit="1" customWidth="1"/>
    <col min="8987" max="9216" width="9.140625" style="968"/>
    <col min="9217" max="9218" width="5.28515625" style="968" customWidth="1"/>
    <col min="9219" max="9219" width="35.140625" style="968" customWidth="1"/>
    <col min="9220" max="9220" width="6.42578125" style="968" customWidth="1"/>
    <col min="9221" max="9221" width="8.140625" style="968" customWidth="1"/>
    <col min="9222" max="9222" width="5.140625" style="968" customWidth="1"/>
    <col min="9223" max="9223" width="4.85546875" style="968" customWidth="1"/>
    <col min="9224" max="9224" width="14.28515625" style="968" customWidth="1"/>
    <col min="9225" max="9225" width="14.42578125" style="968" customWidth="1"/>
    <col min="9226" max="9226" width="12.28515625" style="968" customWidth="1"/>
    <col min="9227" max="9227" width="11.140625" style="968" customWidth="1"/>
    <col min="9228" max="9228" width="13.85546875" style="968" customWidth="1"/>
    <col min="9229" max="9229" width="11.28515625" style="968" customWidth="1"/>
    <col min="9230" max="9230" width="10.7109375" style="968" customWidth="1"/>
    <col min="9231" max="9231" width="12" style="968" customWidth="1"/>
    <col min="9232" max="9232" width="11.5703125" style="968" customWidth="1"/>
    <col min="9233" max="9233" width="14.28515625" style="968" customWidth="1"/>
    <col min="9234" max="9234" width="13.7109375" style="968" customWidth="1"/>
    <col min="9235" max="9235" width="11.7109375" style="968" customWidth="1"/>
    <col min="9236" max="9238" width="12.28515625" style="968" customWidth="1"/>
    <col min="9239" max="9239" width="13.28515625" style="968" customWidth="1"/>
    <col min="9240" max="9240" width="12.7109375" style="968" customWidth="1"/>
    <col min="9241" max="9241" width="9.140625" style="968"/>
    <col min="9242" max="9242" width="11.140625" style="968" bestFit="1" customWidth="1"/>
    <col min="9243" max="9472" width="9.140625" style="968"/>
    <col min="9473" max="9474" width="5.28515625" style="968" customWidth="1"/>
    <col min="9475" max="9475" width="35.140625" style="968" customWidth="1"/>
    <col min="9476" max="9476" width="6.42578125" style="968" customWidth="1"/>
    <col min="9477" max="9477" width="8.140625" style="968" customWidth="1"/>
    <col min="9478" max="9478" width="5.140625" style="968" customWidth="1"/>
    <col min="9479" max="9479" width="4.85546875" style="968" customWidth="1"/>
    <col min="9480" max="9480" width="14.28515625" style="968" customWidth="1"/>
    <col min="9481" max="9481" width="14.42578125" style="968" customWidth="1"/>
    <col min="9482" max="9482" width="12.28515625" style="968" customWidth="1"/>
    <col min="9483" max="9483" width="11.140625" style="968" customWidth="1"/>
    <col min="9484" max="9484" width="13.85546875" style="968" customWidth="1"/>
    <col min="9485" max="9485" width="11.28515625" style="968" customWidth="1"/>
    <col min="9486" max="9486" width="10.7109375" style="968" customWidth="1"/>
    <col min="9487" max="9487" width="12" style="968" customWidth="1"/>
    <col min="9488" max="9488" width="11.5703125" style="968" customWidth="1"/>
    <col min="9489" max="9489" width="14.28515625" style="968" customWidth="1"/>
    <col min="9490" max="9490" width="13.7109375" style="968" customWidth="1"/>
    <col min="9491" max="9491" width="11.7109375" style="968" customWidth="1"/>
    <col min="9492" max="9494" width="12.28515625" style="968" customWidth="1"/>
    <col min="9495" max="9495" width="13.28515625" style="968" customWidth="1"/>
    <col min="9496" max="9496" width="12.7109375" style="968" customWidth="1"/>
    <col min="9497" max="9497" width="9.140625" style="968"/>
    <col min="9498" max="9498" width="11.140625" style="968" bestFit="1" customWidth="1"/>
    <col min="9499" max="9728" width="9.140625" style="968"/>
    <col min="9729" max="9730" width="5.28515625" style="968" customWidth="1"/>
    <col min="9731" max="9731" width="35.140625" style="968" customWidth="1"/>
    <col min="9732" max="9732" width="6.42578125" style="968" customWidth="1"/>
    <col min="9733" max="9733" width="8.140625" style="968" customWidth="1"/>
    <col min="9734" max="9734" width="5.140625" style="968" customWidth="1"/>
    <col min="9735" max="9735" width="4.85546875" style="968" customWidth="1"/>
    <col min="9736" max="9736" width="14.28515625" style="968" customWidth="1"/>
    <col min="9737" max="9737" width="14.42578125" style="968" customWidth="1"/>
    <col min="9738" max="9738" width="12.28515625" style="968" customWidth="1"/>
    <col min="9739" max="9739" width="11.140625" style="968" customWidth="1"/>
    <col min="9740" max="9740" width="13.85546875" style="968" customWidth="1"/>
    <col min="9741" max="9741" width="11.28515625" style="968" customWidth="1"/>
    <col min="9742" max="9742" width="10.7109375" style="968" customWidth="1"/>
    <col min="9743" max="9743" width="12" style="968" customWidth="1"/>
    <col min="9744" max="9744" width="11.5703125" style="968" customWidth="1"/>
    <col min="9745" max="9745" width="14.28515625" style="968" customWidth="1"/>
    <col min="9746" max="9746" width="13.7109375" style="968" customWidth="1"/>
    <col min="9747" max="9747" width="11.7109375" style="968" customWidth="1"/>
    <col min="9748" max="9750" width="12.28515625" style="968" customWidth="1"/>
    <col min="9751" max="9751" width="13.28515625" style="968" customWidth="1"/>
    <col min="9752" max="9752" width="12.7109375" style="968" customWidth="1"/>
    <col min="9753" max="9753" width="9.140625" style="968"/>
    <col min="9754" max="9754" width="11.140625" style="968" bestFit="1" customWidth="1"/>
    <col min="9755" max="9984" width="9.140625" style="968"/>
    <col min="9985" max="9986" width="5.28515625" style="968" customWidth="1"/>
    <col min="9987" max="9987" width="35.140625" style="968" customWidth="1"/>
    <col min="9988" max="9988" width="6.42578125" style="968" customWidth="1"/>
    <col min="9989" max="9989" width="8.140625" style="968" customWidth="1"/>
    <col min="9990" max="9990" width="5.140625" style="968" customWidth="1"/>
    <col min="9991" max="9991" width="4.85546875" style="968" customWidth="1"/>
    <col min="9992" max="9992" width="14.28515625" style="968" customWidth="1"/>
    <col min="9993" max="9993" width="14.42578125" style="968" customWidth="1"/>
    <col min="9994" max="9994" width="12.28515625" style="968" customWidth="1"/>
    <col min="9995" max="9995" width="11.140625" style="968" customWidth="1"/>
    <col min="9996" max="9996" width="13.85546875" style="968" customWidth="1"/>
    <col min="9997" max="9997" width="11.28515625" style="968" customWidth="1"/>
    <col min="9998" max="9998" width="10.7109375" style="968" customWidth="1"/>
    <col min="9999" max="9999" width="12" style="968" customWidth="1"/>
    <col min="10000" max="10000" width="11.5703125" style="968" customWidth="1"/>
    <col min="10001" max="10001" width="14.28515625" style="968" customWidth="1"/>
    <col min="10002" max="10002" width="13.7109375" style="968" customWidth="1"/>
    <col min="10003" max="10003" width="11.7109375" style="968" customWidth="1"/>
    <col min="10004" max="10006" width="12.28515625" style="968" customWidth="1"/>
    <col min="10007" max="10007" width="13.28515625" style="968" customWidth="1"/>
    <col min="10008" max="10008" width="12.7109375" style="968" customWidth="1"/>
    <col min="10009" max="10009" width="9.140625" style="968"/>
    <col min="10010" max="10010" width="11.140625" style="968" bestFit="1" customWidth="1"/>
    <col min="10011" max="10240" width="9.140625" style="968"/>
    <col min="10241" max="10242" width="5.28515625" style="968" customWidth="1"/>
    <col min="10243" max="10243" width="35.140625" style="968" customWidth="1"/>
    <col min="10244" max="10244" width="6.42578125" style="968" customWidth="1"/>
    <col min="10245" max="10245" width="8.140625" style="968" customWidth="1"/>
    <col min="10246" max="10246" width="5.140625" style="968" customWidth="1"/>
    <col min="10247" max="10247" width="4.85546875" style="968" customWidth="1"/>
    <col min="10248" max="10248" width="14.28515625" style="968" customWidth="1"/>
    <col min="10249" max="10249" width="14.42578125" style="968" customWidth="1"/>
    <col min="10250" max="10250" width="12.28515625" style="968" customWidth="1"/>
    <col min="10251" max="10251" width="11.140625" style="968" customWidth="1"/>
    <col min="10252" max="10252" width="13.85546875" style="968" customWidth="1"/>
    <col min="10253" max="10253" width="11.28515625" style="968" customWidth="1"/>
    <col min="10254" max="10254" width="10.7109375" style="968" customWidth="1"/>
    <col min="10255" max="10255" width="12" style="968" customWidth="1"/>
    <col min="10256" max="10256" width="11.5703125" style="968" customWidth="1"/>
    <col min="10257" max="10257" width="14.28515625" style="968" customWidth="1"/>
    <col min="10258" max="10258" width="13.7109375" style="968" customWidth="1"/>
    <col min="10259" max="10259" width="11.7109375" style="968" customWidth="1"/>
    <col min="10260" max="10262" width="12.28515625" style="968" customWidth="1"/>
    <col min="10263" max="10263" width="13.28515625" style="968" customWidth="1"/>
    <col min="10264" max="10264" width="12.7109375" style="968" customWidth="1"/>
    <col min="10265" max="10265" width="9.140625" style="968"/>
    <col min="10266" max="10266" width="11.140625" style="968" bestFit="1" customWidth="1"/>
    <col min="10267" max="10496" width="9.140625" style="968"/>
    <col min="10497" max="10498" width="5.28515625" style="968" customWidth="1"/>
    <col min="10499" max="10499" width="35.140625" style="968" customWidth="1"/>
    <col min="10500" max="10500" width="6.42578125" style="968" customWidth="1"/>
    <col min="10501" max="10501" width="8.140625" style="968" customWidth="1"/>
    <col min="10502" max="10502" width="5.140625" style="968" customWidth="1"/>
    <col min="10503" max="10503" width="4.85546875" style="968" customWidth="1"/>
    <col min="10504" max="10504" width="14.28515625" style="968" customWidth="1"/>
    <col min="10505" max="10505" width="14.42578125" style="968" customWidth="1"/>
    <col min="10506" max="10506" width="12.28515625" style="968" customWidth="1"/>
    <col min="10507" max="10507" width="11.140625" style="968" customWidth="1"/>
    <col min="10508" max="10508" width="13.85546875" style="968" customWidth="1"/>
    <col min="10509" max="10509" width="11.28515625" style="968" customWidth="1"/>
    <col min="10510" max="10510" width="10.7109375" style="968" customWidth="1"/>
    <col min="10511" max="10511" width="12" style="968" customWidth="1"/>
    <col min="10512" max="10512" width="11.5703125" style="968" customWidth="1"/>
    <col min="10513" max="10513" width="14.28515625" style="968" customWidth="1"/>
    <col min="10514" max="10514" width="13.7109375" style="968" customWidth="1"/>
    <col min="10515" max="10515" width="11.7109375" style="968" customWidth="1"/>
    <col min="10516" max="10518" width="12.28515625" style="968" customWidth="1"/>
    <col min="10519" max="10519" width="13.28515625" style="968" customWidth="1"/>
    <col min="10520" max="10520" width="12.7109375" style="968" customWidth="1"/>
    <col min="10521" max="10521" width="9.140625" style="968"/>
    <col min="10522" max="10522" width="11.140625" style="968" bestFit="1" customWidth="1"/>
    <col min="10523" max="10752" width="9.140625" style="968"/>
    <col min="10753" max="10754" width="5.28515625" style="968" customWidth="1"/>
    <col min="10755" max="10755" width="35.140625" style="968" customWidth="1"/>
    <col min="10756" max="10756" width="6.42578125" style="968" customWidth="1"/>
    <col min="10757" max="10757" width="8.140625" style="968" customWidth="1"/>
    <col min="10758" max="10758" width="5.140625" style="968" customWidth="1"/>
    <col min="10759" max="10759" width="4.85546875" style="968" customWidth="1"/>
    <col min="10760" max="10760" width="14.28515625" style="968" customWidth="1"/>
    <col min="10761" max="10761" width="14.42578125" style="968" customWidth="1"/>
    <col min="10762" max="10762" width="12.28515625" style="968" customWidth="1"/>
    <col min="10763" max="10763" width="11.140625" style="968" customWidth="1"/>
    <col min="10764" max="10764" width="13.85546875" style="968" customWidth="1"/>
    <col min="10765" max="10765" width="11.28515625" style="968" customWidth="1"/>
    <col min="10766" max="10766" width="10.7109375" style="968" customWidth="1"/>
    <col min="10767" max="10767" width="12" style="968" customWidth="1"/>
    <col min="10768" max="10768" width="11.5703125" style="968" customWidth="1"/>
    <col min="10769" max="10769" width="14.28515625" style="968" customWidth="1"/>
    <col min="10770" max="10770" width="13.7109375" style="968" customWidth="1"/>
    <col min="10771" max="10771" width="11.7109375" style="968" customWidth="1"/>
    <col min="10772" max="10774" width="12.28515625" style="968" customWidth="1"/>
    <col min="10775" max="10775" width="13.28515625" style="968" customWidth="1"/>
    <col min="10776" max="10776" width="12.7109375" style="968" customWidth="1"/>
    <col min="10777" max="10777" width="9.140625" style="968"/>
    <col min="10778" max="10778" width="11.140625" style="968" bestFit="1" customWidth="1"/>
    <col min="10779" max="11008" width="9.140625" style="968"/>
    <col min="11009" max="11010" width="5.28515625" style="968" customWidth="1"/>
    <col min="11011" max="11011" width="35.140625" style="968" customWidth="1"/>
    <col min="11012" max="11012" width="6.42578125" style="968" customWidth="1"/>
    <col min="11013" max="11013" width="8.140625" style="968" customWidth="1"/>
    <col min="11014" max="11014" width="5.140625" style="968" customWidth="1"/>
    <col min="11015" max="11015" width="4.85546875" style="968" customWidth="1"/>
    <col min="11016" max="11016" width="14.28515625" style="968" customWidth="1"/>
    <col min="11017" max="11017" width="14.42578125" style="968" customWidth="1"/>
    <col min="11018" max="11018" width="12.28515625" style="968" customWidth="1"/>
    <col min="11019" max="11019" width="11.140625" style="968" customWidth="1"/>
    <col min="11020" max="11020" width="13.85546875" style="968" customWidth="1"/>
    <col min="11021" max="11021" width="11.28515625" style="968" customWidth="1"/>
    <col min="11022" max="11022" width="10.7109375" style="968" customWidth="1"/>
    <col min="11023" max="11023" width="12" style="968" customWidth="1"/>
    <col min="11024" max="11024" width="11.5703125" style="968" customWidth="1"/>
    <col min="11025" max="11025" width="14.28515625" style="968" customWidth="1"/>
    <col min="11026" max="11026" width="13.7109375" style="968" customWidth="1"/>
    <col min="11027" max="11027" width="11.7109375" style="968" customWidth="1"/>
    <col min="11028" max="11030" width="12.28515625" style="968" customWidth="1"/>
    <col min="11031" max="11031" width="13.28515625" style="968" customWidth="1"/>
    <col min="11032" max="11032" width="12.7109375" style="968" customWidth="1"/>
    <col min="11033" max="11033" width="9.140625" style="968"/>
    <col min="11034" max="11034" width="11.140625" style="968" bestFit="1" customWidth="1"/>
    <col min="11035" max="11264" width="9.140625" style="968"/>
    <col min="11265" max="11266" width="5.28515625" style="968" customWidth="1"/>
    <col min="11267" max="11267" width="35.140625" style="968" customWidth="1"/>
    <col min="11268" max="11268" width="6.42578125" style="968" customWidth="1"/>
    <col min="11269" max="11269" width="8.140625" style="968" customWidth="1"/>
    <col min="11270" max="11270" width="5.140625" style="968" customWidth="1"/>
    <col min="11271" max="11271" width="4.85546875" style="968" customWidth="1"/>
    <col min="11272" max="11272" width="14.28515625" style="968" customWidth="1"/>
    <col min="11273" max="11273" width="14.42578125" style="968" customWidth="1"/>
    <col min="11274" max="11274" width="12.28515625" style="968" customWidth="1"/>
    <col min="11275" max="11275" width="11.140625" style="968" customWidth="1"/>
    <col min="11276" max="11276" width="13.85546875" style="968" customWidth="1"/>
    <col min="11277" max="11277" width="11.28515625" style="968" customWidth="1"/>
    <col min="11278" max="11278" width="10.7109375" style="968" customWidth="1"/>
    <col min="11279" max="11279" width="12" style="968" customWidth="1"/>
    <col min="11280" max="11280" width="11.5703125" style="968" customWidth="1"/>
    <col min="11281" max="11281" width="14.28515625" style="968" customWidth="1"/>
    <col min="11282" max="11282" width="13.7109375" style="968" customWidth="1"/>
    <col min="11283" max="11283" width="11.7109375" style="968" customWidth="1"/>
    <col min="11284" max="11286" width="12.28515625" style="968" customWidth="1"/>
    <col min="11287" max="11287" width="13.28515625" style="968" customWidth="1"/>
    <col min="11288" max="11288" width="12.7109375" style="968" customWidth="1"/>
    <col min="11289" max="11289" width="9.140625" style="968"/>
    <col min="11290" max="11290" width="11.140625" style="968" bestFit="1" customWidth="1"/>
    <col min="11291" max="11520" width="9.140625" style="968"/>
    <col min="11521" max="11522" width="5.28515625" style="968" customWidth="1"/>
    <col min="11523" max="11523" width="35.140625" style="968" customWidth="1"/>
    <col min="11524" max="11524" width="6.42578125" style="968" customWidth="1"/>
    <col min="11525" max="11525" width="8.140625" style="968" customWidth="1"/>
    <col min="11526" max="11526" width="5.140625" style="968" customWidth="1"/>
    <col min="11527" max="11527" width="4.85546875" style="968" customWidth="1"/>
    <col min="11528" max="11528" width="14.28515625" style="968" customWidth="1"/>
    <col min="11529" max="11529" width="14.42578125" style="968" customWidth="1"/>
    <col min="11530" max="11530" width="12.28515625" style="968" customWidth="1"/>
    <col min="11531" max="11531" width="11.140625" style="968" customWidth="1"/>
    <col min="11532" max="11532" width="13.85546875" style="968" customWidth="1"/>
    <col min="11533" max="11533" width="11.28515625" style="968" customWidth="1"/>
    <col min="11534" max="11534" width="10.7109375" style="968" customWidth="1"/>
    <col min="11535" max="11535" width="12" style="968" customWidth="1"/>
    <col min="11536" max="11536" width="11.5703125" style="968" customWidth="1"/>
    <col min="11537" max="11537" width="14.28515625" style="968" customWidth="1"/>
    <col min="11538" max="11538" width="13.7109375" style="968" customWidth="1"/>
    <col min="11539" max="11539" width="11.7109375" style="968" customWidth="1"/>
    <col min="11540" max="11542" width="12.28515625" style="968" customWidth="1"/>
    <col min="11543" max="11543" width="13.28515625" style="968" customWidth="1"/>
    <col min="11544" max="11544" width="12.7109375" style="968" customWidth="1"/>
    <col min="11545" max="11545" width="9.140625" style="968"/>
    <col min="11546" max="11546" width="11.140625" style="968" bestFit="1" customWidth="1"/>
    <col min="11547" max="11776" width="9.140625" style="968"/>
    <col min="11777" max="11778" width="5.28515625" style="968" customWidth="1"/>
    <col min="11779" max="11779" width="35.140625" style="968" customWidth="1"/>
    <col min="11780" max="11780" width="6.42578125" style="968" customWidth="1"/>
    <col min="11781" max="11781" width="8.140625" style="968" customWidth="1"/>
    <col min="11782" max="11782" width="5.140625" style="968" customWidth="1"/>
    <col min="11783" max="11783" width="4.85546875" style="968" customWidth="1"/>
    <col min="11784" max="11784" width="14.28515625" style="968" customWidth="1"/>
    <col min="11785" max="11785" width="14.42578125" style="968" customWidth="1"/>
    <col min="11786" max="11786" width="12.28515625" style="968" customWidth="1"/>
    <col min="11787" max="11787" width="11.140625" style="968" customWidth="1"/>
    <col min="11788" max="11788" width="13.85546875" style="968" customWidth="1"/>
    <col min="11789" max="11789" width="11.28515625" style="968" customWidth="1"/>
    <col min="11790" max="11790" width="10.7109375" style="968" customWidth="1"/>
    <col min="11791" max="11791" width="12" style="968" customWidth="1"/>
    <col min="11792" max="11792" width="11.5703125" style="968" customWidth="1"/>
    <col min="11793" max="11793" width="14.28515625" style="968" customWidth="1"/>
    <col min="11794" max="11794" width="13.7109375" style="968" customWidth="1"/>
    <col min="11795" max="11795" width="11.7109375" style="968" customWidth="1"/>
    <col min="11796" max="11798" width="12.28515625" style="968" customWidth="1"/>
    <col min="11799" max="11799" width="13.28515625" style="968" customWidth="1"/>
    <col min="11800" max="11800" width="12.7109375" style="968" customWidth="1"/>
    <col min="11801" max="11801" width="9.140625" style="968"/>
    <col min="11802" max="11802" width="11.140625" style="968" bestFit="1" customWidth="1"/>
    <col min="11803" max="12032" width="9.140625" style="968"/>
    <col min="12033" max="12034" width="5.28515625" style="968" customWidth="1"/>
    <col min="12035" max="12035" width="35.140625" style="968" customWidth="1"/>
    <col min="12036" max="12036" width="6.42578125" style="968" customWidth="1"/>
    <col min="12037" max="12037" width="8.140625" style="968" customWidth="1"/>
    <col min="12038" max="12038" width="5.140625" style="968" customWidth="1"/>
    <col min="12039" max="12039" width="4.85546875" style="968" customWidth="1"/>
    <col min="12040" max="12040" width="14.28515625" style="968" customWidth="1"/>
    <col min="12041" max="12041" width="14.42578125" style="968" customWidth="1"/>
    <col min="12042" max="12042" width="12.28515625" style="968" customWidth="1"/>
    <col min="12043" max="12043" width="11.140625" style="968" customWidth="1"/>
    <col min="12044" max="12044" width="13.85546875" style="968" customWidth="1"/>
    <col min="12045" max="12045" width="11.28515625" style="968" customWidth="1"/>
    <col min="12046" max="12046" width="10.7109375" style="968" customWidth="1"/>
    <col min="12047" max="12047" width="12" style="968" customWidth="1"/>
    <col min="12048" max="12048" width="11.5703125" style="968" customWidth="1"/>
    <col min="12049" max="12049" width="14.28515625" style="968" customWidth="1"/>
    <col min="12050" max="12050" width="13.7109375" style="968" customWidth="1"/>
    <col min="12051" max="12051" width="11.7109375" style="968" customWidth="1"/>
    <col min="12052" max="12054" width="12.28515625" style="968" customWidth="1"/>
    <col min="12055" max="12055" width="13.28515625" style="968" customWidth="1"/>
    <col min="12056" max="12056" width="12.7109375" style="968" customWidth="1"/>
    <col min="12057" max="12057" width="9.140625" style="968"/>
    <col min="12058" max="12058" width="11.140625" style="968" bestFit="1" customWidth="1"/>
    <col min="12059" max="12288" width="9.140625" style="968"/>
    <col min="12289" max="12290" width="5.28515625" style="968" customWidth="1"/>
    <col min="12291" max="12291" width="35.140625" style="968" customWidth="1"/>
    <col min="12292" max="12292" width="6.42578125" style="968" customWidth="1"/>
    <col min="12293" max="12293" width="8.140625" style="968" customWidth="1"/>
    <col min="12294" max="12294" width="5.140625" style="968" customWidth="1"/>
    <col min="12295" max="12295" width="4.85546875" style="968" customWidth="1"/>
    <col min="12296" max="12296" width="14.28515625" style="968" customWidth="1"/>
    <col min="12297" max="12297" width="14.42578125" style="968" customWidth="1"/>
    <col min="12298" max="12298" width="12.28515625" style="968" customWidth="1"/>
    <col min="12299" max="12299" width="11.140625" style="968" customWidth="1"/>
    <col min="12300" max="12300" width="13.85546875" style="968" customWidth="1"/>
    <col min="12301" max="12301" width="11.28515625" style="968" customWidth="1"/>
    <col min="12302" max="12302" width="10.7109375" style="968" customWidth="1"/>
    <col min="12303" max="12303" width="12" style="968" customWidth="1"/>
    <col min="12304" max="12304" width="11.5703125" style="968" customWidth="1"/>
    <col min="12305" max="12305" width="14.28515625" style="968" customWidth="1"/>
    <col min="12306" max="12306" width="13.7109375" style="968" customWidth="1"/>
    <col min="12307" max="12307" width="11.7109375" style="968" customWidth="1"/>
    <col min="12308" max="12310" width="12.28515625" style="968" customWidth="1"/>
    <col min="12311" max="12311" width="13.28515625" style="968" customWidth="1"/>
    <col min="12312" max="12312" width="12.7109375" style="968" customWidth="1"/>
    <col min="12313" max="12313" width="9.140625" style="968"/>
    <col min="12314" max="12314" width="11.140625" style="968" bestFit="1" customWidth="1"/>
    <col min="12315" max="12544" width="9.140625" style="968"/>
    <col min="12545" max="12546" width="5.28515625" style="968" customWidth="1"/>
    <col min="12547" max="12547" width="35.140625" style="968" customWidth="1"/>
    <col min="12548" max="12548" width="6.42578125" style="968" customWidth="1"/>
    <col min="12549" max="12549" width="8.140625" style="968" customWidth="1"/>
    <col min="12550" max="12550" width="5.140625" style="968" customWidth="1"/>
    <col min="12551" max="12551" width="4.85546875" style="968" customWidth="1"/>
    <col min="12552" max="12552" width="14.28515625" style="968" customWidth="1"/>
    <col min="12553" max="12553" width="14.42578125" style="968" customWidth="1"/>
    <col min="12554" max="12554" width="12.28515625" style="968" customWidth="1"/>
    <col min="12555" max="12555" width="11.140625" style="968" customWidth="1"/>
    <col min="12556" max="12556" width="13.85546875" style="968" customWidth="1"/>
    <col min="12557" max="12557" width="11.28515625" style="968" customWidth="1"/>
    <col min="12558" max="12558" width="10.7109375" style="968" customWidth="1"/>
    <col min="12559" max="12559" width="12" style="968" customWidth="1"/>
    <col min="12560" max="12560" width="11.5703125" style="968" customWidth="1"/>
    <col min="12561" max="12561" width="14.28515625" style="968" customWidth="1"/>
    <col min="12562" max="12562" width="13.7109375" style="968" customWidth="1"/>
    <col min="12563" max="12563" width="11.7109375" style="968" customWidth="1"/>
    <col min="12564" max="12566" width="12.28515625" style="968" customWidth="1"/>
    <col min="12567" max="12567" width="13.28515625" style="968" customWidth="1"/>
    <col min="12568" max="12568" width="12.7109375" style="968" customWidth="1"/>
    <col min="12569" max="12569" width="9.140625" style="968"/>
    <col min="12570" max="12570" width="11.140625" style="968" bestFit="1" customWidth="1"/>
    <col min="12571" max="12800" width="9.140625" style="968"/>
    <col min="12801" max="12802" width="5.28515625" style="968" customWidth="1"/>
    <col min="12803" max="12803" width="35.140625" style="968" customWidth="1"/>
    <col min="12804" max="12804" width="6.42578125" style="968" customWidth="1"/>
    <col min="12805" max="12805" width="8.140625" style="968" customWidth="1"/>
    <col min="12806" max="12806" width="5.140625" style="968" customWidth="1"/>
    <col min="12807" max="12807" width="4.85546875" style="968" customWidth="1"/>
    <col min="12808" max="12808" width="14.28515625" style="968" customWidth="1"/>
    <col min="12809" max="12809" width="14.42578125" style="968" customWidth="1"/>
    <col min="12810" max="12810" width="12.28515625" style="968" customWidth="1"/>
    <col min="12811" max="12811" width="11.140625" style="968" customWidth="1"/>
    <col min="12812" max="12812" width="13.85546875" style="968" customWidth="1"/>
    <col min="12813" max="12813" width="11.28515625" style="968" customWidth="1"/>
    <col min="12814" max="12814" width="10.7109375" style="968" customWidth="1"/>
    <col min="12815" max="12815" width="12" style="968" customWidth="1"/>
    <col min="12816" max="12816" width="11.5703125" style="968" customWidth="1"/>
    <col min="12817" max="12817" width="14.28515625" style="968" customWidth="1"/>
    <col min="12818" max="12818" width="13.7109375" style="968" customWidth="1"/>
    <col min="12819" max="12819" width="11.7109375" style="968" customWidth="1"/>
    <col min="12820" max="12822" width="12.28515625" style="968" customWidth="1"/>
    <col min="12823" max="12823" width="13.28515625" style="968" customWidth="1"/>
    <col min="12824" max="12824" width="12.7109375" style="968" customWidth="1"/>
    <col min="12825" max="12825" width="9.140625" style="968"/>
    <col min="12826" max="12826" width="11.140625" style="968" bestFit="1" customWidth="1"/>
    <col min="12827" max="13056" width="9.140625" style="968"/>
    <col min="13057" max="13058" width="5.28515625" style="968" customWidth="1"/>
    <col min="13059" max="13059" width="35.140625" style="968" customWidth="1"/>
    <col min="13060" max="13060" width="6.42578125" style="968" customWidth="1"/>
    <col min="13061" max="13061" width="8.140625" style="968" customWidth="1"/>
    <col min="13062" max="13062" width="5.140625" style="968" customWidth="1"/>
    <col min="13063" max="13063" width="4.85546875" style="968" customWidth="1"/>
    <col min="13064" max="13064" width="14.28515625" style="968" customWidth="1"/>
    <col min="13065" max="13065" width="14.42578125" style="968" customWidth="1"/>
    <col min="13066" max="13066" width="12.28515625" style="968" customWidth="1"/>
    <col min="13067" max="13067" width="11.140625" style="968" customWidth="1"/>
    <col min="13068" max="13068" width="13.85546875" style="968" customWidth="1"/>
    <col min="13069" max="13069" width="11.28515625" style="968" customWidth="1"/>
    <col min="13070" max="13070" width="10.7109375" style="968" customWidth="1"/>
    <col min="13071" max="13071" width="12" style="968" customWidth="1"/>
    <col min="13072" max="13072" width="11.5703125" style="968" customWidth="1"/>
    <col min="13073" max="13073" width="14.28515625" style="968" customWidth="1"/>
    <col min="13074" max="13074" width="13.7109375" style="968" customWidth="1"/>
    <col min="13075" max="13075" width="11.7109375" style="968" customWidth="1"/>
    <col min="13076" max="13078" width="12.28515625" style="968" customWidth="1"/>
    <col min="13079" max="13079" width="13.28515625" style="968" customWidth="1"/>
    <col min="13080" max="13080" width="12.7109375" style="968" customWidth="1"/>
    <col min="13081" max="13081" width="9.140625" style="968"/>
    <col min="13082" max="13082" width="11.140625" style="968" bestFit="1" customWidth="1"/>
    <col min="13083" max="13312" width="9.140625" style="968"/>
    <col min="13313" max="13314" width="5.28515625" style="968" customWidth="1"/>
    <col min="13315" max="13315" width="35.140625" style="968" customWidth="1"/>
    <col min="13316" max="13316" width="6.42578125" style="968" customWidth="1"/>
    <col min="13317" max="13317" width="8.140625" style="968" customWidth="1"/>
    <col min="13318" max="13318" width="5.140625" style="968" customWidth="1"/>
    <col min="13319" max="13319" width="4.85546875" style="968" customWidth="1"/>
    <col min="13320" max="13320" width="14.28515625" style="968" customWidth="1"/>
    <col min="13321" max="13321" width="14.42578125" style="968" customWidth="1"/>
    <col min="13322" max="13322" width="12.28515625" style="968" customWidth="1"/>
    <col min="13323" max="13323" width="11.140625" style="968" customWidth="1"/>
    <col min="13324" max="13324" width="13.85546875" style="968" customWidth="1"/>
    <col min="13325" max="13325" width="11.28515625" style="968" customWidth="1"/>
    <col min="13326" max="13326" width="10.7109375" style="968" customWidth="1"/>
    <col min="13327" max="13327" width="12" style="968" customWidth="1"/>
    <col min="13328" max="13328" width="11.5703125" style="968" customWidth="1"/>
    <col min="13329" max="13329" width="14.28515625" style="968" customWidth="1"/>
    <col min="13330" max="13330" width="13.7109375" style="968" customWidth="1"/>
    <col min="13331" max="13331" width="11.7109375" style="968" customWidth="1"/>
    <col min="13332" max="13334" width="12.28515625" style="968" customWidth="1"/>
    <col min="13335" max="13335" width="13.28515625" style="968" customWidth="1"/>
    <col min="13336" max="13336" width="12.7109375" style="968" customWidth="1"/>
    <col min="13337" max="13337" width="9.140625" style="968"/>
    <col min="13338" max="13338" width="11.140625" style="968" bestFit="1" customWidth="1"/>
    <col min="13339" max="13568" width="9.140625" style="968"/>
    <col min="13569" max="13570" width="5.28515625" style="968" customWidth="1"/>
    <col min="13571" max="13571" width="35.140625" style="968" customWidth="1"/>
    <col min="13572" max="13572" width="6.42578125" style="968" customWidth="1"/>
    <col min="13573" max="13573" width="8.140625" style="968" customWidth="1"/>
    <col min="13574" max="13574" width="5.140625" style="968" customWidth="1"/>
    <col min="13575" max="13575" width="4.85546875" style="968" customWidth="1"/>
    <col min="13576" max="13576" width="14.28515625" style="968" customWidth="1"/>
    <col min="13577" max="13577" width="14.42578125" style="968" customWidth="1"/>
    <col min="13578" max="13578" width="12.28515625" style="968" customWidth="1"/>
    <col min="13579" max="13579" width="11.140625" style="968" customWidth="1"/>
    <col min="13580" max="13580" width="13.85546875" style="968" customWidth="1"/>
    <col min="13581" max="13581" width="11.28515625" style="968" customWidth="1"/>
    <col min="13582" max="13582" width="10.7109375" style="968" customWidth="1"/>
    <col min="13583" max="13583" width="12" style="968" customWidth="1"/>
    <col min="13584" max="13584" width="11.5703125" style="968" customWidth="1"/>
    <col min="13585" max="13585" width="14.28515625" style="968" customWidth="1"/>
    <col min="13586" max="13586" width="13.7109375" style="968" customWidth="1"/>
    <col min="13587" max="13587" width="11.7109375" style="968" customWidth="1"/>
    <col min="13588" max="13590" width="12.28515625" style="968" customWidth="1"/>
    <col min="13591" max="13591" width="13.28515625" style="968" customWidth="1"/>
    <col min="13592" max="13592" width="12.7109375" style="968" customWidth="1"/>
    <col min="13593" max="13593" width="9.140625" style="968"/>
    <col min="13594" max="13594" width="11.140625" style="968" bestFit="1" customWidth="1"/>
    <col min="13595" max="13824" width="9.140625" style="968"/>
    <col min="13825" max="13826" width="5.28515625" style="968" customWidth="1"/>
    <col min="13827" max="13827" width="35.140625" style="968" customWidth="1"/>
    <col min="13828" max="13828" width="6.42578125" style="968" customWidth="1"/>
    <col min="13829" max="13829" width="8.140625" style="968" customWidth="1"/>
    <col min="13830" max="13830" width="5.140625" style="968" customWidth="1"/>
    <col min="13831" max="13831" width="4.85546875" style="968" customWidth="1"/>
    <col min="13832" max="13832" width="14.28515625" style="968" customWidth="1"/>
    <col min="13833" max="13833" width="14.42578125" style="968" customWidth="1"/>
    <col min="13834" max="13834" width="12.28515625" style="968" customWidth="1"/>
    <col min="13835" max="13835" width="11.140625" style="968" customWidth="1"/>
    <col min="13836" max="13836" width="13.85546875" style="968" customWidth="1"/>
    <col min="13837" max="13837" width="11.28515625" style="968" customWidth="1"/>
    <col min="13838" max="13838" width="10.7109375" style="968" customWidth="1"/>
    <col min="13839" max="13839" width="12" style="968" customWidth="1"/>
    <col min="13840" max="13840" width="11.5703125" style="968" customWidth="1"/>
    <col min="13841" max="13841" width="14.28515625" style="968" customWidth="1"/>
    <col min="13842" max="13842" width="13.7109375" style="968" customWidth="1"/>
    <col min="13843" max="13843" width="11.7109375" style="968" customWidth="1"/>
    <col min="13844" max="13846" width="12.28515625" style="968" customWidth="1"/>
    <col min="13847" max="13847" width="13.28515625" style="968" customWidth="1"/>
    <col min="13848" max="13848" width="12.7109375" style="968" customWidth="1"/>
    <col min="13849" max="13849" width="9.140625" style="968"/>
    <col min="13850" max="13850" width="11.140625" style="968" bestFit="1" customWidth="1"/>
    <col min="13851" max="14080" width="9.140625" style="968"/>
    <col min="14081" max="14082" width="5.28515625" style="968" customWidth="1"/>
    <col min="14083" max="14083" width="35.140625" style="968" customWidth="1"/>
    <col min="14084" max="14084" width="6.42578125" style="968" customWidth="1"/>
    <col min="14085" max="14085" width="8.140625" style="968" customWidth="1"/>
    <col min="14086" max="14086" width="5.140625" style="968" customWidth="1"/>
    <col min="14087" max="14087" width="4.85546875" style="968" customWidth="1"/>
    <col min="14088" max="14088" width="14.28515625" style="968" customWidth="1"/>
    <col min="14089" max="14089" width="14.42578125" style="968" customWidth="1"/>
    <col min="14090" max="14090" width="12.28515625" style="968" customWidth="1"/>
    <col min="14091" max="14091" width="11.140625" style="968" customWidth="1"/>
    <col min="14092" max="14092" width="13.85546875" style="968" customWidth="1"/>
    <col min="14093" max="14093" width="11.28515625" style="968" customWidth="1"/>
    <col min="14094" max="14094" width="10.7109375" style="968" customWidth="1"/>
    <col min="14095" max="14095" width="12" style="968" customWidth="1"/>
    <col min="14096" max="14096" width="11.5703125" style="968" customWidth="1"/>
    <col min="14097" max="14097" width="14.28515625" style="968" customWidth="1"/>
    <col min="14098" max="14098" width="13.7109375" style="968" customWidth="1"/>
    <col min="14099" max="14099" width="11.7109375" style="968" customWidth="1"/>
    <col min="14100" max="14102" width="12.28515625" style="968" customWidth="1"/>
    <col min="14103" max="14103" width="13.28515625" style="968" customWidth="1"/>
    <col min="14104" max="14104" width="12.7109375" style="968" customWidth="1"/>
    <col min="14105" max="14105" width="9.140625" style="968"/>
    <col min="14106" max="14106" width="11.140625" style="968" bestFit="1" customWidth="1"/>
    <col min="14107" max="14336" width="9.140625" style="968"/>
    <col min="14337" max="14338" width="5.28515625" style="968" customWidth="1"/>
    <col min="14339" max="14339" width="35.140625" style="968" customWidth="1"/>
    <col min="14340" max="14340" width="6.42578125" style="968" customWidth="1"/>
    <col min="14341" max="14341" width="8.140625" style="968" customWidth="1"/>
    <col min="14342" max="14342" width="5.140625" style="968" customWidth="1"/>
    <col min="14343" max="14343" width="4.85546875" style="968" customWidth="1"/>
    <col min="14344" max="14344" width="14.28515625" style="968" customWidth="1"/>
    <col min="14345" max="14345" width="14.42578125" style="968" customWidth="1"/>
    <col min="14346" max="14346" width="12.28515625" style="968" customWidth="1"/>
    <col min="14347" max="14347" width="11.140625" style="968" customWidth="1"/>
    <col min="14348" max="14348" width="13.85546875" style="968" customWidth="1"/>
    <col min="14349" max="14349" width="11.28515625" style="968" customWidth="1"/>
    <col min="14350" max="14350" width="10.7109375" style="968" customWidth="1"/>
    <col min="14351" max="14351" width="12" style="968" customWidth="1"/>
    <col min="14352" max="14352" width="11.5703125" style="968" customWidth="1"/>
    <col min="14353" max="14353" width="14.28515625" style="968" customWidth="1"/>
    <col min="14354" max="14354" width="13.7109375" style="968" customWidth="1"/>
    <col min="14355" max="14355" width="11.7109375" style="968" customWidth="1"/>
    <col min="14356" max="14358" width="12.28515625" style="968" customWidth="1"/>
    <col min="14359" max="14359" width="13.28515625" style="968" customWidth="1"/>
    <col min="14360" max="14360" width="12.7109375" style="968" customWidth="1"/>
    <col min="14361" max="14361" width="9.140625" style="968"/>
    <col min="14362" max="14362" width="11.140625" style="968" bestFit="1" customWidth="1"/>
    <col min="14363" max="14592" width="9.140625" style="968"/>
    <col min="14593" max="14594" width="5.28515625" style="968" customWidth="1"/>
    <col min="14595" max="14595" width="35.140625" style="968" customWidth="1"/>
    <col min="14596" max="14596" width="6.42578125" style="968" customWidth="1"/>
    <col min="14597" max="14597" width="8.140625" style="968" customWidth="1"/>
    <col min="14598" max="14598" width="5.140625" style="968" customWidth="1"/>
    <col min="14599" max="14599" width="4.85546875" style="968" customWidth="1"/>
    <col min="14600" max="14600" width="14.28515625" style="968" customWidth="1"/>
    <col min="14601" max="14601" width="14.42578125" style="968" customWidth="1"/>
    <col min="14602" max="14602" width="12.28515625" style="968" customWidth="1"/>
    <col min="14603" max="14603" width="11.140625" style="968" customWidth="1"/>
    <col min="14604" max="14604" width="13.85546875" style="968" customWidth="1"/>
    <col min="14605" max="14605" width="11.28515625" style="968" customWidth="1"/>
    <col min="14606" max="14606" width="10.7109375" style="968" customWidth="1"/>
    <col min="14607" max="14607" width="12" style="968" customWidth="1"/>
    <col min="14608" max="14608" width="11.5703125" style="968" customWidth="1"/>
    <col min="14609" max="14609" width="14.28515625" style="968" customWidth="1"/>
    <col min="14610" max="14610" width="13.7109375" style="968" customWidth="1"/>
    <col min="14611" max="14611" width="11.7109375" style="968" customWidth="1"/>
    <col min="14612" max="14614" width="12.28515625" style="968" customWidth="1"/>
    <col min="14615" max="14615" width="13.28515625" style="968" customWidth="1"/>
    <col min="14616" max="14616" width="12.7109375" style="968" customWidth="1"/>
    <col min="14617" max="14617" width="9.140625" style="968"/>
    <col min="14618" max="14618" width="11.140625" style="968" bestFit="1" customWidth="1"/>
    <col min="14619" max="14848" width="9.140625" style="968"/>
    <col min="14849" max="14850" width="5.28515625" style="968" customWidth="1"/>
    <col min="14851" max="14851" width="35.140625" style="968" customWidth="1"/>
    <col min="14852" max="14852" width="6.42578125" style="968" customWidth="1"/>
    <col min="14853" max="14853" width="8.140625" style="968" customWidth="1"/>
    <col min="14854" max="14854" width="5.140625" style="968" customWidth="1"/>
    <col min="14855" max="14855" width="4.85546875" style="968" customWidth="1"/>
    <col min="14856" max="14856" width="14.28515625" style="968" customWidth="1"/>
    <col min="14857" max="14857" width="14.42578125" style="968" customWidth="1"/>
    <col min="14858" max="14858" width="12.28515625" style="968" customWidth="1"/>
    <col min="14859" max="14859" width="11.140625" style="968" customWidth="1"/>
    <col min="14860" max="14860" width="13.85546875" style="968" customWidth="1"/>
    <col min="14861" max="14861" width="11.28515625" style="968" customWidth="1"/>
    <col min="14862" max="14862" width="10.7109375" style="968" customWidth="1"/>
    <col min="14863" max="14863" width="12" style="968" customWidth="1"/>
    <col min="14864" max="14864" width="11.5703125" style="968" customWidth="1"/>
    <col min="14865" max="14865" width="14.28515625" style="968" customWidth="1"/>
    <col min="14866" max="14866" width="13.7109375" style="968" customWidth="1"/>
    <col min="14867" max="14867" width="11.7109375" style="968" customWidth="1"/>
    <col min="14868" max="14870" width="12.28515625" style="968" customWidth="1"/>
    <col min="14871" max="14871" width="13.28515625" style="968" customWidth="1"/>
    <col min="14872" max="14872" width="12.7109375" style="968" customWidth="1"/>
    <col min="14873" max="14873" width="9.140625" style="968"/>
    <col min="14874" max="14874" width="11.140625" style="968" bestFit="1" customWidth="1"/>
    <col min="14875" max="15104" width="9.140625" style="968"/>
    <col min="15105" max="15106" width="5.28515625" style="968" customWidth="1"/>
    <col min="15107" max="15107" width="35.140625" style="968" customWidth="1"/>
    <col min="15108" max="15108" width="6.42578125" style="968" customWidth="1"/>
    <col min="15109" max="15109" width="8.140625" style="968" customWidth="1"/>
    <col min="15110" max="15110" width="5.140625" style="968" customWidth="1"/>
    <col min="15111" max="15111" width="4.85546875" style="968" customWidth="1"/>
    <col min="15112" max="15112" width="14.28515625" style="968" customWidth="1"/>
    <col min="15113" max="15113" width="14.42578125" style="968" customWidth="1"/>
    <col min="15114" max="15114" width="12.28515625" style="968" customWidth="1"/>
    <col min="15115" max="15115" width="11.140625" style="968" customWidth="1"/>
    <col min="15116" max="15116" width="13.85546875" style="968" customWidth="1"/>
    <col min="15117" max="15117" width="11.28515625" style="968" customWidth="1"/>
    <col min="15118" max="15118" width="10.7109375" style="968" customWidth="1"/>
    <col min="15119" max="15119" width="12" style="968" customWidth="1"/>
    <col min="15120" max="15120" width="11.5703125" style="968" customWidth="1"/>
    <col min="15121" max="15121" width="14.28515625" style="968" customWidth="1"/>
    <col min="15122" max="15122" width="13.7109375" style="968" customWidth="1"/>
    <col min="15123" max="15123" width="11.7109375" style="968" customWidth="1"/>
    <col min="15124" max="15126" width="12.28515625" style="968" customWidth="1"/>
    <col min="15127" max="15127" width="13.28515625" style="968" customWidth="1"/>
    <col min="15128" max="15128" width="12.7109375" style="968" customWidth="1"/>
    <col min="15129" max="15129" width="9.140625" style="968"/>
    <col min="15130" max="15130" width="11.140625" style="968" bestFit="1" customWidth="1"/>
    <col min="15131" max="15360" width="9.140625" style="968"/>
    <col min="15361" max="15362" width="5.28515625" style="968" customWidth="1"/>
    <col min="15363" max="15363" width="35.140625" style="968" customWidth="1"/>
    <col min="15364" max="15364" width="6.42578125" style="968" customWidth="1"/>
    <col min="15365" max="15365" width="8.140625" style="968" customWidth="1"/>
    <col min="15366" max="15366" width="5.140625" style="968" customWidth="1"/>
    <col min="15367" max="15367" width="4.85546875" style="968" customWidth="1"/>
    <col min="15368" max="15368" width="14.28515625" style="968" customWidth="1"/>
    <col min="15369" max="15369" width="14.42578125" style="968" customWidth="1"/>
    <col min="15370" max="15370" width="12.28515625" style="968" customWidth="1"/>
    <col min="15371" max="15371" width="11.140625" style="968" customWidth="1"/>
    <col min="15372" max="15372" width="13.85546875" style="968" customWidth="1"/>
    <col min="15373" max="15373" width="11.28515625" style="968" customWidth="1"/>
    <col min="15374" max="15374" width="10.7109375" style="968" customWidth="1"/>
    <col min="15375" max="15375" width="12" style="968" customWidth="1"/>
    <col min="15376" max="15376" width="11.5703125" style="968" customWidth="1"/>
    <col min="15377" max="15377" width="14.28515625" style="968" customWidth="1"/>
    <col min="15378" max="15378" width="13.7109375" style="968" customWidth="1"/>
    <col min="15379" max="15379" width="11.7109375" style="968" customWidth="1"/>
    <col min="15380" max="15382" width="12.28515625" style="968" customWidth="1"/>
    <col min="15383" max="15383" width="13.28515625" style="968" customWidth="1"/>
    <col min="15384" max="15384" width="12.7109375" style="968" customWidth="1"/>
    <col min="15385" max="15385" width="9.140625" style="968"/>
    <col min="15386" max="15386" width="11.140625" style="968" bestFit="1" customWidth="1"/>
    <col min="15387" max="15616" width="9.140625" style="968"/>
    <col min="15617" max="15618" width="5.28515625" style="968" customWidth="1"/>
    <col min="15619" max="15619" width="35.140625" style="968" customWidth="1"/>
    <col min="15620" max="15620" width="6.42578125" style="968" customWidth="1"/>
    <col min="15621" max="15621" width="8.140625" style="968" customWidth="1"/>
    <col min="15622" max="15622" width="5.140625" style="968" customWidth="1"/>
    <col min="15623" max="15623" width="4.85546875" style="968" customWidth="1"/>
    <col min="15624" max="15624" width="14.28515625" style="968" customWidth="1"/>
    <col min="15625" max="15625" width="14.42578125" style="968" customWidth="1"/>
    <col min="15626" max="15626" width="12.28515625" style="968" customWidth="1"/>
    <col min="15627" max="15627" width="11.140625" style="968" customWidth="1"/>
    <col min="15628" max="15628" width="13.85546875" style="968" customWidth="1"/>
    <col min="15629" max="15629" width="11.28515625" style="968" customWidth="1"/>
    <col min="15630" max="15630" width="10.7109375" style="968" customWidth="1"/>
    <col min="15631" max="15631" width="12" style="968" customWidth="1"/>
    <col min="15632" max="15632" width="11.5703125" style="968" customWidth="1"/>
    <col min="15633" max="15633" width="14.28515625" style="968" customWidth="1"/>
    <col min="15634" max="15634" width="13.7109375" style="968" customWidth="1"/>
    <col min="15635" max="15635" width="11.7109375" style="968" customWidth="1"/>
    <col min="15636" max="15638" width="12.28515625" style="968" customWidth="1"/>
    <col min="15639" max="15639" width="13.28515625" style="968" customWidth="1"/>
    <col min="15640" max="15640" width="12.7109375" style="968" customWidth="1"/>
    <col min="15641" max="15641" width="9.140625" style="968"/>
    <col min="15642" max="15642" width="11.140625" style="968" bestFit="1" customWidth="1"/>
    <col min="15643" max="15872" width="9.140625" style="968"/>
    <col min="15873" max="15874" width="5.28515625" style="968" customWidth="1"/>
    <col min="15875" max="15875" width="35.140625" style="968" customWidth="1"/>
    <col min="15876" max="15876" width="6.42578125" style="968" customWidth="1"/>
    <col min="15877" max="15877" width="8.140625" style="968" customWidth="1"/>
    <col min="15878" max="15878" width="5.140625" style="968" customWidth="1"/>
    <col min="15879" max="15879" width="4.85546875" style="968" customWidth="1"/>
    <col min="15880" max="15880" width="14.28515625" style="968" customWidth="1"/>
    <col min="15881" max="15881" width="14.42578125" style="968" customWidth="1"/>
    <col min="15882" max="15882" width="12.28515625" style="968" customWidth="1"/>
    <col min="15883" max="15883" width="11.140625" style="968" customWidth="1"/>
    <col min="15884" max="15884" width="13.85546875" style="968" customWidth="1"/>
    <col min="15885" max="15885" width="11.28515625" style="968" customWidth="1"/>
    <col min="15886" max="15886" width="10.7109375" style="968" customWidth="1"/>
    <col min="15887" max="15887" width="12" style="968" customWidth="1"/>
    <col min="15888" max="15888" width="11.5703125" style="968" customWidth="1"/>
    <col min="15889" max="15889" width="14.28515625" style="968" customWidth="1"/>
    <col min="15890" max="15890" width="13.7109375" style="968" customWidth="1"/>
    <col min="15891" max="15891" width="11.7109375" style="968" customWidth="1"/>
    <col min="15892" max="15894" width="12.28515625" style="968" customWidth="1"/>
    <col min="15895" max="15895" width="13.28515625" style="968" customWidth="1"/>
    <col min="15896" max="15896" width="12.7109375" style="968" customWidth="1"/>
    <col min="15897" max="15897" width="9.140625" style="968"/>
    <col min="15898" max="15898" width="11.140625" style="968" bestFit="1" customWidth="1"/>
    <col min="15899" max="16128" width="9.140625" style="968"/>
    <col min="16129" max="16130" width="5.28515625" style="968" customWidth="1"/>
    <col min="16131" max="16131" width="35.140625" style="968" customWidth="1"/>
    <col min="16132" max="16132" width="6.42578125" style="968" customWidth="1"/>
    <col min="16133" max="16133" width="8.140625" style="968" customWidth="1"/>
    <col min="16134" max="16134" width="5.140625" style="968" customWidth="1"/>
    <col min="16135" max="16135" width="4.85546875" style="968" customWidth="1"/>
    <col min="16136" max="16136" width="14.28515625" style="968" customWidth="1"/>
    <col min="16137" max="16137" width="14.42578125" style="968" customWidth="1"/>
    <col min="16138" max="16138" width="12.28515625" style="968" customWidth="1"/>
    <col min="16139" max="16139" width="11.140625" style="968" customWidth="1"/>
    <col min="16140" max="16140" width="13.85546875" style="968" customWidth="1"/>
    <col min="16141" max="16141" width="11.28515625" style="968" customWidth="1"/>
    <col min="16142" max="16142" width="10.7109375" style="968" customWidth="1"/>
    <col min="16143" max="16143" width="12" style="968" customWidth="1"/>
    <col min="16144" max="16144" width="11.5703125" style="968" customWidth="1"/>
    <col min="16145" max="16145" width="14.28515625" style="968" customWidth="1"/>
    <col min="16146" max="16146" width="13.7109375" style="968" customWidth="1"/>
    <col min="16147" max="16147" width="11.7109375" style="968" customWidth="1"/>
    <col min="16148" max="16150" width="12.28515625" style="968" customWidth="1"/>
    <col min="16151" max="16151" width="13.28515625" style="968" customWidth="1"/>
    <col min="16152" max="16152" width="12.7109375" style="968" customWidth="1"/>
    <col min="16153" max="16153" width="9.140625" style="968"/>
    <col min="16154" max="16154" width="11.140625" style="968" bestFit="1" customWidth="1"/>
    <col min="16155" max="16384" width="9.140625" style="968"/>
  </cols>
  <sheetData>
    <row r="1" spans="1:26" ht="26.2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6" ht="15" customHeight="1" x14ac:dyDescent="0.25">
      <c r="A2" s="970"/>
      <c r="B2" s="970"/>
      <c r="C2" s="970"/>
      <c r="D2" s="970"/>
      <c r="E2" s="970"/>
      <c r="F2" s="970"/>
      <c r="G2" s="970"/>
      <c r="H2" s="970"/>
      <c r="I2" s="970"/>
      <c r="J2" s="970"/>
      <c r="K2" s="970"/>
      <c r="L2" s="970"/>
      <c r="M2" s="970"/>
      <c r="N2" s="970"/>
      <c r="O2" s="970"/>
      <c r="P2" s="970"/>
      <c r="Q2" s="970"/>
      <c r="R2" s="970"/>
      <c r="S2" s="970"/>
      <c r="T2" s="970"/>
      <c r="U2" s="970"/>
      <c r="V2" s="970"/>
      <c r="W2" s="970"/>
      <c r="X2" s="970"/>
    </row>
    <row r="3" spans="1:26" ht="26.25" customHeight="1" x14ac:dyDescent="0.25">
      <c r="A3" s="2055" t="s">
        <v>1715</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row>
    <row r="4" spans="1:26" x14ac:dyDescent="0.25">
      <c r="Q4" s="968"/>
    </row>
    <row r="5" spans="1:26" x14ac:dyDescent="0.25">
      <c r="A5" s="2056" t="s">
        <v>37</v>
      </c>
      <c r="B5" s="1773" t="s">
        <v>1640</v>
      </c>
      <c r="C5" s="2058" t="s">
        <v>2</v>
      </c>
      <c r="D5" s="2037" t="s">
        <v>1641</v>
      </c>
      <c r="E5" s="2037" t="s">
        <v>116</v>
      </c>
      <c r="F5" s="2037" t="s">
        <v>1642</v>
      </c>
      <c r="G5" s="2037" t="s">
        <v>1643</v>
      </c>
      <c r="H5" s="2039" t="s">
        <v>1644</v>
      </c>
      <c r="I5" s="2039"/>
      <c r="J5" s="2039"/>
      <c r="K5" s="2039"/>
      <c r="L5" s="2039"/>
      <c r="M5" s="2039"/>
      <c r="N5" s="2039"/>
      <c r="O5" s="2066"/>
      <c r="P5" s="1433"/>
      <c r="Q5" s="2071" t="s">
        <v>1645</v>
      </c>
      <c r="R5" s="2039"/>
      <c r="S5" s="2039"/>
      <c r="T5" s="2039"/>
      <c r="U5" s="2039"/>
      <c r="V5" s="2039"/>
      <c r="W5" s="2039"/>
      <c r="X5" s="2041"/>
    </row>
    <row r="6" spans="1:26" ht="85.15" customHeight="1" x14ac:dyDescent="0.25">
      <c r="A6" s="2057"/>
      <c r="B6" s="1774"/>
      <c r="C6" s="2059"/>
      <c r="D6" s="2038"/>
      <c r="E6" s="2038"/>
      <c r="F6" s="2038"/>
      <c r="G6" s="2038"/>
      <c r="H6" s="941" t="s">
        <v>1716</v>
      </c>
      <c r="I6" s="941" t="s">
        <v>1717</v>
      </c>
      <c r="J6" s="941" t="s">
        <v>1718</v>
      </c>
      <c r="K6" s="941" t="s">
        <v>1719</v>
      </c>
      <c r="L6" s="941" t="s">
        <v>1720</v>
      </c>
      <c r="M6" s="941" t="s">
        <v>1672</v>
      </c>
      <c r="N6" s="941" t="s">
        <v>1673</v>
      </c>
      <c r="O6" s="941" t="s">
        <v>1653</v>
      </c>
      <c r="P6" s="944" t="s">
        <v>1654</v>
      </c>
      <c r="Q6" s="943" t="s">
        <v>1655</v>
      </c>
      <c r="R6" s="941" t="s">
        <v>1656</v>
      </c>
      <c r="S6" s="941" t="s">
        <v>1721</v>
      </c>
      <c r="T6" s="941" t="s">
        <v>1701</v>
      </c>
      <c r="U6" s="941" t="s">
        <v>1659</v>
      </c>
      <c r="V6" s="941" t="s">
        <v>1660</v>
      </c>
      <c r="W6" s="941" t="s">
        <v>1661</v>
      </c>
      <c r="X6" s="944" t="s">
        <v>1714</v>
      </c>
    </row>
    <row r="7" spans="1:26" ht="27" customHeight="1" x14ac:dyDescent="0.25">
      <c r="A7" s="2056" t="s">
        <v>194</v>
      </c>
      <c r="B7" s="2058" t="s">
        <v>198</v>
      </c>
      <c r="C7" s="2060" t="s">
        <v>2038</v>
      </c>
      <c r="D7" s="974" t="s">
        <v>2039</v>
      </c>
      <c r="E7" s="1011" t="s">
        <v>1297</v>
      </c>
      <c r="F7" s="1011" t="s">
        <v>127</v>
      </c>
      <c r="G7" s="1011" t="s">
        <v>1754</v>
      </c>
      <c r="H7" s="949"/>
      <c r="I7" s="949"/>
      <c r="J7" s="949"/>
      <c r="K7" s="949"/>
      <c r="L7" s="949"/>
      <c r="M7" s="949"/>
      <c r="N7" s="949"/>
      <c r="O7" s="949"/>
      <c r="P7" s="976"/>
      <c r="Q7" s="1317"/>
      <c r="R7" s="949"/>
      <c r="S7" s="949"/>
      <c r="T7" s="949"/>
      <c r="U7" s="949"/>
      <c r="V7" s="949"/>
      <c r="W7" s="949"/>
      <c r="X7" s="976">
        <v>3000000</v>
      </c>
    </row>
    <row r="8" spans="1:26" ht="27" customHeight="1" x14ac:dyDescent="0.25">
      <c r="A8" s="2062"/>
      <c r="B8" s="2061"/>
      <c r="C8" s="2028"/>
      <c r="D8" s="978" t="s">
        <v>2039</v>
      </c>
      <c r="E8" s="1000" t="s">
        <v>164</v>
      </c>
      <c r="F8" s="1000" t="s">
        <v>132</v>
      </c>
      <c r="G8" s="1000" t="s">
        <v>1754</v>
      </c>
      <c r="H8" s="980">
        <f>2200000+454867</f>
        <v>2654867</v>
      </c>
      <c r="I8" s="980">
        <v>345133</v>
      </c>
      <c r="J8" s="980"/>
      <c r="K8" s="980"/>
      <c r="L8" s="980"/>
      <c r="M8" s="980"/>
      <c r="N8" s="980"/>
      <c r="O8" s="980"/>
      <c r="P8" s="981"/>
      <c r="Q8" s="1318"/>
      <c r="R8" s="980"/>
      <c r="S8" s="980"/>
      <c r="T8" s="980"/>
      <c r="U8" s="980"/>
      <c r="V8" s="980"/>
      <c r="W8" s="980"/>
      <c r="X8" s="981"/>
    </row>
    <row r="9" spans="1:26" ht="41.25" customHeight="1" x14ac:dyDescent="0.25">
      <c r="A9" s="1432" t="s">
        <v>195</v>
      </c>
      <c r="B9" s="1431" t="s">
        <v>199</v>
      </c>
      <c r="C9" s="977" t="s">
        <v>2089</v>
      </c>
      <c r="D9" s="978" t="s">
        <v>2039</v>
      </c>
      <c r="E9" s="1000" t="s">
        <v>164</v>
      </c>
      <c r="F9" s="1000" t="s">
        <v>90</v>
      </c>
      <c r="G9" s="1000" t="s">
        <v>1766</v>
      </c>
      <c r="H9" s="980"/>
      <c r="I9" s="980"/>
      <c r="J9" s="980">
        <f>-157480-42520+200000</f>
        <v>0</v>
      </c>
      <c r="K9" s="980"/>
      <c r="L9" s="980"/>
      <c r="M9" s="980"/>
      <c r="N9" s="980"/>
      <c r="O9" s="980"/>
      <c r="P9" s="981"/>
      <c r="Q9" s="1318"/>
      <c r="R9" s="980"/>
      <c r="S9" s="980"/>
      <c r="T9" s="980"/>
      <c r="U9" s="980"/>
      <c r="V9" s="980"/>
      <c r="W9" s="980"/>
      <c r="X9" s="981"/>
    </row>
    <row r="10" spans="1:26" ht="19.5" customHeight="1" x14ac:dyDescent="0.25">
      <c r="A10" s="1429"/>
      <c r="B10" s="1430"/>
      <c r="C10" s="982"/>
      <c r="D10" s="1055"/>
      <c r="E10" s="1056"/>
      <c r="F10" s="1056"/>
      <c r="G10" s="1056"/>
      <c r="H10" s="985"/>
      <c r="I10" s="985"/>
      <c r="J10" s="985"/>
      <c r="K10" s="985"/>
      <c r="L10" s="985"/>
      <c r="M10" s="985"/>
      <c r="N10" s="985"/>
      <c r="O10" s="985"/>
      <c r="P10" s="986"/>
      <c r="Q10" s="1319"/>
      <c r="R10" s="985"/>
      <c r="S10" s="985"/>
      <c r="T10" s="985"/>
      <c r="U10" s="985"/>
      <c r="V10" s="985"/>
      <c r="W10" s="985"/>
      <c r="X10" s="986"/>
    </row>
    <row r="11" spans="1:26" ht="21" customHeight="1" x14ac:dyDescent="0.3">
      <c r="A11" s="2021" t="s">
        <v>1663</v>
      </c>
      <c r="B11" s="2022"/>
      <c r="C11" s="2022"/>
      <c r="D11" s="1057"/>
      <c r="E11" s="1057"/>
      <c r="F11" s="1057"/>
      <c r="G11" s="1057"/>
      <c r="H11" s="1252">
        <f t="shared" ref="H11:X11" si="0">SUM(H7:H10)</f>
        <v>2654867</v>
      </c>
      <c r="I11" s="1252">
        <f t="shared" si="0"/>
        <v>345133</v>
      </c>
      <c r="J11" s="1252">
        <f t="shared" si="0"/>
        <v>0</v>
      </c>
      <c r="K11" s="1252">
        <f t="shared" si="0"/>
        <v>0</v>
      </c>
      <c r="L11" s="1252">
        <f t="shared" si="0"/>
        <v>0</v>
      </c>
      <c r="M11" s="1252">
        <f t="shared" si="0"/>
        <v>0</v>
      </c>
      <c r="N11" s="1252">
        <f t="shared" si="0"/>
        <v>0</v>
      </c>
      <c r="O11" s="1252">
        <f t="shared" si="0"/>
        <v>0</v>
      </c>
      <c r="P11" s="1059">
        <f t="shared" si="0"/>
        <v>0</v>
      </c>
      <c r="Q11" s="1060">
        <f t="shared" si="0"/>
        <v>0</v>
      </c>
      <c r="R11" s="1058">
        <f t="shared" si="0"/>
        <v>0</v>
      </c>
      <c r="S11" s="1058">
        <f t="shared" si="0"/>
        <v>0</v>
      </c>
      <c r="T11" s="1058">
        <f t="shared" si="0"/>
        <v>0</v>
      </c>
      <c r="U11" s="1058">
        <f t="shared" si="0"/>
        <v>0</v>
      </c>
      <c r="V11" s="1058">
        <f t="shared" si="0"/>
        <v>0</v>
      </c>
      <c r="W11" s="1058">
        <f t="shared" si="0"/>
        <v>0</v>
      </c>
      <c r="X11" s="1220">
        <f t="shared" si="0"/>
        <v>3000000</v>
      </c>
    </row>
    <row r="12" spans="1:26" x14ac:dyDescent="0.25">
      <c r="A12" s="991"/>
      <c r="B12" s="991"/>
      <c r="C12" s="991"/>
      <c r="D12" s="1061"/>
      <c r="E12" s="1062"/>
      <c r="F12" s="1062"/>
      <c r="G12" s="1063"/>
      <c r="H12" s="1064"/>
      <c r="I12" s="1064"/>
      <c r="J12" s="1064"/>
      <c r="K12" s="1064"/>
      <c r="L12" s="1064"/>
      <c r="M12" s="1064"/>
      <c r="N12" s="1064"/>
      <c r="O12" s="1064"/>
      <c r="P12" s="1064"/>
      <c r="Q12" s="1064"/>
      <c r="R12" s="1064"/>
      <c r="S12" s="1064"/>
      <c r="T12" s="1064"/>
      <c r="U12" s="1064"/>
      <c r="V12" s="1064"/>
      <c r="W12" s="1064"/>
      <c r="X12" s="1064"/>
    </row>
    <row r="13" spans="1:26" x14ac:dyDescent="0.25">
      <c r="A13" s="991"/>
      <c r="B13" s="991"/>
      <c r="C13" s="991"/>
      <c r="D13" s="1061"/>
      <c r="E13" s="1062"/>
      <c r="F13" s="1062"/>
      <c r="G13" s="1063"/>
      <c r="H13" s="1064"/>
      <c r="I13" s="1064"/>
      <c r="J13" s="1064"/>
      <c r="K13" s="1064"/>
      <c r="L13" s="1064"/>
      <c r="M13" s="1064"/>
      <c r="N13" s="1064"/>
      <c r="O13" s="1064"/>
      <c r="P13" s="1064"/>
      <c r="Q13" s="1064"/>
      <c r="R13" s="1064"/>
      <c r="S13" s="1064"/>
      <c r="T13" s="1064"/>
      <c r="U13" s="1064"/>
      <c r="V13" s="1064"/>
      <c r="W13" s="1064"/>
      <c r="X13" s="1064"/>
    </row>
    <row r="14" spans="1:26" ht="15.75" x14ac:dyDescent="0.25">
      <c r="A14" s="1065"/>
      <c r="B14" s="1065"/>
      <c r="C14" s="1065"/>
      <c r="D14" s="970"/>
      <c r="E14" s="1066"/>
      <c r="F14" s="1066"/>
      <c r="G14" s="1067"/>
      <c r="H14" s="1068"/>
      <c r="I14" s="1068"/>
      <c r="J14" s="1068"/>
      <c r="K14" s="1068"/>
      <c r="L14" s="1068"/>
      <c r="M14" s="1068"/>
      <c r="N14" s="1068"/>
      <c r="O14" s="1068"/>
      <c r="P14" s="1068"/>
      <c r="Q14" s="1068"/>
      <c r="R14" s="1068"/>
      <c r="S14" s="1068"/>
      <c r="T14" s="1068"/>
      <c r="U14" s="1068"/>
      <c r="V14" s="1068"/>
      <c r="W14" s="1068"/>
      <c r="X14" s="1068"/>
      <c r="Z14" s="995" t="e">
        <f>+#REF!+'[5]7.sz.függ.Bölcsőde'!W13+'[5]6.sz.függ.Mese Ó.  '!W14+'[5]5.sz.függ.Hétszínvirág Ó. '!W17+'[5]4.sz.függ.Könyvtár '!W13+'[5]3.sz.függ.Ter.Gond. '!W47+'[5]2.sz.függ.PMH bev-kiad'!W26+'[5]1.sz.függ.Önkormány bev-kiad'!W302</f>
        <v>#REF!</v>
      </c>
    </row>
    <row r="15" spans="1:26" ht="20.25" customHeight="1" x14ac:dyDescent="0.25">
      <c r="H15" s="995"/>
      <c r="I15" s="2042" t="s">
        <v>1664</v>
      </c>
      <c r="J15" s="2042"/>
      <c r="K15" s="2042"/>
      <c r="L15" s="2042">
        <v>98532674</v>
      </c>
      <c r="M15" s="2042"/>
      <c r="N15" s="996"/>
      <c r="O15" s="996"/>
      <c r="P15" s="996"/>
      <c r="Q15" s="996"/>
      <c r="R15" s="2042" t="s">
        <v>1665</v>
      </c>
      <c r="S15" s="2042"/>
      <c r="T15" s="2042"/>
      <c r="U15" s="2042">
        <v>98532674</v>
      </c>
      <c r="V15" s="2042"/>
      <c r="W15" s="995"/>
      <c r="X15" s="995"/>
    </row>
    <row r="16" spans="1:26" ht="20.25" customHeight="1" x14ac:dyDescent="0.25">
      <c r="H16" s="995"/>
      <c r="I16" s="2042" t="s">
        <v>1666</v>
      </c>
      <c r="J16" s="2042"/>
      <c r="K16" s="2042"/>
      <c r="L16" s="2042">
        <f>SUM(H11:P11)</f>
        <v>3000000</v>
      </c>
      <c r="M16" s="2042"/>
      <c r="N16" s="996"/>
      <c r="O16" s="996"/>
      <c r="P16" s="996"/>
      <c r="Q16" s="996"/>
      <c r="R16" s="2042" t="s">
        <v>1666</v>
      </c>
      <c r="S16" s="2042"/>
      <c r="T16" s="2042"/>
      <c r="U16" s="2042">
        <f>SUM(Q11:X11)</f>
        <v>3000000</v>
      </c>
      <c r="V16" s="2042"/>
      <c r="W16" s="995"/>
      <c r="X16" s="995"/>
    </row>
    <row r="17" spans="1:24" ht="20.25" customHeight="1" x14ac:dyDescent="0.25">
      <c r="H17" s="995"/>
      <c r="I17" s="2042" t="s">
        <v>1512</v>
      </c>
      <c r="J17" s="2042"/>
      <c r="K17" s="2042"/>
      <c r="L17" s="2042">
        <f>+L15+L16</f>
        <v>101532674</v>
      </c>
      <c r="M17" s="2042"/>
      <c r="N17" s="996"/>
      <c r="O17" s="996"/>
      <c r="P17" s="996"/>
      <c r="Q17" s="996"/>
      <c r="R17" s="2042" t="s">
        <v>1512</v>
      </c>
      <c r="S17" s="2042"/>
      <c r="T17" s="2042"/>
      <c r="U17" s="2042">
        <f>+U15+U16</f>
        <v>101532674</v>
      </c>
      <c r="V17" s="2042"/>
      <c r="W17" s="995"/>
      <c r="X17" s="995"/>
    </row>
    <row r="18" spans="1:24" x14ac:dyDescent="0.25">
      <c r="Q18" s="968"/>
    </row>
    <row r="19" spans="1:24" x14ac:dyDescent="0.25">
      <c r="Q19" s="968"/>
    </row>
    <row r="20" spans="1:24" x14ac:dyDescent="0.25">
      <c r="Q20" s="968"/>
    </row>
    <row r="21" spans="1:24" ht="15.75" x14ac:dyDescent="0.25">
      <c r="A21" s="2010" t="s">
        <v>2555</v>
      </c>
      <c r="B21" s="2010"/>
      <c r="C21" s="2010"/>
      <c r="D21" s="2010"/>
      <c r="E21" s="2010"/>
      <c r="F21" s="2010"/>
      <c r="G21" s="2010"/>
      <c r="H21" s="2010"/>
      <c r="I21" s="2010"/>
      <c r="J21" s="2010"/>
      <c r="K21" s="2010"/>
      <c r="L21" s="2010"/>
      <c r="M21" s="2010"/>
      <c r="N21" s="2010"/>
      <c r="O21" s="2010"/>
      <c r="P21" s="2010"/>
      <c r="Q21" s="2010"/>
      <c r="R21" s="2010"/>
      <c r="S21" s="2010"/>
      <c r="T21" s="2010"/>
      <c r="U21" s="2010"/>
      <c r="V21" s="2010"/>
      <c r="W21" s="2010"/>
      <c r="X21" s="2010"/>
    </row>
    <row r="22" spans="1:24" ht="15.75" x14ac:dyDescent="0.25">
      <c r="A22" s="1246"/>
      <c r="B22" s="1246"/>
      <c r="C22" s="1246"/>
      <c r="D22" s="1246"/>
      <c r="E22" s="1246"/>
      <c r="F22" s="1246"/>
      <c r="G22" s="1246"/>
      <c r="H22" s="1246"/>
      <c r="I22" s="1246"/>
      <c r="J22" s="1246"/>
      <c r="K22" s="1246"/>
      <c r="L22" s="1246"/>
      <c r="M22" s="1246"/>
      <c r="N22" s="1246"/>
      <c r="O22" s="1246"/>
      <c r="P22" s="1246"/>
      <c r="Q22" s="1246"/>
      <c r="R22" s="1246"/>
      <c r="S22" s="1246"/>
      <c r="T22" s="1246"/>
      <c r="U22" s="1246"/>
      <c r="V22" s="1246"/>
      <c r="W22" s="1246"/>
      <c r="X22" s="1246"/>
    </row>
    <row r="23" spans="1:24" ht="17.25" customHeight="1" x14ac:dyDescent="0.25">
      <c r="A23" s="970"/>
      <c r="B23" s="970"/>
      <c r="C23" s="970"/>
      <c r="D23" s="970"/>
      <c r="E23" s="970"/>
      <c r="F23" s="970"/>
      <c r="G23" s="970"/>
      <c r="H23" s="970"/>
      <c r="I23" s="970"/>
      <c r="J23" s="970"/>
      <c r="K23" s="970"/>
      <c r="L23" s="970"/>
      <c r="M23" s="970"/>
      <c r="N23" s="970"/>
      <c r="O23" s="970"/>
      <c r="P23" s="970"/>
      <c r="Q23" s="970"/>
      <c r="R23" s="970"/>
      <c r="S23" s="970"/>
      <c r="T23" s="970"/>
      <c r="U23" s="970"/>
      <c r="V23" s="970"/>
      <c r="W23" s="970"/>
      <c r="X23" s="970"/>
    </row>
    <row r="24" spans="1:24" x14ac:dyDescent="0.25">
      <c r="A24" s="2055" t="s">
        <v>1715</v>
      </c>
      <c r="B24" s="2055"/>
      <c r="C24" s="2055"/>
      <c r="D24" s="2055"/>
      <c r="E24" s="2055"/>
      <c r="F24" s="2055"/>
      <c r="G24" s="2055"/>
      <c r="H24" s="2055"/>
      <c r="I24" s="2055"/>
      <c r="J24" s="2055"/>
      <c r="K24" s="2055"/>
      <c r="L24" s="2055"/>
      <c r="M24" s="2055"/>
      <c r="N24" s="2055"/>
      <c r="O24" s="2055"/>
      <c r="P24" s="2055"/>
      <c r="Q24" s="2055"/>
      <c r="R24" s="2055"/>
      <c r="S24" s="2055"/>
      <c r="T24" s="2055"/>
      <c r="U24" s="2055"/>
      <c r="V24" s="2055"/>
      <c r="W24" s="2055"/>
      <c r="X24" s="2055"/>
    </row>
    <row r="25" spans="1:24" ht="15" customHeight="1" x14ac:dyDescent="0.25">
      <c r="Q25" s="968"/>
    </row>
    <row r="26" spans="1:24" x14ac:dyDescent="0.25">
      <c r="A26" s="2056" t="s">
        <v>37</v>
      </c>
      <c r="B26" s="1773" t="s">
        <v>1640</v>
      </c>
      <c r="C26" s="2058" t="s">
        <v>2</v>
      </c>
      <c r="D26" s="2037" t="s">
        <v>1641</v>
      </c>
      <c r="E26" s="2037" t="s">
        <v>116</v>
      </c>
      <c r="F26" s="2037" t="s">
        <v>1642</v>
      </c>
      <c r="G26" s="2037" t="s">
        <v>1643</v>
      </c>
      <c r="H26" s="2039" t="s">
        <v>1644</v>
      </c>
      <c r="I26" s="2039"/>
      <c r="J26" s="2039"/>
      <c r="K26" s="2039"/>
      <c r="L26" s="2039"/>
      <c r="M26" s="2039"/>
      <c r="N26" s="2039"/>
      <c r="O26" s="2066"/>
      <c r="P26" s="1434"/>
      <c r="Q26" s="2040" t="s">
        <v>1645</v>
      </c>
      <c r="R26" s="2039"/>
      <c r="S26" s="2039"/>
      <c r="T26" s="2039"/>
      <c r="U26" s="2039"/>
      <c r="V26" s="2039"/>
      <c r="W26" s="2039"/>
      <c r="X26" s="2041"/>
    </row>
    <row r="27" spans="1:24" ht="82.5" customHeight="1" x14ac:dyDescent="0.25">
      <c r="A27" s="2057"/>
      <c r="B27" s="1774"/>
      <c r="C27" s="2059"/>
      <c r="D27" s="2038"/>
      <c r="E27" s="2038"/>
      <c r="F27" s="2038"/>
      <c r="G27" s="2038"/>
      <c r="H27" s="941" t="s">
        <v>1716</v>
      </c>
      <c r="I27" s="941" t="s">
        <v>1717</v>
      </c>
      <c r="J27" s="941" t="s">
        <v>1718</v>
      </c>
      <c r="K27" s="941" t="s">
        <v>1719</v>
      </c>
      <c r="L27" s="941" t="s">
        <v>1720</v>
      </c>
      <c r="M27" s="941" t="s">
        <v>1672</v>
      </c>
      <c r="N27" s="941" t="s">
        <v>1673</v>
      </c>
      <c r="O27" s="941" t="s">
        <v>1653</v>
      </c>
      <c r="P27" s="944" t="s">
        <v>1654</v>
      </c>
      <c r="Q27" s="999" t="s">
        <v>1655</v>
      </c>
      <c r="R27" s="941" t="s">
        <v>1656</v>
      </c>
      <c r="S27" s="941" t="s">
        <v>1721</v>
      </c>
      <c r="T27" s="941" t="s">
        <v>1701</v>
      </c>
      <c r="U27" s="941" t="s">
        <v>1659</v>
      </c>
      <c r="V27" s="941" t="s">
        <v>1660</v>
      </c>
      <c r="W27" s="941" t="s">
        <v>1661</v>
      </c>
      <c r="X27" s="944" t="s">
        <v>1714</v>
      </c>
    </row>
    <row r="28" spans="1:24" ht="19.5" customHeight="1" x14ac:dyDescent="0.25">
      <c r="A28" s="2056" t="s">
        <v>196</v>
      </c>
      <c r="B28" s="2058" t="s">
        <v>200</v>
      </c>
      <c r="C28" s="2060" t="s">
        <v>2157</v>
      </c>
      <c r="D28" s="974" t="s">
        <v>2039</v>
      </c>
      <c r="E28" s="1011" t="s">
        <v>1297</v>
      </c>
      <c r="F28" s="1011" t="s">
        <v>127</v>
      </c>
      <c r="G28" s="1011" t="s">
        <v>1754</v>
      </c>
      <c r="H28" s="949"/>
      <c r="I28" s="949"/>
      <c r="J28" s="949"/>
      <c r="K28" s="949"/>
      <c r="L28" s="949"/>
      <c r="M28" s="949"/>
      <c r="N28" s="949"/>
      <c r="O28" s="949"/>
      <c r="P28" s="976"/>
      <c r="Q28" s="1317"/>
      <c r="R28" s="949"/>
      <c r="S28" s="949"/>
      <c r="T28" s="949"/>
      <c r="U28" s="949"/>
      <c r="V28" s="949"/>
      <c r="W28" s="949"/>
      <c r="X28" s="976">
        <v>423750</v>
      </c>
    </row>
    <row r="29" spans="1:24" ht="19.5" customHeight="1" x14ac:dyDescent="0.25">
      <c r="A29" s="2062"/>
      <c r="B29" s="2061"/>
      <c r="C29" s="2028"/>
      <c r="D29" s="978" t="s">
        <v>2039</v>
      </c>
      <c r="E29" s="1000" t="s">
        <v>164</v>
      </c>
      <c r="F29" s="1000" t="s">
        <v>90</v>
      </c>
      <c r="G29" s="1000" t="s">
        <v>1754</v>
      </c>
      <c r="H29" s="980">
        <v>375000</v>
      </c>
      <c r="I29" s="980">
        <v>48750</v>
      </c>
      <c r="J29" s="980"/>
      <c r="K29" s="980"/>
      <c r="L29" s="980"/>
      <c r="M29" s="980"/>
      <c r="N29" s="980"/>
      <c r="O29" s="980"/>
      <c r="P29" s="981"/>
      <c r="Q29" s="1318"/>
      <c r="R29" s="980"/>
      <c r="S29" s="980"/>
      <c r="T29" s="980"/>
      <c r="U29" s="980"/>
      <c r="V29" s="980"/>
      <c r="W29" s="980"/>
      <c r="X29" s="981"/>
    </row>
    <row r="30" spans="1:24" ht="16.5" customHeight="1" x14ac:dyDescent="0.25">
      <c r="A30" s="2062" t="s">
        <v>197</v>
      </c>
      <c r="B30" s="2061" t="s">
        <v>201</v>
      </c>
      <c r="C30" s="2028" t="s">
        <v>2157</v>
      </c>
      <c r="D30" s="978" t="s">
        <v>2039</v>
      </c>
      <c r="E30" s="1000" t="s">
        <v>1297</v>
      </c>
      <c r="F30" s="1000" t="s">
        <v>127</v>
      </c>
      <c r="G30" s="1000" t="s">
        <v>1754</v>
      </c>
      <c r="H30" s="980"/>
      <c r="I30" s="980"/>
      <c r="J30" s="980"/>
      <c r="K30" s="980"/>
      <c r="L30" s="980"/>
      <c r="M30" s="980"/>
      <c r="N30" s="980"/>
      <c r="O30" s="980"/>
      <c r="P30" s="981"/>
      <c r="Q30" s="1318"/>
      <c r="R30" s="980"/>
      <c r="S30" s="980"/>
      <c r="T30" s="980"/>
      <c r="U30" s="980"/>
      <c r="V30" s="980"/>
      <c r="W30" s="980"/>
      <c r="X30" s="981">
        <v>1017000</v>
      </c>
    </row>
    <row r="31" spans="1:24" ht="16.5" customHeight="1" x14ac:dyDescent="0.25">
      <c r="A31" s="2062"/>
      <c r="B31" s="2061"/>
      <c r="C31" s="2028"/>
      <c r="D31" s="978" t="s">
        <v>2039</v>
      </c>
      <c r="E31" s="1000" t="s">
        <v>164</v>
      </c>
      <c r="F31" s="1000" t="s">
        <v>90</v>
      </c>
      <c r="G31" s="1000" t="s">
        <v>1754</v>
      </c>
      <c r="H31" s="980">
        <v>900000</v>
      </c>
      <c r="I31" s="980">
        <v>117000</v>
      </c>
      <c r="J31" s="980"/>
      <c r="K31" s="980"/>
      <c r="L31" s="980"/>
      <c r="M31" s="980"/>
      <c r="N31" s="980"/>
      <c r="O31" s="980"/>
      <c r="P31" s="981"/>
      <c r="Q31" s="1318"/>
      <c r="R31" s="980"/>
      <c r="S31" s="980"/>
      <c r="T31" s="980"/>
      <c r="U31" s="980"/>
      <c r="V31" s="980"/>
      <c r="W31" s="980"/>
      <c r="X31" s="981"/>
    </row>
    <row r="32" spans="1:24" ht="31.5" customHeight="1" x14ac:dyDescent="0.25">
      <c r="A32" s="1432" t="s">
        <v>198</v>
      </c>
      <c r="B32" s="1431" t="s">
        <v>202</v>
      </c>
      <c r="C32" s="1425" t="s">
        <v>2330</v>
      </c>
      <c r="D32" s="978" t="s">
        <v>2039</v>
      </c>
      <c r="E32" s="1000" t="s">
        <v>1297</v>
      </c>
      <c r="F32" s="1000" t="s">
        <v>127</v>
      </c>
      <c r="G32" s="1000" t="s">
        <v>1754</v>
      </c>
      <c r="H32" s="980"/>
      <c r="I32" s="980"/>
      <c r="J32" s="980"/>
      <c r="K32" s="980"/>
      <c r="L32" s="980">
        <v>3068287</v>
      </c>
      <c r="M32" s="980"/>
      <c r="N32" s="980"/>
      <c r="O32" s="980"/>
      <c r="P32" s="981"/>
      <c r="Q32" s="1318"/>
      <c r="R32" s="980"/>
      <c r="S32" s="980"/>
      <c r="T32" s="980"/>
      <c r="U32" s="980"/>
      <c r="V32" s="980"/>
      <c r="W32" s="980"/>
      <c r="X32" s="981">
        <v>3068287</v>
      </c>
    </row>
    <row r="33" spans="1:24" ht="52.5" customHeight="1" x14ac:dyDescent="0.25">
      <c r="A33" s="1432" t="s">
        <v>199</v>
      </c>
      <c r="B33" s="1431" t="s">
        <v>203</v>
      </c>
      <c r="C33" s="1425" t="s">
        <v>2377</v>
      </c>
      <c r="D33" s="978" t="s">
        <v>2039</v>
      </c>
      <c r="E33" s="1000" t="s">
        <v>164</v>
      </c>
      <c r="F33" s="1000" t="s">
        <v>132</v>
      </c>
      <c r="G33" s="1000" t="s">
        <v>1766</v>
      </c>
      <c r="H33" s="980"/>
      <c r="I33" s="980"/>
      <c r="J33" s="980">
        <f>-91825+48561+43264</f>
        <v>0</v>
      </c>
      <c r="K33" s="980"/>
      <c r="L33" s="980"/>
      <c r="M33" s="980"/>
      <c r="N33" s="980"/>
      <c r="O33" s="980"/>
      <c r="P33" s="981"/>
      <c r="Q33" s="1318"/>
      <c r="R33" s="980"/>
      <c r="S33" s="980"/>
      <c r="T33" s="980"/>
      <c r="U33" s="980"/>
      <c r="V33" s="980"/>
      <c r="W33" s="980"/>
      <c r="X33" s="981"/>
    </row>
    <row r="34" spans="1:24" ht="32.25" customHeight="1" x14ac:dyDescent="0.25">
      <c r="A34" s="1432" t="s">
        <v>200</v>
      </c>
      <c r="B34" s="1431" t="s">
        <v>204</v>
      </c>
      <c r="C34" s="1425" t="s">
        <v>2378</v>
      </c>
      <c r="D34" s="978" t="s">
        <v>2039</v>
      </c>
      <c r="E34" s="1000" t="s">
        <v>164</v>
      </c>
      <c r="F34" s="1000" t="s">
        <v>132</v>
      </c>
      <c r="G34" s="1000" t="s">
        <v>1754</v>
      </c>
      <c r="H34" s="980"/>
      <c r="I34" s="980"/>
      <c r="J34" s="980">
        <v>1</v>
      </c>
      <c r="K34" s="980"/>
      <c r="L34" s="980"/>
      <c r="M34" s="980"/>
      <c r="N34" s="980"/>
      <c r="O34" s="980"/>
      <c r="P34" s="981"/>
      <c r="Q34" s="1318"/>
      <c r="R34" s="980"/>
      <c r="S34" s="980"/>
      <c r="T34" s="980">
        <v>1</v>
      </c>
      <c r="U34" s="980"/>
      <c r="V34" s="980"/>
      <c r="W34" s="980"/>
      <c r="X34" s="981"/>
    </row>
    <row r="35" spans="1:24" ht="45" customHeight="1" x14ac:dyDescent="0.25">
      <c r="A35" s="1428" t="s">
        <v>201</v>
      </c>
      <c r="B35" s="1427" t="s">
        <v>231</v>
      </c>
      <c r="C35" s="1426" t="s">
        <v>2503</v>
      </c>
      <c r="D35" s="1368" t="s">
        <v>2039</v>
      </c>
      <c r="E35" s="1369" t="s">
        <v>164</v>
      </c>
      <c r="F35" s="1369" t="s">
        <v>132</v>
      </c>
      <c r="G35" s="1369" t="s">
        <v>1754</v>
      </c>
      <c r="H35" s="1374"/>
      <c r="I35" s="1374"/>
      <c r="J35" s="1374">
        <f>500000+300000+298001</f>
        <v>1098001</v>
      </c>
      <c r="K35" s="1374"/>
      <c r="L35" s="1374"/>
      <c r="M35" s="1374"/>
      <c r="N35" s="1374"/>
      <c r="O35" s="1374"/>
      <c r="P35" s="1375"/>
      <c r="Q35" s="1376"/>
      <c r="R35" s="1374"/>
      <c r="S35" s="1374"/>
      <c r="T35" s="1374">
        <f>1+1098000</f>
        <v>1098001</v>
      </c>
      <c r="U35" s="1374"/>
      <c r="V35" s="1374"/>
      <c r="W35" s="1374"/>
      <c r="X35" s="1375"/>
    </row>
    <row r="36" spans="1:24" ht="45" customHeight="1" x14ac:dyDescent="0.25">
      <c r="A36" s="1428" t="s">
        <v>202</v>
      </c>
      <c r="B36" s="1427" t="s">
        <v>232</v>
      </c>
      <c r="C36" s="1426" t="s">
        <v>2725</v>
      </c>
      <c r="D36" s="1368" t="s">
        <v>2039</v>
      </c>
      <c r="E36" s="1369" t="s">
        <v>164</v>
      </c>
      <c r="F36" s="1369" t="s">
        <v>132</v>
      </c>
      <c r="G36" s="1369" t="s">
        <v>1754</v>
      </c>
      <c r="H36" s="1374"/>
      <c r="I36" s="1374"/>
      <c r="J36" s="1374">
        <f>500000+687470</f>
        <v>1187470</v>
      </c>
      <c r="K36" s="1374"/>
      <c r="L36" s="1374"/>
      <c r="M36" s="1374"/>
      <c r="N36" s="1374"/>
      <c r="O36" s="1374"/>
      <c r="P36" s="1375"/>
      <c r="Q36" s="1376"/>
      <c r="R36" s="1374"/>
      <c r="S36" s="1374"/>
      <c r="T36" s="1374">
        <v>1187470</v>
      </c>
      <c r="U36" s="1374"/>
      <c r="V36" s="1374"/>
      <c r="W36" s="1374"/>
      <c r="X36" s="1375"/>
    </row>
    <row r="37" spans="1:24" ht="16.5" customHeight="1" x14ac:dyDescent="0.25">
      <c r="A37" s="1429"/>
      <c r="B37" s="1430"/>
      <c r="C37" s="982"/>
      <c r="D37" s="983"/>
      <c r="E37" s="1083"/>
      <c r="F37" s="1083"/>
      <c r="G37" s="1083"/>
      <c r="H37" s="985"/>
      <c r="I37" s="985"/>
      <c r="J37" s="985"/>
      <c r="K37" s="985"/>
      <c r="L37" s="985"/>
      <c r="M37" s="985"/>
      <c r="N37" s="985"/>
      <c r="O37" s="985"/>
      <c r="P37" s="986"/>
      <c r="Q37" s="1319"/>
      <c r="R37" s="985"/>
      <c r="S37" s="985"/>
      <c r="T37" s="985"/>
      <c r="U37" s="985"/>
      <c r="V37" s="985"/>
      <c r="W37" s="985"/>
      <c r="X37" s="986"/>
    </row>
    <row r="38" spans="1:24" ht="20.25" customHeight="1" x14ac:dyDescent="0.3">
      <c r="A38" s="2021" t="s">
        <v>1663</v>
      </c>
      <c r="B38" s="2022"/>
      <c r="C38" s="2022"/>
      <c r="D38" s="1057"/>
      <c r="E38" s="1057"/>
      <c r="F38" s="1057"/>
      <c r="G38" s="1057"/>
      <c r="H38" s="1252">
        <f t="shared" ref="H38:X38" si="1">SUM(H28:H37)+H11</f>
        <v>3929867</v>
      </c>
      <c r="I38" s="1252">
        <f t="shared" si="1"/>
        <v>510883</v>
      </c>
      <c r="J38" s="1252">
        <f t="shared" si="1"/>
        <v>2285472</v>
      </c>
      <c r="K38" s="1252">
        <f t="shared" si="1"/>
        <v>0</v>
      </c>
      <c r="L38" s="1252">
        <f t="shared" si="1"/>
        <v>3068287</v>
      </c>
      <c r="M38" s="1252">
        <f t="shared" si="1"/>
        <v>0</v>
      </c>
      <c r="N38" s="1252">
        <f t="shared" si="1"/>
        <v>0</v>
      </c>
      <c r="O38" s="1252">
        <f t="shared" si="1"/>
        <v>0</v>
      </c>
      <c r="P38" s="1059">
        <f t="shared" si="1"/>
        <v>0</v>
      </c>
      <c r="Q38" s="1330">
        <f t="shared" si="1"/>
        <v>0</v>
      </c>
      <c r="R38" s="1252">
        <f t="shared" si="1"/>
        <v>0</v>
      </c>
      <c r="S38" s="1252">
        <f t="shared" si="1"/>
        <v>0</v>
      </c>
      <c r="T38" s="1252">
        <f t="shared" si="1"/>
        <v>2285472</v>
      </c>
      <c r="U38" s="1252">
        <f t="shared" si="1"/>
        <v>0</v>
      </c>
      <c r="V38" s="1252">
        <f t="shared" si="1"/>
        <v>0</v>
      </c>
      <c r="W38" s="1252">
        <f t="shared" si="1"/>
        <v>0</v>
      </c>
      <c r="X38" s="1059">
        <f t="shared" si="1"/>
        <v>7509037</v>
      </c>
    </row>
    <row r="39" spans="1:24" ht="20.25" customHeight="1" x14ac:dyDescent="0.25">
      <c r="H39" s="1064"/>
      <c r="I39" s="1064"/>
      <c r="J39" s="1064"/>
      <c r="K39" s="1064"/>
      <c r="L39" s="1064"/>
      <c r="M39" s="1064"/>
      <c r="N39" s="1064"/>
      <c r="O39" s="1064"/>
      <c r="P39" s="1064"/>
      <c r="Q39" s="1064"/>
      <c r="R39" s="1064"/>
      <c r="S39" s="1064"/>
      <c r="T39" s="1064"/>
      <c r="U39" s="1064"/>
      <c r="V39" s="1064"/>
      <c r="W39" s="1064"/>
      <c r="X39" s="1064"/>
    </row>
    <row r="40" spans="1:24" ht="21" customHeight="1" x14ac:dyDescent="0.25">
      <c r="H40" s="1064"/>
      <c r="I40" s="1064"/>
      <c r="J40" s="1064"/>
      <c r="K40" s="1064"/>
      <c r="L40" s="1064"/>
      <c r="M40" s="1064"/>
      <c r="N40" s="1064"/>
      <c r="O40" s="1064"/>
      <c r="P40" s="1064"/>
      <c r="Q40" s="1064"/>
      <c r="R40" s="1064"/>
      <c r="S40" s="1064"/>
      <c r="T40" s="1064"/>
      <c r="U40" s="1064"/>
      <c r="V40" s="1064"/>
      <c r="W40" s="1064"/>
      <c r="X40" s="1064"/>
    </row>
    <row r="41" spans="1:24" x14ac:dyDescent="0.25">
      <c r="Q41" s="968"/>
    </row>
    <row r="42" spans="1:24" x14ac:dyDescent="0.25">
      <c r="Q42" s="968"/>
    </row>
    <row r="43" spans="1:24" ht="21.75" customHeight="1" x14ac:dyDescent="0.25">
      <c r="I43" s="2042" t="s">
        <v>1664</v>
      </c>
      <c r="J43" s="2042"/>
      <c r="K43" s="2042"/>
      <c r="L43" s="2042">
        <v>98532674</v>
      </c>
      <c r="M43" s="2042"/>
      <c r="N43" s="996"/>
      <c r="O43" s="996"/>
      <c r="P43" s="996"/>
      <c r="Q43" s="996"/>
      <c r="R43" s="2042" t="s">
        <v>1665</v>
      </c>
      <c r="S43" s="2042"/>
      <c r="T43" s="2042"/>
      <c r="U43" s="2042">
        <v>98532674</v>
      </c>
      <c r="V43" s="2042"/>
    </row>
    <row r="44" spans="1:24" ht="21.75" customHeight="1" x14ac:dyDescent="0.25">
      <c r="I44" s="2042" t="s">
        <v>1666</v>
      </c>
      <c r="J44" s="2042"/>
      <c r="K44" s="2042"/>
      <c r="L44" s="2042">
        <f>SUM(H38:P38)</f>
        <v>9794509</v>
      </c>
      <c r="M44" s="2042"/>
      <c r="N44" s="996"/>
      <c r="O44" s="996"/>
      <c r="P44" s="996"/>
      <c r="Q44" s="996"/>
      <c r="R44" s="2042" t="s">
        <v>1666</v>
      </c>
      <c r="S44" s="2042"/>
      <c r="T44" s="2042"/>
      <c r="U44" s="2042">
        <f>SUM(Q38:X38)</f>
        <v>9794509</v>
      </c>
      <c r="V44" s="2042"/>
    </row>
    <row r="45" spans="1:24" ht="21.75" customHeight="1" x14ac:dyDescent="0.25">
      <c r="I45" s="2042" t="s">
        <v>1512</v>
      </c>
      <c r="J45" s="2042"/>
      <c r="K45" s="2042"/>
      <c r="L45" s="2042">
        <f>+L43+L44</f>
        <v>108327183</v>
      </c>
      <c r="M45" s="2042"/>
      <c r="N45" s="996"/>
      <c r="O45" s="996"/>
      <c r="P45" s="996"/>
      <c r="Q45" s="996"/>
      <c r="R45" s="2042" t="s">
        <v>1512</v>
      </c>
      <c r="S45" s="2042"/>
      <c r="T45" s="2042"/>
      <c r="U45" s="2042">
        <f>+U43+U44</f>
        <v>108327183</v>
      </c>
      <c r="V45" s="2042"/>
    </row>
    <row r="46" spans="1:24" x14ac:dyDescent="0.25">
      <c r="Q46" s="968"/>
    </row>
    <row r="47" spans="1:24" x14ac:dyDescent="0.25">
      <c r="Q47" s="968"/>
    </row>
    <row r="48" spans="1:24" x14ac:dyDescent="0.25">
      <c r="Q48" s="968"/>
    </row>
    <row r="49" spans="1:24" ht="15.75" x14ac:dyDescent="0.25">
      <c r="A49" s="2010" t="s">
        <v>2861</v>
      </c>
      <c r="B49" s="2010"/>
      <c r="C49" s="2010"/>
      <c r="D49" s="2010"/>
      <c r="E49" s="2010"/>
      <c r="F49" s="2010"/>
      <c r="G49" s="2010"/>
      <c r="H49" s="2010"/>
      <c r="I49" s="2010"/>
      <c r="J49" s="2010"/>
      <c r="K49" s="2010"/>
      <c r="L49" s="2010"/>
      <c r="M49" s="2010"/>
      <c r="N49" s="2010"/>
      <c r="O49" s="2010"/>
      <c r="P49" s="2010"/>
      <c r="Q49" s="2010"/>
      <c r="R49" s="2010"/>
      <c r="S49" s="2010"/>
      <c r="T49" s="2010"/>
      <c r="U49" s="2010"/>
      <c r="V49" s="2010"/>
      <c r="W49" s="2010"/>
      <c r="X49" s="2010"/>
    </row>
    <row r="50" spans="1:24" ht="15.75" x14ac:dyDescent="0.25">
      <c r="A50" s="1246"/>
      <c r="B50" s="1246"/>
      <c r="C50" s="1246"/>
      <c r="D50" s="1246"/>
      <c r="E50" s="1246"/>
      <c r="F50" s="1246"/>
      <c r="G50" s="1246"/>
      <c r="H50" s="1246"/>
      <c r="I50" s="1246"/>
      <c r="J50" s="1246"/>
      <c r="K50" s="1246"/>
      <c r="L50" s="1246"/>
      <c r="M50" s="1246"/>
      <c r="N50" s="1246"/>
      <c r="O50" s="1246"/>
      <c r="P50" s="1246"/>
      <c r="Q50" s="1246"/>
      <c r="R50" s="1246"/>
      <c r="S50" s="1246"/>
      <c r="T50" s="1246"/>
      <c r="U50" s="1246"/>
      <c r="V50" s="1246"/>
      <c r="W50" s="1246"/>
      <c r="X50" s="1246"/>
    </row>
    <row r="51" spans="1:24" x14ac:dyDescent="0.25">
      <c r="A51" s="970"/>
      <c r="B51" s="970"/>
      <c r="C51" s="970"/>
      <c r="D51" s="970"/>
      <c r="E51" s="970"/>
      <c r="F51" s="970"/>
      <c r="G51" s="970"/>
      <c r="H51" s="970"/>
      <c r="I51" s="970"/>
      <c r="J51" s="970"/>
      <c r="K51" s="970"/>
      <c r="L51" s="970"/>
      <c r="M51" s="970"/>
      <c r="N51" s="970"/>
      <c r="O51" s="970"/>
      <c r="P51" s="970"/>
      <c r="Q51" s="970"/>
      <c r="R51" s="970"/>
      <c r="S51" s="970"/>
      <c r="T51" s="970"/>
      <c r="U51" s="970"/>
      <c r="V51" s="970"/>
      <c r="W51" s="970"/>
      <c r="X51" s="970"/>
    </row>
    <row r="52" spans="1:24" x14ac:dyDescent="0.25">
      <c r="A52" s="2055" t="s">
        <v>1715</v>
      </c>
      <c r="B52" s="2055"/>
      <c r="C52" s="2055"/>
      <c r="D52" s="2055"/>
      <c r="E52" s="2055"/>
      <c r="F52" s="2055"/>
      <c r="G52" s="2055"/>
      <c r="H52" s="2055"/>
      <c r="I52" s="2055"/>
      <c r="J52" s="2055"/>
      <c r="K52" s="2055"/>
      <c r="L52" s="2055"/>
      <c r="M52" s="2055"/>
      <c r="N52" s="2055"/>
      <c r="O52" s="2055"/>
      <c r="P52" s="2055"/>
      <c r="Q52" s="2055"/>
      <c r="R52" s="2055"/>
      <c r="S52" s="2055"/>
      <c r="T52" s="2055"/>
      <c r="U52" s="2055"/>
      <c r="V52" s="2055"/>
      <c r="W52" s="2055"/>
      <c r="X52" s="2055"/>
    </row>
    <row r="53" spans="1:24" x14ac:dyDescent="0.25">
      <c r="Q53" s="968"/>
    </row>
    <row r="54" spans="1:24" x14ac:dyDescent="0.25">
      <c r="A54" s="2056" t="s">
        <v>37</v>
      </c>
      <c r="B54" s="1773" t="s">
        <v>1640</v>
      </c>
      <c r="C54" s="2058" t="s">
        <v>2</v>
      </c>
      <c r="D54" s="2037" t="s">
        <v>1641</v>
      </c>
      <c r="E54" s="2037" t="s">
        <v>116</v>
      </c>
      <c r="F54" s="2037" t="s">
        <v>1642</v>
      </c>
      <c r="G54" s="2037" t="s">
        <v>1643</v>
      </c>
      <c r="H54" s="2039" t="s">
        <v>1644</v>
      </c>
      <c r="I54" s="2039"/>
      <c r="J54" s="2039"/>
      <c r="K54" s="2039"/>
      <c r="L54" s="2039"/>
      <c r="M54" s="2039"/>
      <c r="N54" s="2039"/>
      <c r="O54" s="2066"/>
      <c r="P54" s="1434"/>
      <c r="Q54" s="2040" t="s">
        <v>1645</v>
      </c>
      <c r="R54" s="2039"/>
      <c r="S54" s="2039"/>
      <c r="T54" s="2039"/>
      <c r="U54" s="2039"/>
      <c r="V54" s="2039"/>
      <c r="W54" s="2039"/>
      <c r="X54" s="2041"/>
    </row>
    <row r="55" spans="1:24" ht="86.25" customHeight="1" x14ac:dyDescent="0.25">
      <c r="A55" s="2057"/>
      <c r="B55" s="1774"/>
      <c r="C55" s="2059"/>
      <c r="D55" s="2038"/>
      <c r="E55" s="2038"/>
      <c r="F55" s="2038"/>
      <c r="G55" s="2038"/>
      <c r="H55" s="941" t="s">
        <v>1716</v>
      </c>
      <c r="I55" s="941" t="s">
        <v>1717</v>
      </c>
      <c r="J55" s="941" t="s">
        <v>1718</v>
      </c>
      <c r="K55" s="941" t="s">
        <v>1719</v>
      </c>
      <c r="L55" s="941" t="s">
        <v>1720</v>
      </c>
      <c r="M55" s="941" t="s">
        <v>1672</v>
      </c>
      <c r="N55" s="941" t="s">
        <v>1673</v>
      </c>
      <c r="O55" s="941" t="s">
        <v>1653</v>
      </c>
      <c r="P55" s="944" t="s">
        <v>1654</v>
      </c>
      <c r="Q55" s="999" t="s">
        <v>1655</v>
      </c>
      <c r="R55" s="941" t="s">
        <v>1656</v>
      </c>
      <c r="S55" s="941" t="s">
        <v>1721</v>
      </c>
      <c r="T55" s="941" t="s">
        <v>1701</v>
      </c>
      <c r="U55" s="941" t="s">
        <v>1659</v>
      </c>
      <c r="V55" s="941" t="s">
        <v>1660</v>
      </c>
      <c r="W55" s="941" t="s">
        <v>1661</v>
      </c>
      <c r="X55" s="944" t="s">
        <v>1714</v>
      </c>
    </row>
    <row r="56" spans="1:24" ht="28.5" customHeight="1" x14ac:dyDescent="0.25">
      <c r="A56" s="1495" t="s">
        <v>203</v>
      </c>
      <c r="B56" s="1494" t="s">
        <v>233</v>
      </c>
      <c r="C56" s="973" t="s">
        <v>2783</v>
      </c>
      <c r="D56" s="974" t="s">
        <v>2039</v>
      </c>
      <c r="E56" s="1011" t="s">
        <v>164</v>
      </c>
      <c r="F56" s="1011" t="s">
        <v>132</v>
      </c>
      <c r="G56" s="1011" t="s">
        <v>1766</v>
      </c>
      <c r="H56" s="949">
        <f>-2135133+2000000+135133</f>
        <v>0</v>
      </c>
      <c r="I56" s="949"/>
      <c r="J56" s="949"/>
      <c r="K56" s="949"/>
      <c r="L56" s="949"/>
      <c r="M56" s="949"/>
      <c r="N56" s="949"/>
      <c r="O56" s="949"/>
      <c r="P56" s="976"/>
      <c r="Q56" s="1448"/>
      <c r="R56" s="949"/>
      <c r="S56" s="949"/>
      <c r="T56" s="949"/>
      <c r="U56" s="949"/>
      <c r="V56" s="949"/>
      <c r="W56" s="949"/>
      <c r="X56" s="976"/>
    </row>
    <row r="57" spans="1:24" x14ac:dyDescent="0.25">
      <c r="A57" s="1432"/>
      <c r="B57" s="1431"/>
      <c r="C57" s="977"/>
      <c r="D57" s="978"/>
      <c r="E57" s="1000"/>
      <c r="F57" s="1000"/>
      <c r="G57" s="1000"/>
      <c r="H57" s="980"/>
      <c r="I57" s="980"/>
      <c r="J57" s="980"/>
      <c r="K57" s="980"/>
      <c r="L57" s="980"/>
      <c r="M57" s="980"/>
      <c r="N57" s="980"/>
      <c r="O57" s="980"/>
      <c r="P57" s="981"/>
      <c r="Q57" s="1449"/>
      <c r="R57" s="980"/>
      <c r="S57" s="980"/>
      <c r="T57" s="980"/>
      <c r="U57" s="980"/>
      <c r="V57" s="980"/>
      <c r="W57" s="980"/>
      <c r="X57" s="981"/>
    </row>
    <row r="58" spans="1:24" ht="18.75" x14ac:dyDescent="0.3">
      <c r="A58" s="2021" t="s">
        <v>1663</v>
      </c>
      <c r="B58" s="2022"/>
      <c r="C58" s="2022"/>
      <c r="D58" s="1057"/>
      <c r="E58" s="1057"/>
      <c r="F58" s="1057"/>
      <c r="G58" s="1057"/>
      <c r="H58" s="1252">
        <f t="shared" ref="H58:X58" si="2">SUM(H56:H57)+H38</f>
        <v>3929867</v>
      </c>
      <c r="I58" s="1252">
        <f t="shared" si="2"/>
        <v>510883</v>
      </c>
      <c r="J58" s="1252">
        <f t="shared" si="2"/>
        <v>2285472</v>
      </c>
      <c r="K58" s="1252">
        <f t="shared" si="2"/>
        <v>0</v>
      </c>
      <c r="L58" s="1252">
        <f t="shared" si="2"/>
        <v>3068287</v>
      </c>
      <c r="M58" s="1252">
        <f t="shared" si="2"/>
        <v>0</v>
      </c>
      <c r="N58" s="1252">
        <f t="shared" si="2"/>
        <v>0</v>
      </c>
      <c r="O58" s="1252">
        <f t="shared" si="2"/>
        <v>0</v>
      </c>
      <c r="P58" s="1059">
        <f t="shared" si="2"/>
        <v>0</v>
      </c>
      <c r="Q58" s="1453">
        <f t="shared" si="2"/>
        <v>0</v>
      </c>
      <c r="R58" s="1252">
        <f t="shared" si="2"/>
        <v>0</v>
      </c>
      <c r="S58" s="1252">
        <f t="shared" si="2"/>
        <v>0</v>
      </c>
      <c r="T58" s="1252">
        <f t="shared" si="2"/>
        <v>2285472</v>
      </c>
      <c r="U58" s="1252">
        <f t="shared" si="2"/>
        <v>0</v>
      </c>
      <c r="V58" s="1252">
        <f t="shared" si="2"/>
        <v>0</v>
      </c>
      <c r="W58" s="1252">
        <f t="shared" si="2"/>
        <v>0</v>
      </c>
      <c r="X58" s="1059">
        <f t="shared" si="2"/>
        <v>7509037</v>
      </c>
    </row>
    <row r="59" spans="1:24" ht="19.5" customHeight="1" x14ac:dyDescent="0.25">
      <c r="H59" s="1064"/>
      <c r="I59" s="1064"/>
      <c r="J59" s="1064"/>
      <c r="K59" s="1064"/>
      <c r="L59" s="1064"/>
      <c r="M59" s="1064"/>
      <c r="N59" s="1064"/>
      <c r="O59" s="1064"/>
      <c r="P59" s="1064"/>
      <c r="Q59" s="1064"/>
      <c r="R59" s="1064"/>
      <c r="S59" s="1064"/>
      <c r="T59" s="1064"/>
      <c r="U59" s="1064"/>
      <c r="V59" s="1064"/>
      <c r="W59" s="1064"/>
      <c r="X59" s="1064"/>
    </row>
    <row r="60" spans="1:24" ht="19.5" customHeight="1" x14ac:dyDescent="0.25">
      <c r="H60" s="1064"/>
      <c r="I60" s="1064"/>
      <c r="J60" s="1064"/>
      <c r="K60" s="1064"/>
      <c r="L60" s="1064"/>
      <c r="M60" s="1064"/>
      <c r="N60" s="1064"/>
      <c r="O60" s="1064"/>
      <c r="P60" s="1064"/>
      <c r="Q60" s="1064"/>
      <c r="R60" s="1064"/>
      <c r="S60" s="1064"/>
      <c r="T60" s="1064"/>
      <c r="U60" s="1064"/>
      <c r="V60" s="1064"/>
      <c r="W60" s="1064"/>
      <c r="X60" s="1064"/>
    </row>
    <row r="61" spans="1:24" x14ac:dyDescent="0.25">
      <c r="Q61" s="968"/>
    </row>
    <row r="62" spans="1:24" x14ac:dyDescent="0.25">
      <c r="Q62" s="968"/>
    </row>
    <row r="63" spans="1:24" ht="21" customHeight="1" x14ac:dyDescent="0.25">
      <c r="I63" s="2042" t="s">
        <v>1664</v>
      </c>
      <c r="J63" s="2042"/>
      <c r="K63" s="2042"/>
      <c r="L63" s="2042">
        <v>98532674</v>
      </c>
      <c r="M63" s="2042"/>
      <c r="N63" s="996"/>
      <c r="O63" s="996"/>
      <c r="P63" s="996"/>
      <c r="Q63" s="996"/>
      <c r="R63" s="2042" t="s">
        <v>1665</v>
      </c>
      <c r="S63" s="2042"/>
      <c r="T63" s="2042"/>
      <c r="U63" s="2042">
        <v>98532674</v>
      </c>
      <c r="V63" s="2042"/>
    </row>
    <row r="64" spans="1:24" ht="21.75" customHeight="1" x14ac:dyDescent="0.25">
      <c r="I64" s="2042" t="s">
        <v>1666</v>
      </c>
      <c r="J64" s="2042"/>
      <c r="K64" s="2042"/>
      <c r="L64" s="2042">
        <f>SUM(H58:P58)</f>
        <v>9794509</v>
      </c>
      <c r="M64" s="2042"/>
      <c r="N64" s="996"/>
      <c r="O64" s="996"/>
      <c r="P64" s="996"/>
      <c r="Q64" s="996"/>
      <c r="R64" s="2042" t="s">
        <v>1666</v>
      </c>
      <c r="S64" s="2042"/>
      <c r="T64" s="2042"/>
      <c r="U64" s="2042">
        <f>SUM(Q58:X58)</f>
        <v>9794509</v>
      </c>
      <c r="V64" s="2042"/>
    </row>
    <row r="65" spans="1:24" ht="21.75" customHeight="1" x14ac:dyDescent="0.25">
      <c r="I65" s="2042" t="s">
        <v>1512</v>
      </c>
      <c r="J65" s="2042"/>
      <c r="K65" s="2042"/>
      <c r="L65" s="2042">
        <f>+L63+L64</f>
        <v>108327183</v>
      </c>
      <c r="M65" s="2042"/>
      <c r="N65" s="996"/>
      <c r="O65" s="996"/>
      <c r="P65" s="996"/>
      <c r="Q65" s="996"/>
      <c r="R65" s="2042" t="s">
        <v>1512</v>
      </c>
      <c r="S65" s="2042"/>
      <c r="T65" s="2042"/>
      <c r="U65" s="2042">
        <f>+U63+U64</f>
        <v>108327183</v>
      </c>
      <c r="V65" s="2042"/>
    </row>
    <row r="66" spans="1:24" x14ac:dyDescent="0.25">
      <c r="Q66" s="968"/>
    </row>
    <row r="67" spans="1:24" x14ac:dyDescent="0.25">
      <c r="Q67" s="968"/>
    </row>
    <row r="68" spans="1:24" x14ac:dyDescent="0.25">
      <c r="Q68" s="968"/>
    </row>
    <row r="69" spans="1:24" x14ac:dyDescent="0.25">
      <c r="Q69" s="968"/>
    </row>
    <row r="70" spans="1:24" ht="15.75" x14ac:dyDescent="0.25">
      <c r="A70" s="2010" t="s">
        <v>3372</v>
      </c>
      <c r="B70" s="2010"/>
      <c r="C70" s="2010"/>
      <c r="D70" s="2010"/>
      <c r="E70" s="2010"/>
      <c r="F70" s="2010"/>
      <c r="G70" s="2010"/>
      <c r="H70" s="2010"/>
      <c r="I70" s="2010"/>
      <c r="J70" s="2010"/>
      <c r="K70" s="2010"/>
      <c r="L70" s="2010"/>
      <c r="M70" s="2010"/>
      <c r="N70" s="2010"/>
      <c r="O70" s="2010"/>
      <c r="P70" s="2010"/>
      <c r="Q70" s="2010"/>
      <c r="R70" s="2010"/>
      <c r="S70" s="2010"/>
      <c r="T70" s="2010"/>
      <c r="U70" s="2010"/>
      <c r="V70" s="2010"/>
      <c r="W70" s="2010"/>
      <c r="X70" s="2010"/>
    </row>
    <row r="71" spans="1:24" ht="15.75" x14ac:dyDescent="0.25">
      <c r="A71" s="1246"/>
      <c r="B71" s="1246"/>
      <c r="C71" s="1246"/>
      <c r="D71" s="1246"/>
      <c r="E71" s="1246"/>
      <c r="F71" s="1246"/>
      <c r="G71" s="1246"/>
      <c r="H71" s="1246"/>
      <c r="I71" s="1246"/>
      <c r="J71" s="1246"/>
      <c r="K71" s="1246"/>
      <c r="L71" s="1246"/>
      <c r="M71" s="1246"/>
      <c r="N71" s="1246"/>
      <c r="O71" s="1246"/>
      <c r="P71" s="1246"/>
      <c r="Q71" s="1246"/>
      <c r="R71" s="1246"/>
      <c r="S71" s="1246"/>
      <c r="T71" s="1246"/>
      <c r="U71" s="1246"/>
      <c r="V71" s="1246"/>
      <c r="W71" s="1246"/>
      <c r="X71" s="1246"/>
    </row>
    <row r="72" spans="1:24" x14ac:dyDescent="0.25">
      <c r="A72" s="970"/>
      <c r="B72" s="970"/>
      <c r="C72" s="970"/>
      <c r="D72" s="970"/>
      <c r="E72" s="970"/>
      <c r="F72" s="970"/>
      <c r="G72" s="970"/>
      <c r="H72" s="970"/>
      <c r="I72" s="970"/>
      <c r="J72" s="970"/>
      <c r="K72" s="970"/>
      <c r="L72" s="970"/>
      <c r="M72" s="970"/>
      <c r="N72" s="970"/>
      <c r="O72" s="970"/>
      <c r="P72" s="970"/>
      <c r="Q72" s="970"/>
      <c r="R72" s="970"/>
      <c r="S72" s="970"/>
      <c r="T72" s="970"/>
      <c r="U72" s="970"/>
      <c r="V72" s="970"/>
      <c r="W72" s="970"/>
      <c r="X72" s="970"/>
    </row>
    <row r="73" spans="1:24" x14ac:dyDescent="0.25">
      <c r="A73" s="2055" t="s">
        <v>1715</v>
      </c>
      <c r="B73" s="2055"/>
      <c r="C73" s="2055"/>
      <c r="D73" s="2055"/>
      <c r="E73" s="2055"/>
      <c r="F73" s="2055"/>
      <c r="G73" s="2055"/>
      <c r="H73" s="2055"/>
      <c r="I73" s="2055"/>
      <c r="J73" s="2055"/>
      <c r="K73" s="2055"/>
      <c r="L73" s="2055"/>
      <c r="M73" s="2055"/>
      <c r="N73" s="2055"/>
      <c r="O73" s="2055"/>
      <c r="P73" s="2055"/>
      <c r="Q73" s="2055"/>
      <c r="R73" s="2055"/>
      <c r="S73" s="2055"/>
      <c r="T73" s="2055"/>
      <c r="U73" s="2055"/>
      <c r="V73" s="2055"/>
      <c r="W73" s="2055"/>
      <c r="X73" s="2055"/>
    </row>
    <row r="74" spans="1:24" ht="20.25" customHeight="1" x14ac:dyDescent="0.25">
      <c r="Q74" s="968"/>
    </row>
    <row r="75" spans="1:24" x14ac:dyDescent="0.25">
      <c r="A75" s="2056" t="s">
        <v>37</v>
      </c>
      <c r="B75" s="1773" t="s">
        <v>1640</v>
      </c>
      <c r="C75" s="2058" t="s">
        <v>2</v>
      </c>
      <c r="D75" s="2037" t="s">
        <v>1641</v>
      </c>
      <c r="E75" s="2037" t="s">
        <v>116</v>
      </c>
      <c r="F75" s="2037" t="s">
        <v>1642</v>
      </c>
      <c r="G75" s="2037" t="s">
        <v>1643</v>
      </c>
      <c r="H75" s="2039" t="s">
        <v>1644</v>
      </c>
      <c r="I75" s="2039"/>
      <c r="J75" s="2039"/>
      <c r="K75" s="2039"/>
      <c r="L75" s="2039"/>
      <c r="M75" s="2039"/>
      <c r="N75" s="2039"/>
      <c r="O75" s="2066"/>
      <c r="P75" s="1434"/>
      <c r="Q75" s="2040" t="s">
        <v>1645</v>
      </c>
      <c r="R75" s="2039"/>
      <c r="S75" s="2039"/>
      <c r="T75" s="2039"/>
      <c r="U75" s="2039"/>
      <c r="V75" s="2039"/>
      <c r="W75" s="2039"/>
      <c r="X75" s="2041"/>
    </row>
    <row r="76" spans="1:24" ht="78" customHeight="1" x14ac:dyDescent="0.25">
      <c r="A76" s="2057"/>
      <c r="B76" s="1774"/>
      <c r="C76" s="2059"/>
      <c r="D76" s="2038"/>
      <c r="E76" s="2038"/>
      <c r="F76" s="2038"/>
      <c r="G76" s="2038"/>
      <c r="H76" s="941" t="s">
        <v>1716</v>
      </c>
      <c r="I76" s="941" t="s">
        <v>1717</v>
      </c>
      <c r="J76" s="941" t="s">
        <v>1718</v>
      </c>
      <c r="K76" s="941" t="s">
        <v>1719</v>
      </c>
      <c r="L76" s="941" t="s">
        <v>1720</v>
      </c>
      <c r="M76" s="941" t="s">
        <v>1672</v>
      </c>
      <c r="N76" s="941" t="s">
        <v>1673</v>
      </c>
      <c r="O76" s="941" t="s">
        <v>1653</v>
      </c>
      <c r="P76" s="944" t="s">
        <v>1654</v>
      </c>
      <c r="Q76" s="999" t="s">
        <v>1655</v>
      </c>
      <c r="R76" s="941" t="s">
        <v>1656</v>
      </c>
      <c r="S76" s="941" t="s">
        <v>1721</v>
      </c>
      <c r="T76" s="941" t="s">
        <v>1701</v>
      </c>
      <c r="U76" s="941" t="s">
        <v>1659</v>
      </c>
      <c r="V76" s="941" t="s">
        <v>1660</v>
      </c>
      <c r="W76" s="941" t="s">
        <v>1661</v>
      </c>
      <c r="X76" s="944" t="s">
        <v>1714</v>
      </c>
    </row>
    <row r="77" spans="1:24" ht="35.25" customHeight="1" x14ac:dyDescent="0.25">
      <c r="A77" s="1495" t="s">
        <v>204</v>
      </c>
      <c r="B77" s="1494" t="s">
        <v>234</v>
      </c>
      <c r="C77" s="1585" t="s">
        <v>3086</v>
      </c>
      <c r="D77" s="974" t="s">
        <v>2039</v>
      </c>
      <c r="E77" s="1011">
        <v>104042</v>
      </c>
      <c r="F77" s="1011" t="s">
        <v>90</v>
      </c>
      <c r="G77" s="1011" t="s">
        <v>1766</v>
      </c>
      <c r="H77" s="949">
        <f>-2725000+2725000</f>
        <v>0</v>
      </c>
      <c r="I77" s="949"/>
      <c r="J77" s="949"/>
      <c r="K77" s="949"/>
      <c r="L77" s="949"/>
      <c r="M77" s="949"/>
      <c r="N77" s="949"/>
      <c r="O77" s="949"/>
      <c r="P77" s="976"/>
      <c r="Q77" s="1448"/>
      <c r="R77" s="949"/>
      <c r="S77" s="949"/>
      <c r="T77" s="949"/>
      <c r="U77" s="949"/>
      <c r="V77" s="949"/>
      <c r="W77" s="949"/>
      <c r="X77" s="976"/>
    </row>
    <row r="78" spans="1:24" ht="21" customHeight="1" x14ac:dyDescent="0.25">
      <c r="A78" s="2047" t="s">
        <v>231</v>
      </c>
      <c r="B78" s="2045" t="s">
        <v>235</v>
      </c>
      <c r="C78" s="2043" t="s">
        <v>3104</v>
      </c>
      <c r="D78" s="978" t="s">
        <v>2039</v>
      </c>
      <c r="E78" s="1000" t="s">
        <v>1297</v>
      </c>
      <c r="F78" s="1000" t="s">
        <v>127</v>
      </c>
      <c r="G78" s="1000" t="s">
        <v>1754</v>
      </c>
      <c r="H78" s="1515"/>
      <c r="I78" s="1515"/>
      <c r="J78" s="1515"/>
      <c r="K78" s="1515"/>
      <c r="L78" s="1515"/>
      <c r="M78" s="1515"/>
      <c r="N78" s="1515"/>
      <c r="O78" s="1515"/>
      <c r="P78" s="1516"/>
      <c r="Q78" s="1517"/>
      <c r="R78" s="1515"/>
      <c r="S78" s="1515"/>
      <c r="T78" s="1515"/>
      <c r="U78" s="1515"/>
      <c r="V78" s="1515"/>
      <c r="W78" s="1515"/>
      <c r="X78" s="981">
        <v>445135</v>
      </c>
    </row>
    <row r="79" spans="1:24" ht="21.75" customHeight="1" x14ac:dyDescent="0.25">
      <c r="A79" s="2048"/>
      <c r="B79" s="2046"/>
      <c r="C79" s="2044"/>
      <c r="D79" s="978" t="s">
        <v>2039</v>
      </c>
      <c r="E79" s="1000" t="s">
        <v>164</v>
      </c>
      <c r="F79" s="1000" t="s">
        <v>90</v>
      </c>
      <c r="G79" s="1000" t="s">
        <v>1754</v>
      </c>
      <c r="H79" s="1515"/>
      <c r="I79" s="1515"/>
      <c r="J79" s="980">
        <f>350500+94635</f>
        <v>445135</v>
      </c>
      <c r="K79" s="1515"/>
      <c r="L79" s="1515"/>
      <c r="M79" s="1515"/>
      <c r="N79" s="1515"/>
      <c r="O79" s="1515"/>
      <c r="P79" s="1516"/>
      <c r="Q79" s="1517"/>
      <c r="R79" s="1515"/>
      <c r="S79" s="1515"/>
      <c r="T79" s="1515"/>
      <c r="U79" s="1515"/>
      <c r="V79" s="1515"/>
      <c r="W79" s="1515"/>
      <c r="X79" s="1516"/>
    </row>
    <row r="80" spans="1:24" ht="29.25" customHeight="1" x14ac:dyDescent="0.25">
      <c r="A80" s="1493" t="s">
        <v>232</v>
      </c>
      <c r="B80" s="1492" t="s">
        <v>236</v>
      </c>
      <c r="C80" s="1491" t="s">
        <v>3120</v>
      </c>
      <c r="D80" s="978" t="s">
        <v>2039</v>
      </c>
      <c r="E80" s="1000" t="s">
        <v>164</v>
      </c>
      <c r="F80" s="1000" t="s">
        <v>90</v>
      </c>
      <c r="G80" s="1000" t="s">
        <v>1766</v>
      </c>
      <c r="H80" s="1515"/>
      <c r="I80" s="1515"/>
      <c r="J80" s="980">
        <f>-150000+150000</f>
        <v>0</v>
      </c>
      <c r="K80" s="1515"/>
      <c r="L80" s="1515"/>
      <c r="M80" s="1515"/>
      <c r="N80" s="1515"/>
      <c r="O80" s="1515"/>
      <c r="P80" s="1516"/>
      <c r="Q80" s="1517"/>
      <c r="R80" s="1515"/>
      <c r="S80" s="1515"/>
      <c r="T80" s="1515"/>
      <c r="U80" s="1515"/>
      <c r="V80" s="1515"/>
      <c r="W80" s="1515"/>
      <c r="X80" s="1516"/>
    </row>
    <row r="81" spans="1:24" ht="19.5" customHeight="1" x14ac:dyDescent="0.25">
      <c r="A81" s="2047" t="s">
        <v>233</v>
      </c>
      <c r="B81" s="2045" t="s">
        <v>237</v>
      </c>
      <c r="C81" s="2043" t="s">
        <v>3253</v>
      </c>
      <c r="D81" s="978" t="s">
        <v>2039</v>
      </c>
      <c r="E81" s="1000" t="s">
        <v>1297</v>
      </c>
      <c r="F81" s="1000" t="s">
        <v>127</v>
      </c>
      <c r="G81" s="1000" t="s">
        <v>1754</v>
      </c>
      <c r="H81" s="1515"/>
      <c r="I81" s="1515"/>
      <c r="J81" s="980"/>
      <c r="K81" s="1515"/>
      <c r="L81" s="1515"/>
      <c r="M81" s="1515"/>
      <c r="N81" s="1515"/>
      <c r="O81" s="1515"/>
      <c r="P81" s="1516"/>
      <c r="Q81" s="1517"/>
      <c r="R81" s="1515"/>
      <c r="S81" s="1515"/>
      <c r="T81" s="1515"/>
      <c r="U81" s="1515"/>
      <c r="V81" s="1515"/>
      <c r="W81" s="1515"/>
      <c r="X81" s="981">
        <v>762000</v>
      </c>
    </row>
    <row r="82" spans="1:24" ht="19.5" customHeight="1" x14ac:dyDescent="0.25">
      <c r="A82" s="2048"/>
      <c r="B82" s="2046"/>
      <c r="C82" s="2044"/>
      <c r="D82" s="978" t="s">
        <v>2039</v>
      </c>
      <c r="E82" s="1000" t="s">
        <v>164</v>
      </c>
      <c r="F82" s="1000" t="s">
        <v>90</v>
      </c>
      <c r="G82" s="1000" t="s">
        <v>1754</v>
      </c>
      <c r="H82" s="1515"/>
      <c r="I82" s="1515"/>
      <c r="J82" s="980">
        <f>600000+162000</f>
        <v>762000</v>
      </c>
      <c r="K82" s="1515"/>
      <c r="L82" s="1515"/>
      <c r="M82" s="1515"/>
      <c r="N82" s="1515"/>
      <c r="O82" s="1515"/>
      <c r="P82" s="1516"/>
      <c r="Q82" s="1517"/>
      <c r="R82" s="1515"/>
      <c r="S82" s="1515"/>
      <c r="T82" s="1515"/>
      <c r="U82" s="1515"/>
      <c r="V82" s="1515"/>
      <c r="W82" s="1515"/>
      <c r="X82" s="1516"/>
    </row>
    <row r="83" spans="1:24" ht="27" customHeight="1" x14ac:dyDescent="0.25">
      <c r="A83" s="1493" t="s">
        <v>234</v>
      </c>
      <c r="B83" s="1492" t="s">
        <v>238</v>
      </c>
      <c r="C83" s="1491" t="s">
        <v>2357</v>
      </c>
      <c r="D83" s="978" t="s">
        <v>2039</v>
      </c>
      <c r="E83" s="1000" t="s">
        <v>164</v>
      </c>
      <c r="F83" s="1000" t="s">
        <v>866</v>
      </c>
      <c r="G83" s="1000" t="s">
        <v>1754</v>
      </c>
      <c r="H83" s="1515"/>
      <c r="I83" s="1515"/>
      <c r="J83" s="980">
        <v>600000</v>
      </c>
      <c r="K83" s="1515"/>
      <c r="L83" s="1515"/>
      <c r="M83" s="1515"/>
      <c r="N83" s="1515"/>
      <c r="O83" s="1515"/>
      <c r="P83" s="1516"/>
      <c r="Q83" s="1517"/>
      <c r="R83" s="1515"/>
      <c r="S83" s="1515"/>
      <c r="T83" s="980">
        <v>600000</v>
      </c>
      <c r="U83" s="1515"/>
      <c r="V83" s="1515"/>
      <c r="W83" s="1515"/>
      <c r="X83" s="1516"/>
    </row>
    <row r="84" spans="1:24" ht="30.75" customHeight="1" x14ac:dyDescent="0.25">
      <c r="A84" s="1493" t="s">
        <v>235</v>
      </c>
      <c r="B84" s="1492" t="s">
        <v>239</v>
      </c>
      <c r="C84" s="1491" t="s">
        <v>3284</v>
      </c>
      <c r="D84" s="978" t="s">
        <v>2039</v>
      </c>
      <c r="E84" s="1000" t="s">
        <v>164</v>
      </c>
      <c r="F84" s="1000" t="s">
        <v>90</v>
      </c>
      <c r="G84" s="1000" t="s">
        <v>1766</v>
      </c>
      <c r="H84" s="1515"/>
      <c r="I84" s="1515"/>
      <c r="J84" s="980">
        <f>-190000+190000</f>
        <v>0</v>
      </c>
      <c r="K84" s="1515"/>
      <c r="L84" s="1515"/>
      <c r="M84" s="1515"/>
      <c r="N84" s="1515"/>
      <c r="O84" s="1515"/>
      <c r="P84" s="1516"/>
      <c r="Q84" s="1517"/>
      <c r="R84" s="1515"/>
      <c r="S84" s="1515"/>
      <c r="T84" s="1515"/>
      <c r="U84" s="1515"/>
      <c r="V84" s="1515"/>
      <c r="W84" s="1515"/>
      <c r="X84" s="1516"/>
    </row>
    <row r="85" spans="1:24" ht="20.25" customHeight="1" x14ac:dyDescent="0.25">
      <c r="A85" s="2047" t="s">
        <v>236</v>
      </c>
      <c r="B85" s="2045" t="s">
        <v>266</v>
      </c>
      <c r="C85" s="2043" t="s">
        <v>3285</v>
      </c>
      <c r="D85" s="978" t="s">
        <v>2039</v>
      </c>
      <c r="E85" s="1000" t="s">
        <v>164</v>
      </c>
      <c r="F85" s="1000" t="s">
        <v>90</v>
      </c>
      <c r="G85" s="1000" t="s">
        <v>1752</v>
      </c>
      <c r="H85" s="1515"/>
      <c r="I85" s="1515"/>
      <c r="J85" s="980">
        <v>-100000</v>
      </c>
      <c r="K85" s="1515"/>
      <c r="L85" s="1515"/>
      <c r="M85" s="1515"/>
      <c r="N85" s="1515"/>
      <c r="O85" s="1515"/>
      <c r="P85" s="1516"/>
      <c r="Q85" s="1517"/>
      <c r="R85" s="1515"/>
      <c r="S85" s="1515"/>
      <c r="T85" s="1515"/>
      <c r="U85" s="1515"/>
      <c r="V85" s="1515"/>
      <c r="W85" s="1515"/>
      <c r="X85" s="1516"/>
    </row>
    <row r="86" spans="1:24" ht="20.25" customHeight="1" x14ac:dyDescent="0.25">
      <c r="A86" s="2048"/>
      <c r="B86" s="2046"/>
      <c r="C86" s="2044"/>
      <c r="D86" s="978" t="s">
        <v>2039</v>
      </c>
      <c r="E86" s="1000" t="s">
        <v>164</v>
      </c>
      <c r="F86" s="1000" t="s">
        <v>866</v>
      </c>
      <c r="G86" s="1000" t="s">
        <v>1754</v>
      </c>
      <c r="H86" s="1515"/>
      <c r="I86" s="1515"/>
      <c r="J86" s="980">
        <v>100000</v>
      </c>
      <c r="K86" s="1515"/>
      <c r="L86" s="1515"/>
      <c r="M86" s="1515"/>
      <c r="N86" s="1515"/>
      <c r="O86" s="1515"/>
      <c r="P86" s="1516"/>
      <c r="Q86" s="1517"/>
      <c r="R86" s="1515"/>
      <c r="S86" s="1515"/>
      <c r="T86" s="1515"/>
      <c r="U86" s="1515"/>
      <c r="V86" s="1515"/>
      <c r="W86" s="1515"/>
      <c r="X86" s="1516"/>
    </row>
    <row r="87" spans="1:24" ht="30" customHeight="1" x14ac:dyDescent="0.25">
      <c r="A87" s="1493" t="s">
        <v>237</v>
      </c>
      <c r="B87" s="1492" t="s">
        <v>267</v>
      </c>
      <c r="C87" s="1491" t="s">
        <v>3374</v>
      </c>
      <c r="D87" s="978" t="s">
        <v>2039</v>
      </c>
      <c r="E87" s="1000" t="s">
        <v>164</v>
      </c>
      <c r="F87" s="1000" t="s">
        <v>90</v>
      </c>
      <c r="G87" s="1000" t="s">
        <v>1766</v>
      </c>
      <c r="H87" s="980">
        <f>-1074570+1074570</f>
        <v>0</v>
      </c>
      <c r="I87" s="1515"/>
      <c r="J87" s="980"/>
      <c r="K87" s="1515"/>
      <c r="L87" s="1515"/>
      <c r="M87" s="1515"/>
      <c r="N87" s="1515"/>
      <c r="O87" s="1515"/>
      <c r="P87" s="1516"/>
      <c r="Q87" s="1517"/>
      <c r="R87" s="1515"/>
      <c r="S87" s="1515"/>
      <c r="T87" s="1515"/>
      <c r="U87" s="1515"/>
      <c r="V87" s="1515"/>
      <c r="W87" s="1515"/>
      <c r="X87" s="1516"/>
    </row>
    <row r="88" spans="1:24" ht="31.5" customHeight="1" x14ac:dyDescent="0.25">
      <c r="A88" s="1493" t="s">
        <v>238</v>
      </c>
      <c r="B88" s="1492" t="s">
        <v>194</v>
      </c>
      <c r="C88" s="1491" t="s">
        <v>3416</v>
      </c>
      <c r="D88" s="978" t="s">
        <v>2039</v>
      </c>
      <c r="E88" s="1000" t="s">
        <v>164</v>
      </c>
      <c r="F88" s="1000" t="s">
        <v>90</v>
      </c>
      <c r="G88" s="1000" t="s">
        <v>1766</v>
      </c>
      <c r="H88" s="1515"/>
      <c r="I88" s="1515"/>
      <c r="J88" s="980">
        <f>-120000+120000</f>
        <v>0</v>
      </c>
      <c r="K88" s="1515"/>
      <c r="L88" s="1515"/>
      <c r="M88" s="1515"/>
      <c r="N88" s="1515"/>
      <c r="O88" s="1515"/>
      <c r="P88" s="1516"/>
      <c r="Q88" s="1517"/>
      <c r="R88" s="1515"/>
      <c r="S88" s="1515"/>
      <c r="T88" s="1515"/>
      <c r="U88" s="1515"/>
      <c r="V88" s="1515"/>
      <c r="W88" s="1515"/>
      <c r="X88" s="1516"/>
    </row>
    <row r="89" spans="1:24" ht="31.5" customHeight="1" x14ac:dyDescent="0.25">
      <c r="A89" s="1493" t="s">
        <v>239</v>
      </c>
      <c r="B89" s="1492" t="s">
        <v>195</v>
      </c>
      <c r="C89" s="1491" t="s">
        <v>3426</v>
      </c>
      <c r="D89" s="978" t="s">
        <v>2039</v>
      </c>
      <c r="E89" s="1000" t="s">
        <v>164</v>
      </c>
      <c r="F89" s="1000" t="s">
        <v>90</v>
      </c>
      <c r="G89" s="1000" t="s">
        <v>1766</v>
      </c>
      <c r="H89" s="1515"/>
      <c r="I89" s="1515"/>
      <c r="J89" s="980">
        <f>-10000+10000</f>
        <v>0</v>
      </c>
      <c r="K89" s="1515"/>
      <c r="L89" s="1515"/>
      <c r="M89" s="1515"/>
      <c r="N89" s="1515"/>
      <c r="O89" s="1515"/>
      <c r="P89" s="1516"/>
      <c r="Q89" s="1517"/>
      <c r="R89" s="1515"/>
      <c r="S89" s="1515"/>
      <c r="T89" s="1515"/>
      <c r="U89" s="1515"/>
      <c r="V89" s="1515"/>
      <c r="W89" s="1515"/>
      <c r="X89" s="1516"/>
    </row>
    <row r="90" spans="1:24" ht="24" customHeight="1" x14ac:dyDescent="0.25">
      <c r="A90" s="2047" t="s">
        <v>266</v>
      </c>
      <c r="B90" s="2063" t="s">
        <v>3538</v>
      </c>
      <c r="C90" s="2043" t="s">
        <v>3537</v>
      </c>
      <c r="D90" s="978" t="s">
        <v>2039</v>
      </c>
      <c r="E90" s="1000" t="s">
        <v>164</v>
      </c>
      <c r="F90" s="1000" t="s">
        <v>866</v>
      </c>
      <c r="G90" s="1000" t="s">
        <v>1752</v>
      </c>
      <c r="H90" s="1515"/>
      <c r="I90" s="1515"/>
      <c r="J90" s="980">
        <v>-754944</v>
      </c>
      <c r="K90" s="1515"/>
      <c r="L90" s="1515"/>
      <c r="M90" s="1515"/>
      <c r="N90" s="1515"/>
      <c r="O90" s="1515"/>
      <c r="P90" s="1516"/>
      <c r="Q90" s="1517"/>
      <c r="R90" s="1515"/>
      <c r="S90" s="1515"/>
      <c r="T90" s="980">
        <v>-754944</v>
      </c>
      <c r="U90" s="1515"/>
      <c r="V90" s="1515"/>
      <c r="W90" s="1515"/>
      <c r="X90" s="1516"/>
    </row>
    <row r="91" spans="1:24" ht="24" customHeight="1" x14ac:dyDescent="0.25">
      <c r="A91" s="2048"/>
      <c r="B91" s="2065"/>
      <c r="C91" s="2044"/>
      <c r="D91" s="978" t="s">
        <v>2039</v>
      </c>
      <c r="E91" s="1000" t="s">
        <v>164</v>
      </c>
      <c r="F91" s="1000" t="s">
        <v>90</v>
      </c>
      <c r="G91" s="1000" t="s">
        <v>1752</v>
      </c>
      <c r="H91" s="980"/>
      <c r="I91" s="980"/>
      <c r="J91" s="980">
        <v>-97</v>
      </c>
      <c r="K91" s="980"/>
      <c r="L91" s="980"/>
      <c r="M91" s="980"/>
      <c r="N91" s="980"/>
      <c r="O91" s="980"/>
      <c r="P91" s="981"/>
      <c r="Q91" s="1318"/>
      <c r="R91" s="980"/>
      <c r="S91" s="980"/>
      <c r="T91" s="980">
        <v>-97</v>
      </c>
      <c r="U91" s="980"/>
      <c r="V91" s="980"/>
      <c r="W91" s="980"/>
      <c r="X91" s="981"/>
    </row>
    <row r="92" spans="1:24" ht="18" customHeight="1" x14ac:dyDescent="0.25">
      <c r="A92" s="1429"/>
      <c r="B92" s="1430"/>
      <c r="C92" s="982"/>
      <c r="D92" s="983"/>
      <c r="E92" s="1083"/>
      <c r="F92" s="1083"/>
      <c r="G92" s="1083"/>
      <c r="H92" s="985"/>
      <c r="I92" s="985"/>
      <c r="J92" s="985"/>
      <c r="K92" s="985"/>
      <c r="L92" s="985"/>
      <c r="M92" s="985"/>
      <c r="N92" s="985"/>
      <c r="O92" s="985"/>
      <c r="P92" s="986"/>
      <c r="Q92" s="1319"/>
      <c r="R92" s="985"/>
      <c r="S92" s="985"/>
      <c r="T92" s="985"/>
      <c r="U92" s="985"/>
      <c r="V92" s="985"/>
      <c r="W92" s="985"/>
      <c r="X92" s="986"/>
    </row>
    <row r="93" spans="1:24" ht="18.75" x14ac:dyDescent="0.3">
      <c r="A93" s="2021" t="s">
        <v>1663</v>
      </c>
      <c r="B93" s="2022"/>
      <c r="C93" s="2022"/>
      <c r="D93" s="1057"/>
      <c r="E93" s="1057"/>
      <c r="F93" s="1057"/>
      <c r="G93" s="1057"/>
      <c r="H93" s="1252">
        <f>SUM(H77:H92)+H58</f>
        <v>3929867</v>
      </c>
      <c r="I93" s="1252">
        <f t="shared" ref="I93:X93" si="3">SUM(I77:I92)+I58</f>
        <v>510883</v>
      </c>
      <c r="J93" s="1252">
        <f t="shared" si="3"/>
        <v>3337566</v>
      </c>
      <c r="K93" s="1252">
        <f t="shared" si="3"/>
        <v>0</v>
      </c>
      <c r="L93" s="1252">
        <f t="shared" si="3"/>
        <v>3068287</v>
      </c>
      <c r="M93" s="1252">
        <f t="shared" si="3"/>
        <v>0</v>
      </c>
      <c r="N93" s="1252">
        <f t="shared" si="3"/>
        <v>0</v>
      </c>
      <c r="O93" s="1252">
        <f t="shared" si="3"/>
        <v>0</v>
      </c>
      <c r="P93" s="1059">
        <f t="shared" si="3"/>
        <v>0</v>
      </c>
      <c r="Q93" s="1453">
        <f t="shared" si="3"/>
        <v>0</v>
      </c>
      <c r="R93" s="1252">
        <f t="shared" si="3"/>
        <v>0</v>
      </c>
      <c r="S93" s="1252">
        <f t="shared" si="3"/>
        <v>0</v>
      </c>
      <c r="T93" s="1252">
        <f t="shared" si="3"/>
        <v>2130431</v>
      </c>
      <c r="U93" s="1252">
        <f t="shared" si="3"/>
        <v>0</v>
      </c>
      <c r="V93" s="1252">
        <f t="shared" si="3"/>
        <v>0</v>
      </c>
      <c r="W93" s="1252">
        <f t="shared" si="3"/>
        <v>0</v>
      </c>
      <c r="X93" s="1059">
        <f t="shared" si="3"/>
        <v>8716172</v>
      </c>
    </row>
    <row r="94" spans="1:24" ht="17.25" customHeight="1" x14ac:dyDescent="0.25">
      <c r="H94" s="1064">
        <f>'2.5. sz. Gyermekjóléti'!S9-'2.5. sz. Gyermekjóléti'!R9</f>
        <v>3929867</v>
      </c>
      <c r="I94" s="1064">
        <f>'2.5. sz. Gyermekjóléti'!S10-'2.5. sz. Gyermekjóléti'!R10</f>
        <v>510883</v>
      </c>
      <c r="J94" s="1064">
        <f>'2.5. sz. Gyermekjóléti'!S11-'2.5. sz. Gyermekjóléti'!R11</f>
        <v>3337566</v>
      </c>
      <c r="K94" s="1064">
        <f>'2.5. sz. Gyermekjóléti'!S12-'2.5. sz. Gyermekjóléti'!R12</f>
        <v>0</v>
      </c>
      <c r="L94" s="1064">
        <f>'2.5. sz. Gyermekjóléti'!S13-'2.5. sz. Gyermekjóléti'!R13</f>
        <v>3068287</v>
      </c>
      <c r="M94" s="1064">
        <f>'2.5. sz. Gyermekjóléti'!S17-'2.5. sz. Gyermekjóléti'!R17</f>
        <v>0</v>
      </c>
      <c r="N94" s="1064">
        <f>'2.5. sz. Gyermekjóléti'!S18-'2.5. sz. Gyermekjóléti'!R18</f>
        <v>0</v>
      </c>
      <c r="O94" s="1064">
        <f>'2.5. sz. Gyermekjóléti'!S19-'2.5. sz. Gyermekjóléti'!R19</f>
        <v>0</v>
      </c>
      <c r="P94" s="1064">
        <f>'2.5. sz. Gyermekjóléti'!S22-'2.5. sz. Gyermekjóléti'!R22</f>
        <v>0</v>
      </c>
      <c r="Q94" s="1064">
        <f>'2.5. sz. Gyermekjóléti'!S31-'2.5. sz. Gyermekjóléti'!R31</f>
        <v>0</v>
      </c>
      <c r="R94" s="1064">
        <f>'2.5. sz. Gyermekjóléti'!S32-'2.5. sz. Gyermekjóléti'!R32</f>
        <v>0</v>
      </c>
      <c r="S94" s="1064">
        <f>'2.5. sz. Gyermekjóléti'!S33-'2.5. sz. Gyermekjóléti'!R33</f>
        <v>0</v>
      </c>
      <c r="T94" s="1064">
        <f>'2.5. sz. Gyermekjóléti'!S34-'2.5. sz. Gyermekjóléti'!R34</f>
        <v>2130431</v>
      </c>
      <c r="U94" s="1064">
        <f>'2.5. sz. Gyermekjóléti'!S35-'2.5. sz. Gyermekjóléti'!R35</f>
        <v>0</v>
      </c>
      <c r="V94" s="1064">
        <f>'2.5. sz. Gyermekjóléti'!S36-'2.5. sz. Gyermekjóléti'!R36</f>
        <v>0</v>
      </c>
      <c r="W94" s="1064">
        <f>'2.5. sz. Gyermekjóléti'!S37-'2.5. sz. Gyermekjóléti'!R37</f>
        <v>0</v>
      </c>
      <c r="X94" s="1064">
        <f>'2.5. sz. Gyermekjóléti'!S39-'2.5. sz. Gyermekjóléti'!R39</f>
        <v>8716172</v>
      </c>
    </row>
    <row r="95" spans="1:24" ht="19.5" customHeight="1" x14ac:dyDescent="0.25">
      <c r="H95" s="1064">
        <f>+H94-H93</f>
        <v>0</v>
      </c>
      <c r="I95" s="1064">
        <f t="shared" ref="I95:N95" si="4">+I94-I93</f>
        <v>0</v>
      </c>
      <c r="J95" s="1064">
        <f t="shared" si="4"/>
        <v>0</v>
      </c>
      <c r="K95" s="1064">
        <f t="shared" si="4"/>
        <v>0</v>
      </c>
      <c r="L95" s="1064">
        <f t="shared" si="4"/>
        <v>0</v>
      </c>
      <c r="M95" s="1064">
        <f t="shared" si="4"/>
        <v>0</v>
      </c>
      <c r="N95" s="1064">
        <f t="shared" si="4"/>
        <v>0</v>
      </c>
      <c r="O95" s="1064">
        <f>+O94-O93</f>
        <v>0</v>
      </c>
      <c r="P95" s="1064">
        <f t="shared" ref="P95:X95" si="5">+P94-P93</f>
        <v>0</v>
      </c>
      <c r="Q95" s="1064">
        <f t="shared" si="5"/>
        <v>0</v>
      </c>
      <c r="R95" s="1064">
        <f t="shared" si="5"/>
        <v>0</v>
      </c>
      <c r="S95" s="1064">
        <f t="shared" si="5"/>
        <v>0</v>
      </c>
      <c r="T95" s="1064">
        <f t="shared" si="5"/>
        <v>0</v>
      </c>
      <c r="U95" s="1064">
        <f t="shared" si="5"/>
        <v>0</v>
      </c>
      <c r="V95" s="1064">
        <f t="shared" si="5"/>
        <v>0</v>
      </c>
      <c r="W95" s="1064">
        <f t="shared" si="5"/>
        <v>0</v>
      </c>
      <c r="X95" s="1064">
        <f t="shared" si="5"/>
        <v>0</v>
      </c>
    </row>
    <row r="96" spans="1:24" x14ac:dyDescent="0.25">
      <c r="Q96" s="968"/>
    </row>
    <row r="97" spans="9:22" x14ac:dyDescent="0.25">
      <c r="Q97" s="968"/>
    </row>
    <row r="98" spans="9:22" ht="20.25" customHeight="1" x14ac:dyDescent="0.25">
      <c r="I98" s="2042" t="s">
        <v>1664</v>
      </c>
      <c r="J98" s="2042"/>
      <c r="K98" s="2042"/>
      <c r="L98" s="2042">
        <v>98532674</v>
      </c>
      <c r="M98" s="2042"/>
      <c r="N98" s="996"/>
      <c r="O98" s="996"/>
      <c r="P98" s="996"/>
      <c r="Q98" s="996"/>
      <c r="R98" s="2042" t="s">
        <v>1665</v>
      </c>
      <c r="S98" s="2042"/>
      <c r="T98" s="2042"/>
      <c r="U98" s="2042">
        <v>98532674</v>
      </c>
      <c r="V98" s="2042"/>
    </row>
    <row r="99" spans="9:22" ht="21" customHeight="1" x14ac:dyDescent="0.25">
      <c r="I99" s="2042" t="s">
        <v>1666</v>
      </c>
      <c r="J99" s="2042"/>
      <c r="K99" s="2042"/>
      <c r="L99" s="2042">
        <f>SUM(H93:P93)</f>
        <v>10846603</v>
      </c>
      <c r="M99" s="2042"/>
      <c r="N99" s="996"/>
      <c r="O99" s="996"/>
      <c r="P99" s="996"/>
      <c r="Q99" s="996"/>
      <c r="R99" s="2042" t="s">
        <v>1666</v>
      </c>
      <c r="S99" s="2042"/>
      <c r="T99" s="2042"/>
      <c r="U99" s="2042">
        <f>SUM(Q93:X93)</f>
        <v>10846603</v>
      </c>
      <c r="V99" s="2042"/>
    </row>
    <row r="100" spans="9:22" ht="20.25" customHeight="1" x14ac:dyDescent="0.25">
      <c r="I100" s="2042" t="s">
        <v>1512</v>
      </c>
      <c r="J100" s="2042"/>
      <c r="K100" s="2042"/>
      <c r="L100" s="2042">
        <f>+L98+L99</f>
        <v>109379277</v>
      </c>
      <c r="M100" s="2042"/>
      <c r="N100" s="996"/>
      <c r="O100" s="996"/>
      <c r="P100" s="996"/>
      <c r="Q100" s="996"/>
      <c r="R100" s="2042" t="s">
        <v>1512</v>
      </c>
      <c r="S100" s="2042"/>
      <c r="T100" s="2042"/>
      <c r="U100" s="2042">
        <f>+U98+U99</f>
        <v>109379277</v>
      </c>
      <c r="V100" s="2042"/>
    </row>
    <row r="101" spans="9:22" x14ac:dyDescent="0.25">
      <c r="Q101" s="968"/>
    </row>
    <row r="102" spans="9:22" x14ac:dyDescent="0.25">
      <c r="Q102" s="968"/>
    </row>
    <row r="103" spans="9:22" x14ac:dyDescent="0.25">
      <c r="Q103" s="968"/>
    </row>
    <row r="104" spans="9:22" x14ac:dyDescent="0.25">
      <c r="Q104" s="968"/>
    </row>
    <row r="105" spans="9:22" x14ac:dyDescent="0.25">
      <c r="Q105" s="968"/>
    </row>
    <row r="106" spans="9:22" x14ac:dyDescent="0.25">
      <c r="Q106" s="968"/>
    </row>
    <row r="107" spans="9:22" x14ac:dyDescent="0.25">
      <c r="Q107" s="968"/>
    </row>
    <row r="108" spans="9:22" x14ac:dyDescent="0.25">
      <c r="Q108" s="968"/>
    </row>
    <row r="109" spans="9:22" x14ac:dyDescent="0.25">
      <c r="Q109" s="968"/>
    </row>
    <row r="110" spans="9:22" x14ac:dyDescent="0.25">
      <c r="Q110" s="968"/>
    </row>
    <row r="111" spans="9:22" x14ac:dyDescent="0.25">
      <c r="Q111" s="968"/>
    </row>
    <row r="112" spans="9:22" x14ac:dyDescent="0.25">
      <c r="Q112" s="968"/>
    </row>
  </sheetData>
  <mergeCells count="117">
    <mergeCell ref="A90:A91"/>
    <mergeCell ref="R63:T63"/>
    <mergeCell ref="U63:V63"/>
    <mergeCell ref="I64:K64"/>
    <mergeCell ref="L64:M64"/>
    <mergeCell ref="R64:T64"/>
    <mergeCell ref="U64:V64"/>
    <mergeCell ref="C28:C29"/>
    <mergeCell ref="B28:B29"/>
    <mergeCell ref="A28:A29"/>
    <mergeCell ref="C30:C31"/>
    <mergeCell ref="B30:B31"/>
    <mergeCell ref="A30:A31"/>
    <mergeCell ref="A49:X49"/>
    <mergeCell ref="A52:X52"/>
    <mergeCell ref="A54:A55"/>
    <mergeCell ref="B54:B55"/>
    <mergeCell ref="C54:C55"/>
    <mergeCell ref="D54:D55"/>
    <mergeCell ref="E54:E55"/>
    <mergeCell ref="F54:F55"/>
    <mergeCell ref="G54:G55"/>
    <mergeCell ref="H54:O54"/>
    <mergeCell ref="Q54:X54"/>
    <mergeCell ref="I45:K45"/>
    <mergeCell ref="L45:M45"/>
    <mergeCell ref="R45:T45"/>
    <mergeCell ref="C7:C8"/>
    <mergeCell ref="B7:B8"/>
    <mergeCell ref="A21:X21"/>
    <mergeCell ref="A24:X24"/>
    <mergeCell ref="D26:D27"/>
    <mergeCell ref="E26:E27"/>
    <mergeCell ref="F26:F27"/>
    <mergeCell ref="G26:G27"/>
    <mergeCell ref="H26:O26"/>
    <mergeCell ref="Q26:X26"/>
    <mergeCell ref="A26:A27"/>
    <mergeCell ref="B26:B27"/>
    <mergeCell ref="C26:C27"/>
    <mergeCell ref="U45:V45"/>
    <mergeCell ref="A38:C38"/>
    <mergeCell ref="I43:K43"/>
    <mergeCell ref="L43:M43"/>
    <mergeCell ref="A7:A8"/>
    <mergeCell ref="A11:C11"/>
    <mergeCell ref="I15:K15"/>
    <mergeCell ref="L15:M15"/>
    <mergeCell ref="R16:T16"/>
    <mergeCell ref="U16:V16"/>
    <mergeCell ref="R15:T15"/>
    <mergeCell ref="U15:V15"/>
    <mergeCell ref="I17:K17"/>
    <mergeCell ref="L17:M17"/>
    <mergeCell ref="R17:T17"/>
    <mergeCell ref="U17:V17"/>
    <mergeCell ref="I16:K16"/>
    <mergeCell ref="L16:M16"/>
    <mergeCell ref="A1:X1"/>
    <mergeCell ref="A3:X3"/>
    <mergeCell ref="A5:A6"/>
    <mergeCell ref="B5:B6"/>
    <mergeCell ref="C5:C6"/>
    <mergeCell ref="D5:D6"/>
    <mergeCell ref="E5:E6"/>
    <mergeCell ref="F5:F6"/>
    <mergeCell ref="G5:G6"/>
    <mergeCell ref="H5:O5"/>
    <mergeCell ref="Q5:X5"/>
    <mergeCell ref="R43:T43"/>
    <mergeCell ref="U43:V43"/>
    <mergeCell ref="A70:X70"/>
    <mergeCell ref="A73:X73"/>
    <mergeCell ref="A75:A76"/>
    <mergeCell ref="B75:B76"/>
    <mergeCell ref="C75:C76"/>
    <mergeCell ref="D75:D76"/>
    <mergeCell ref="E75:E76"/>
    <mergeCell ref="F75:F76"/>
    <mergeCell ref="G75:G76"/>
    <mergeCell ref="H75:O75"/>
    <mergeCell ref="Q75:X75"/>
    <mergeCell ref="I65:K65"/>
    <mergeCell ref="L65:M65"/>
    <mergeCell ref="R65:T65"/>
    <mergeCell ref="U65:V65"/>
    <mergeCell ref="A58:C58"/>
    <mergeCell ref="I63:K63"/>
    <mergeCell ref="L63:M63"/>
    <mergeCell ref="I44:K44"/>
    <mergeCell ref="L44:M44"/>
    <mergeCell ref="R44:T44"/>
    <mergeCell ref="U44:V44"/>
    <mergeCell ref="C78:C79"/>
    <mergeCell ref="B78:B79"/>
    <mergeCell ref="A78:A79"/>
    <mergeCell ref="I99:K99"/>
    <mergeCell ref="L99:M99"/>
    <mergeCell ref="R99:T99"/>
    <mergeCell ref="U99:V99"/>
    <mergeCell ref="I100:K100"/>
    <mergeCell ref="L100:M100"/>
    <mergeCell ref="R100:T100"/>
    <mergeCell ref="U100:V100"/>
    <mergeCell ref="A93:C93"/>
    <mergeCell ref="I98:K98"/>
    <mergeCell ref="L98:M98"/>
    <mergeCell ref="R98:T98"/>
    <mergeCell ref="U98:V98"/>
    <mergeCell ref="C81:C82"/>
    <mergeCell ref="B81:B82"/>
    <mergeCell ref="A81:A82"/>
    <mergeCell ref="C85:C86"/>
    <mergeCell ref="B85:B86"/>
    <mergeCell ref="A85:A86"/>
    <mergeCell ref="C90:C91"/>
    <mergeCell ref="B90:B91"/>
  </mergeCells>
  <printOptions horizontalCentered="1" verticalCentered="1"/>
  <pageMargins left="0.11811023622047245" right="0.11811023622047245" top="0.35433070866141736" bottom="0.35433070866141736" header="0.31496062992125984" footer="0.31496062992125984"/>
  <pageSetup paperSize="9" scale="49" orientation="landscape" r:id="rId1"/>
  <headerFooter>
    <oddHeader>&amp;R&amp;A</oddHeader>
    <oddFooter>&amp;C&amp;P/&amp;N</oddFooter>
  </headerFooter>
  <rowBreaks count="2" manualBreakCount="2">
    <brk id="45" max="23" man="1"/>
    <brk id="84" max="2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47"/>
  <sheetViews>
    <sheetView view="pageBreakPreview" topLeftCell="A127" zoomScale="87" zoomScaleNormal="100" zoomScaleSheetLayoutView="87" workbookViewId="0">
      <selection activeCell="M130" sqref="M130"/>
    </sheetView>
  </sheetViews>
  <sheetFormatPr defaultRowHeight="12.75" x14ac:dyDescent="0.2"/>
  <cols>
    <col min="1" max="2" width="5.42578125" customWidth="1"/>
    <col min="3" max="3" width="32.140625" customWidth="1"/>
    <col min="4" max="4" width="6.5703125" customWidth="1"/>
    <col min="5" max="5" width="8.42578125" customWidth="1"/>
    <col min="6" max="6" width="5.85546875" customWidth="1"/>
    <col min="8" max="9" width="14.5703125" customWidth="1"/>
    <col min="10" max="10" width="13.5703125" customWidth="1"/>
    <col min="11" max="11" width="11.5703125" customWidth="1"/>
    <col min="12" max="12" width="12.85546875" customWidth="1"/>
    <col min="13" max="13" width="12.140625" customWidth="1"/>
    <col min="14" max="14" width="12.42578125" customWidth="1"/>
    <col min="15" max="15" width="12.85546875" customWidth="1"/>
    <col min="16" max="16" width="12" customWidth="1"/>
    <col min="17" max="17" width="12.7109375" customWidth="1"/>
    <col min="18" max="18" width="14.85546875" customWidth="1"/>
    <col min="19" max="19" width="10.7109375" customWidth="1"/>
    <col min="20" max="20" width="11" customWidth="1"/>
    <col min="21" max="21" width="10.85546875" customWidth="1"/>
    <col min="22" max="22" width="12.42578125" customWidth="1"/>
    <col min="23" max="23" width="11.42578125" customWidth="1"/>
    <col min="24" max="24" width="13.7109375" customWidth="1"/>
    <col min="257" max="258" width="5.42578125" customWidth="1"/>
    <col min="259" max="259" width="32.140625" customWidth="1"/>
    <col min="260" max="260" width="6.5703125" customWidth="1"/>
    <col min="261" max="261" width="8.42578125" customWidth="1"/>
    <col min="262" max="262" width="5.85546875" customWidth="1"/>
    <col min="264" max="265" width="14.5703125" customWidth="1"/>
    <col min="266" max="266" width="13.5703125" customWidth="1"/>
    <col min="267" max="267" width="11.5703125" customWidth="1"/>
    <col min="268" max="268" width="12.85546875" customWidth="1"/>
    <col min="269" max="269" width="12.140625" customWidth="1"/>
    <col min="270" max="270" width="12.42578125" customWidth="1"/>
    <col min="271" max="271" width="12.85546875" customWidth="1"/>
    <col min="272" max="272" width="12" customWidth="1"/>
    <col min="273" max="273" width="12.7109375" customWidth="1"/>
    <col min="274" max="274" width="14.85546875" customWidth="1"/>
    <col min="275" max="275" width="10.7109375" customWidth="1"/>
    <col min="276" max="276" width="11" customWidth="1"/>
    <col min="277" max="277" width="10.85546875" customWidth="1"/>
    <col min="278" max="278" width="12.42578125" customWidth="1"/>
    <col min="279" max="279" width="11.42578125" customWidth="1"/>
    <col min="280" max="280" width="13.7109375" customWidth="1"/>
    <col min="513" max="514" width="5.42578125" customWidth="1"/>
    <col min="515" max="515" width="32.140625" customWidth="1"/>
    <col min="516" max="516" width="6.5703125" customWidth="1"/>
    <col min="517" max="517" width="8.42578125" customWidth="1"/>
    <col min="518" max="518" width="5.85546875" customWidth="1"/>
    <col min="520" max="521" width="14.5703125" customWidth="1"/>
    <col min="522" max="522" width="13.5703125" customWidth="1"/>
    <col min="523" max="523" width="11.5703125" customWidth="1"/>
    <col min="524" max="524" width="12.85546875" customWidth="1"/>
    <col min="525" max="525" width="12.140625" customWidth="1"/>
    <col min="526" max="526" width="12.42578125" customWidth="1"/>
    <col min="527" max="527" width="12.85546875" customWidth="1"/>
    <col min="528" max="528" width="12" customWidth="1"/>
    <col min="529" max="529" width="12.7109375" customWidth="1"/>
    <col min="530" max="530" width="14.85546875" customWidth="1"/>
    <col min="531" max="531" width="10.7109375" customWidth="1"/>
    <col min="532" max="532" width="11" customWidth="1"/>
    <col min="533" max="533" width="10.85546875" customWidth="1"/>
    <col min="534" max="534" width="12.42578125" customWidth="1"/>
    <col min="535" max="535" width="11.42578125" customWidth="1"/>
    <col min="536" max="536" width="13.7109375" customWidth="1"/>
    <col min="769" max="770" width="5.42578125" customWidth="1"/>
    <col min="771" max="771" width="32.140625" customWidth="1"/>
    <col min="772" max="772" width="6.5703125" customWidth="1"/>
    <col min="773" max="773" width="8.42578125" customWidth="1"/>
    <col min="774" max="774" width="5.85546875" customWidth="1"/>
    <col min="776" max="777" width="14.5703125" customWidth="1"/>
    <col min="778" max="778" width="13.5703125" customWidth="1"/>
    <col min="779" max="779" width="11.5703125" customWidth="1"/>
    <col min="780" max="780" width="12.85546875" customWidth="1"/>
    <col min="781" max="781" width="12.140625" customWidth="1"/>
    <col min="782" max="782" width="12.42578125" customWidth="1"/>
    <col min="783" max="783" width="12.85546875" customWidth="1"/>
    <col min="784" max="784" width="12" customWidth="1"/>
    <col min="785" max="785" width="12.7109375" customWidth="1"/>
    <col min="786" max="786" width="14.85546875" customWidth="1"/>
    <col min="787" max="787" width="10.7109375" customWidth="1"/>
    <col min="788" max="788" width="11" customWidth="1"/>
    <col min="789" max="789" width="10.85546875" customWidth="1"/>
    <col min="790" max="790" width="12.42578125" customWidth="1"/>
    <col min="791" max="791" width="11.42578125" customWidth="1"/>
    <col min="792" max="792" width="13.7109375" customWidth="1"/>
    <col min="1025" max="1026" width="5.42578125" customWidth="1"/>
    <col min="1027" max="1027" width="32.140625" customWidth="1"/>
    <col min="1028" max="1028" width="6.5703125" customWidth="1"/>
    <col min="1029" max="1029" width="8.42578125" customWidth="1"/>
    <col min="1030" max="1030" width="5.85546875" customWidth="1"/>
    <col min="1032" max="1033" width="14.5703125" customWidth="1"/>
    <col min="1034" max="1034" width="13.5703125" customWidth="1"/>
    <col min="1035" max="1035" width="11.5703125" customWidth="1"/>
    <col min="1036" max="1036" width="12.85546875" customWidth="1"/>
    <col min="1037" max="1037" width="12.140625" customWidth="1"/>
    <col min="1038" max="1038" width="12.42578125" customWidth="1"/>
    <col min="1039" max="1039" width="12.85546875" customWidth="1"/>
    <col min="1040" max="1040" width="12" customWidth="1"/>
    <col min="1041" max="1041" width="12.7109375" customWidth="1"/>
    <col min="1042" max="1042" width="14.85546875" customWidth="1"/>
    <col min="1043" max="1043" width="10.7109375" customWidth="1"/>
    <col min="1044" max="1044" width="11" customWidth="1"/>
    <col min="1045" max="1045" width="10.85546875" customWidth="1"/>
    <col min="1046" max="1046" width="12.42578125" customWidth="1"/>
    <col min="1047" max="1047" width="11.42578125" customWidth="1"/>
    <col min="1048" max="1048" width="13.7109375" customWidth="1"/>
    <col min="1281" max="1282" width="5.42578125" customWidth="1"/>
    <col min="1283" max="1283" width="32.140625" customWidth="1"/>
    <col min="1284" max="1284" width="6.5703125" customWidth="1"/>
    <col min="1285" max="1285" width="8.42578125" customWidth="1"/>
    <col min="1286" max="1286" width="5.85546875" customWidth="1"/>
    <col min="1288" max="1289" width="14.5703125" customWidth="1"/>
    <col min="1290" max="1290" width="13.5703125" customWidth="1"/>
    <col min="1291" max="1291" width="11.5703125" customWidth="1"/>
    <col min="1292" max="1292" width="12.85546875" customWidth="1"/>
    <col min="1293" max="1293" width="12.140625" customWidth="1"/>
    <col min="1294" max="1294" width="12.42578125" customWidth="1"/>
    <col min="1295" max="1295" width="12.85546875" customWidth="1"/>
    <col min="1296" max="1296" width="12" customWidth="1"/>
    <col min="1297" max="1297" width="12.7109375" customWidth="1"/>
    <col min="1298" max="1298" width="14.85546875" customWidth="1"/>
    <col min="1299" max="1299" width="10.7109375" customWidth="1"/>
    <col min="1300" max="1300" width="11" customWidth="1"/>
    <col min="1301" max="1301" width="10.85546875" customWidth="1"/>
    <col min="1302" max="1302" width="12.42578125" customWidth="1"/>
    <col min="1303" max="1303" width="11.42578125" customWidth="1"/>
    <col min="1304" max="1304" width="13.7109375" customWidth="1"/>
    <col min="1537" max="1538" width="5.42578125" customWidth="1"/>
    <col min="1539" max="1539" width="32.140625" customWidth="1"/>
    <col min="1540" max="1540" width="6.5703125" customWidth="1"/>
    <col min="1541" max="1541" width="8.42578125" customWidth="1"/>
    <col min="1542" max="1542" width="5.85546875" customWidth="1"/>
    <col min="1544" max="1545" width="14.5703125" customWidth="1"/>
    <col min="1546" max="1546" width="13.5703125" customWidth="1"/>
    <col min="1547" max="1547" width="11.5703125" customWidth="1"/>
    <col min="1548" max="1548" width="12.85546875" customWidth="1"/>
    <col min="1549" max="1549" width="12.140625" customWidth="1"/>
    <col min="1550" max="1550" width="12.42578125" customWidth="1"/>
    <col min="1551" max="1551" width="12.85546875" customWidth="1"/>
    <col min="1552" max="1552" width="12" customWidth="1"/>
    <col min="1553" max="1553" width="12.7109375" customWidth="1"/>
    <col min="1554" max="1554" width="14.85546875" customWidth="1"/>
    <col min="1555" max="1555" width="10.7109375" customWidth="1"/>
    <col min="1556" max="1556" width="11" customWidth="1"/>
    <col min="1557" max="1557" width="10.85546875" customWidth="1"/>
    <col min="1558" max="1558" width="12.42578125" customWidth="1"/>
    <col min="1559" max="1559" width="11.42578125" customWidth="1"/>
    <col min="1560" max="1560" width="13.7109375" customWidth="1"/>
    <col min="1793" max="1794" width="5.42578125" customWidth="1"/>
    <col min="1795" max="1795" width="32.140625" customWidth="1"/>
    <col min="1796" max="1796" width="6.5703125" customWidth="1"/>
    <col min="1797" max="1797" width="8.42578125" customWidth="1"/>
    <col min="1798" max="1798" width="5.85546875" customWidth="1"/>
    <col min="1800" max="1801" width="14.5703125" customWidth="1"/>
    <col min="1802" max="1802" width="13.5703125" customWidth="1"/>
    <col min="1803" max="1803" width="11.5703125" customWidth="1"/>
    <col min="1804" max="1804" width="12.85546875" customWidth="1"/>
    <col min="1805" max="1805" width="12.140625" customWidth="1"/>
    <col min="1806" max="1806" width="12.42578125" customWidth="1"/>
    <col min="1807" max="1807" width="12.85546875" customWidth="1"/>
    <col min="1808" max="1808" width="12" customWidth="1"/>
    <col min="1809" max="1809" width="12.7109375" customWidth="1"/>
    <col min="1810" max="1810" width="14.85546875" customWidth="1"/>
    <col min="1811" max="1811" width="10.7109375" customWidth="1"/>
    <col min="1812" max="1812" width="11" customWidth="1"/>
    <col min="1813" max="1813" width="10.85546875" customWidth="1"/>
    <col min="1814" max="1814" width="12.42578125" customWidth="1"/>
    <col min="1815" max="1815" width="11.42578125" customWidth="1"/>
    <col min="1816" max="1816" width="13.7109375" customWidth="1"/>
    <col min="2049" max="2050" width="5.42578125" customWidth="1"/>
    <col min="2051" max="2051" width="32.140625" customWidth="1"/>
    <col min="2052" max="2052" width="6.5703125" customWidth="1"/>
    <col min="2053" max="2053" width="8.42578125" customWidth="1"/>
    <col min="2054" max="2054" width="5.85546875" customWidth="1"/>
    <col min="2056" max="2057" width="14.5703125" customWidth="1"/>
    <col min="2058" max="2058" width="13.5703125" customWidth="1"/>
    <col min="2059" max="2059" width="11.5703125" customWidth="1"/>
    <col min="2060" max="2060" width="12.85546875" customWidth="1"/>
    <col min="2061" max="2061" width="12.140625" customWidth="1"/>
    <col min="2062" max="2062" width="12.42578125" customWidth="1"/>
    <col min="2063" max="2063" width="12.85546875" customWidth="1"/>
    <col min="2064" max="2064" width="12" customWidth="1"/>
    <col min="2065" max="2065" width="12.7109375" customWidth="1"/>
    <col min="2066" max="2066" width="14.85546875" customWidth="1"/>
    <col min="2067" max="2067" width="10.7109375" customWidth="1"/>
    <col min="2068" max="2068" width="11" customWidth="1"/>
    <col min="2069" max="2069" width="10.85546875" customWidth="1"/>
    <col min="2070" max="2070" width="12.42578125" customWidth="1"/>
    <col min="2071" max="2071" width="11.42578125" customWidth="1"/>
    <col min="2072" max="2072" width="13.7109375" customWidth="1"/>
    <col min="2305" max="2306" width="5.42578125" customWidth="1"/>
    <col min="2307" max="2307" width="32.140625" customWidth="1"/>
    <col min="2308" max="2308" width="6.5703125" customWidth="1"/>
    <col min="2309" max="2309" width="8.42578125" customWidth="1"/>
    <col min="2310" max="2310" width="5.85546875" customWidth="1"/>
    <col min="2312" max="2313" width="14.5703125" customWidth="1"/>
    <col min="2314" max="2314" width="13.5703125" customWidth="1"/>
    <col min="2315" max="2315" width="11.5703125" customWidth="1"/>
    <col min="2316" max="2316" width="12.85546875" customWidth="1"/>
    <col min="2317" max="2317" width="12.140625" customWidth="1"/>
    <col min="2318" max="2318" width="12.42578125" customWidth="1"/>
    <col min="2319" max="2319" width="12.85546875" customWidth="1"/>
    <col min="2320" max="2320" width="12" customWidth="1"/>
    <col min="2321" max="2321" width="12.7109375" customWidth="1"/>
    <col min="2322" max="2322" width="14.85546875" customWidth="1"/>
    <col min="2323" max="2323" width="10.7109375" customWidth="1"/>
    <col min="2324" max="2324" width="11" customWidth="1"/>
    <col min="2325" max="2325" width="10.85546875" customWidth="1"/>
    <col min="2326" max="2326" width="12.42578125" customWidth="1"/>
    <col min="2327" max="2327" width="11.42578125" customWidth="1"/>
    <col min="2328" max="2328" width="13.7109375" customWidth="1"/>
    <col min="2561" max="2562" width="5.42578125" customWidth="1"/>
    <col min="2563" max="2563" width="32.140625" customWidth="1"/>
    <col min="2564" max="2564" width="6.5703125" customWidth="1"/>
    <col min="2565" max="2565" width="8.42578125" customWidth="1"/>
    <col min="2566" max="2566" width="5.85546875" customWidth="1"/>
    <col min="2568" max="2569" width="14.5703125" customWidth="1"/>
    <col min="2570" max="2570" width="13.5703125" customWidth="1"/>
    <col min="2571" max="2571" width="11.5703125" customWidth="1"/>
    <col min="2572" max="2572" width="12.85546875" customWidth="1"/>
    <col min="2573" max="2573" width="12.140625" customWidth="1"/>
    <col min="2574" max="2574" width="12.42578125" customWidth="1"/>
    <col min="2575" max="2575" width="12.85546875" customWidth="1"/>
    <col min="2576" max="2576" width="12" customWidth="1"/>
    <col min="2577" max="2577" width="12.7109375" customWidth="1"/>
    <col min="2578" max="2578" width="14.85546875" customWidth="1"/>
    <col min="2579" max="2579" width="10.7109375" customWidth="1"/>
    <col min="2580" max="2580" width="11" customWidth="1"/>
    <col min="2581" max="2581" width="10.85546875" customWidth="1"/>
    <col min="2582" max="2582" width="12.42578125" customWidth="1"/>
    <col min="2583" max="2583" width="11.42578125" customWidth="1"/>
    <col min="2584" max="2584" width="13.7109375" customWidth="1"/>
    <col min="2817" max="2818" width="5.42578125" customWidth="1"/>
    <col min="2819" max="2819" width="32.140625" customWidth="1"/>
    <col min="2820" max="2820" width="6.5703125" customWidth="1"/>
    <col min="2821" max="2821" width="8.42578125" customWidth="1"/>
    <col min="2822" max="2822" width="5.85546875" customWidth="1"/>
    <col min="2824" max="2825" width="14.5703125" customWidth="1"/>
    <col min="2826" max="2826" width="13.5703125" customWidth="1"/>
    <col min="2827" max="2827" width="11.5703125" customWidth="1"/>
    <col min="2828" max="2828" width="12.85546875" customWidth="1"/>
    <col min="2829" max="2829" width="12.140625" customWidth="1"/>
    <col min="2830" max="2830" width="12.42578125" customWidth="1"/>
    <col min="2831" max="2831" width="12.85546875" customWidth="1"/>
    <col min="2832" max="2832" width="12" customWidth="1"/>
    <col min="2833" max="2833" width="12.7109375" customWidth="1"/>
    <col min="2834" max="2834" width="14.85546875" customWidth="1"/>
    <col min="2835" max="2835" width="10.7109375" customWidth="1"/>
    <col min="2836" max="2836" width="11" customWidth="1"/>
    <col min="2837" max="2837" width="10.85546875" customWidth="1"/>
    <col min="2838" max="2838" width="12.42578125" customWidth="1"/>
    <col min="2839" max="2839" width="11.42578125" customWidth="1"/>
    <col min="2840" max="2840" width="13.7109375" customWidth="1"/>
    <col min="3073" max="3074" width="5.42578125" customWidth="1"/>
    <col min="3075" max="3075" width="32.140625" customWidth="1"/>
    <col min="3076" max="3076" width="6.5703125" customWidth="1"/>
    <col min="3077" max="3077" width="8.42578125" customWidth="1"/>
    <col min="3078" max="3078" width="5.85546875" customWidth="1"/>
    <col min="3080" max="3081" width="14.5703125" customWidth="1"/>
    <col min="3082" max="3082" width="13.5703125" customWidth="1"/>
    <col min="3083" max="3083" width="11.5703125" customWidth="1"/>
    <col min="3084" max="3084" width="12.85546875" customWidth="1"/>
    <col min="3085" max="3085" width="12.140625" customWidth="1"/>
    <col min="3086" max="3086" width="12.42578125" customWidth="1"/>
    <col min="3087" max="3087" width="12.85546875" customWidth="1"/>
    <col min="3088" max="3088" width="12" customWidth="1"/>
    <col min="3089" max="3089" width="12.7109375" customWidth="1"/>
    <col min="3090" max="3090" width="14.85546875" customWidth="1"/>
    <col min="3091" max="3091" width="10.7109375" customWidth="1"/>
    <col min="3092" max="3092" width="11" customWidth="1"/>
    <col min="3093" max="3093" width="10.85546875" customWidth="1"/>
    <col min="3094" max="3094" width="12.42578125" customWidth="1"/>
    <col min="3095" max="3095" width="11.42578125" customWidth="1"/>
    <col min="3096" max="3096" width="13.7109375" customWidth="1"/>
    <col min="3329" max="3330" width="5.42578125" customWidth="1"/>
    <col min="3331" max="3331" width="32.140625" customWidth="1"/>
    <col min="3332" max="3332" width="6.5703125" customWidth="1"/>
    <col min="3333" max="3333" width="8.42578125" customWidth="1"/>
    <col min="3334" max="3334" width="5.85546875" customWidth="1"/>
    <col min="3336" max="3337" width="14.5703125" customWidth="1"/>
    <col min="3338" max="3338" width="13.5703125" customWidth="1"/>
    <col min="3339" max="3339" width="11.5703125" customWidth="1"/>
    <col min="3340" max="3340" width="12.85546875" customWidth="1"/>
    <col min="3341" max="3341" width="12.140625" customWidth="1"/>
    <col min="3342" max="3342" width="12.42578125" customWidth="1"/>
    <col min="3343" max="3343" width="12.85546875" customWidth="1"/>
    <col min="3344" max="3344" width="12" customWidth="1"/>
    <col min="3345" max="3345" width="12.7109375" customWidth="1"/>
    <col min="3346" max="3346" width="14.85546875" customWidth="1"/>
    <col min="3347" max="3347" width="10.7109375" customWidth="1"/>
    <col min="3348" max="3348" width="11" customWidth="1"/>
    <col min="3349" max="3349" width="10.85546875" customWidth="1"/>
    <col min="3350" max="3350" width="12.42578125" customWidth="1"/>
    <col min="3351" max="3351" width="11.42578125" customWidth="1"/>
    <col min="3352" max="3352" width="13.7109375" customWidth="1"/>
    <col min="3585" max="3586" width="5.42578125" customWidth="1"/>
    <col min="3587" max="3587" width="32.140625" customWidth="1"/>
    <col min="3588" max="3588" width="6.5703125" customWidth="1"/>
    <col min="3589" max="3589" width="8.42578125" customWidth="1"/>
    <col min="3590" max="3590" width="5.85546875" customWidth="1"/>
    <col min="3592" max="3593" width="14.5703125" customWidth="1"/>
    <col min="3594" max="3594" width="13.5703125" customWidth="1"/>
    <col min="3595" max="3595" width="11.5703125" customWidth="1"/>
    <col min="3596" max="3596" width="12.85546875" customWidth="1"/>
    <col min="3597" max="3597" width="12.140625" customWidth="1"/>
    <col min="3598" max="3598" width="12.42578125" customWidth="1"/>
    <col min="3599" max="3599" width="12.85546875" customWidth="1"/>
    <col min="3600" max="3600" width="12" customWidth="1"/>
    <col min="3601" max="3601" width="12.7109375" customWidth="1"/>
    <col min="3602" max="3602" width="14.85546875" customWidth="1"/>
    <col min="3603" max="3603" width="10.7109375" customWidth="1"/>
    <col min="3604" max="3604" width="11" customWidth="1"/>
    <col min="3605" max="3605" width="10.85546875" customWidth="1"/>
    <col min="3606" max="3606" width="12.42578125" customWidth="1"/>
    <col min="3607" max="3607" width="11.42578125" customWidth="1"/>
    <col min="3608" max="3608" width="13.7109375" customWidth="1"/>
    <col min="3841" max="3842" width="5.42578125" customWidth="1"/>
    <col min="3843" max="3843" width="32.140625" customWidth="1"/>
    <col min="3844" max="3844" width="6.5703125" customWidth="1"/>
    <col min="3845" max="3845" width="8.42578125" customWidth="1"/>
    <col min="3846" max="3846" width="5.85546875" customWidth="1"/>
    <col min="3848" max="3849" width="14.5703125" customWidth="1"/>
    <col min="3850" max="3850" width="13.5703125" customWidth="1"/>
    <col min="3851" max="3851" width="11.5703125" customWidth="1"/>
    <col min="3852" max="3852" width="12.85546875" customWidth="1"/>
    <col min="3853" max="3853" width="12.140625" customWidth="1"/>
    <col min="3854" max="3854" width="12.42578125" customWidth="1"/>
    <col min="3855" max="3855" width="12.85546875" customWidth="1"/>
    <col min="3856" max="3856" width="12" customWidth="1"/>
    <col min="3857" max="3857" width="12.7109375" customWidth="1"/>
    <col min="3858" max="3858" width="14.85546875" customWidth="1"/>
    <col min="3859" max="3859" width="10.7109375" customWidth="1"/>
    <col min="3860" max="3860" width="11" customWidth="1"/>
    <col min="3861" max="3861" width="10.85546875" customWidth="1"/>
    <col min="3862" max="3862" width="12.42578125" customWidth="1"/>
    <col min="3863" max="3863" width="11.42578125" customWidth="1"/>
    <col min="3864" max="3864" width="13.7109375" customWidth="1"/>
    <col min="4097" max="4098" width="5.42578125" customWidth="1"/>
    <col min="4099" max="4099" width="32.140625" customWidth="1"/>
    <col min="4100" max="4100" width="6.5703125" customWidth="1"/>
    <col min="4101" max="4101" width="8.42578125" customWidth="1"/>
    <col min="4102" max="4102" width="5.85546875" customWidth="1"/>
    <col min="4104" max="4105" width="14.5703125" customWidth="1"/>
    <col min="4106" max="4106" width="13.5703125" customWidth="1"/>
    <col min="4107" max="4107" width="11.5703125" customWidth="1"/>
    <col min="4108" max="4108" width="12.85546875" customWidth="1"/>
    <col min="4109" max="4109" width="12.140625" customWidth="1"/>
    <col min="4110" max="4110" width="12.42578125" customWidth="1"/>
    <col min="4111" max="4111" width="12.85546875" customWidth="1"/>
    <col min="4112" max="4112" width="12" customWidth="1"/>
    <col min="4113" max="4113" width="12.7109375" customWidth="1"/>
    <col min="4114" max="4114" width="14.85546875" customWidth="1"/>
    <col min="4115" max="4115" width="10.7109375" customWidth="1"/>
    <col min="4116" max="4116" width="11" customWidth="1"/>
    <col min="4117" max="4117" width="10.85546875" customWidth="1"/>
    <col min="4118" max="4118" width="12.42578125" customWidth="1"/>
    <col min="4119" max="4119" width="11.42578125" customWidth="1"/>
    <col min="4120" max="4120" width="13.7109375" customWidth="1"/>
    <col min="4353" max="4354" width="5.42578125" customWidth="1"/>
    <col min="4355" max="4355" width="32.140625" customWidth="1"/>
    <col min="4356" max="4356" width="6.5703125" customWidth="1"/>
    <col min="4357" max="4357" width="8.42578125" customWidth="1"/>
    <col min="4358" max="4358" width="5.85546875" customWidth="1"/>
    <col min="4360" max="4361" width="14.5703125" customWidth="1"/>
    <col min="4362" max="4362" width="13.5703125" customWidth="1"/>
    <col min="4363" max="4363" width="11.5703125" customWidth="1"/>
    <col min="4364" max="4364" width="12.85546875" customWidth="1"/>
    <col min="4365" max="4365" width="12.140625" customWidth="1"/>
    <col min="4366" max="4366" width="12.42578125" customWidth="1"/>
    <col min="4367" max="4367" width="12.85546875" customWidth="1"/>
    <col min="4368" max="4368" width="12" customWidth="1"/>
    <col min="4369" max="4369" width="12.7109375" customWidth="1"/>
    <col min="4370" max="4370" width="14.85546875" customWidth="1"/>
    <col min="4371" max="4371" width="10.7109375" customWidth="1"/>
    <col min="4372" max="4372" width="11" customWidth="1"/>
    <col min="4373" max="4373" width="10.85546875" customWidth="1"/>
    <col min="4374" max="4374" width="12.42578125" customWidth="1"/>
    <col min="4375" max="4375" width="11.42578125" customWidth="1"/>
    <col min="4376" max="4376" width="13.7109375" customWidth="1"/>
    <col min="4609" max="4610" width="5.42578125" customWidth="1"/>
    <col min="4611" max="4611" width="32.140625" customWidth="1"/>
    <col min="4612" max="4612" width="6.5703125" customWidth="1"/>
    <col min="4613" max="4613" width="8.42578125" customWidth="1"/>
    <col min="4614" max="4614" width="5.85546875" customWidth="1"/>
    <col min="4616" max="4617" width="14.5703125" customWidth="1"/>
    <col min="4618" max="4618" width="13.5703125" customWidth="1"/>
    <col min="4619" max="4619" width="11.5703125" customWidth="1"/>
    <col min="4620" max="4620" width="12.85546875" customWidth="1"/>
    <col min="4621" max="4621" width="12.140625" customWidth="1"/>
    <col min="4622" max="4622" width="12.42578125" customWidth="1"/>
    <col min="4623" max="4623" width="12.85546875" customWidth="1"/>
    <col min="4624" max="4624" width="12" customWidth="1"/>
    <col min="4625" max="4625" width="12.7109375" customWidth="1"/>
    <col min="4626" max="4626" width="14.85546875" customWidth="1"/>
    <col min="4627" max="4627" width="10.7109375" customWidth="1"/>
    <col min="4628" max="4628" width="11" customWidth="1"/>
    <col min="4629" max="4629" width="10.85546875" customWidth="1"/>
    <col min="4630" max="4630" width="12.42578125" customWidth="1"/>
    <col min="4631" max="4631" width="11.42578125" customWidth="1"/>
    <col min="4632" max="4632" width="13.7109375" customWidth="1"/>
    <col min="4865" max="4866" width="5.42578125" customWidth="1"/>
    <col min="4867" max="4867" width="32.140625" customWidth="1"/>
    <col min="4868" max="4868" width="6.5703125" customWidth="1"/>
    <col min="4869" max="4869" width="8.42578125" customWidth="1"/>
    <col min="4870" max="4870" width="5.85546875" customWidth="1"/>
    <col min="4872" max="4873" width="14.5703125" customWidth="1"/>
    <col min="4874" max="4874" width="13.5703125" customWidth="1"/>
    <col min="4875" max="4875" width="11.5703125" customWidth="1"/>
    <col min="4876" max="4876" width="12.85546875" customWidth="1"/>
    <col min="4877" max="4877" width="12.140625" customWidth="1"/>
    <col min="4878" max="4878" width="12.42578125" customWidth="1"/>
    <col min="4879" max="4879" width="12.85546875" customWidth="1"/>
    <col min="4880" max="4880" width="12" customWidth="1"/>
    <col min="4881" max="4881" width="12.7109375" customWidth="1"/>
    <col min="4882" max="4882" width="14.85546875" customWidth="1"/>
    <col min="4883" max="4883" width="10.7109375" customWidth="1"/>
    <col min="4884" max="4884" width="11" customWidth="1"/>
    <col min="4885" max="4885" width="10.85546875" customWidth="1"/>
    <col min="4886" max="4886" width="12.42578125" customWidth="1"/>
    <col min="4887" max="4887" width="11.42578125" customWidth="1"/>
    <col min="4888" max="4888" width="13.7109375" customWidth="1"/>
    <col min="5121" max="5122" width="5.42578125" customWidth="1"/>
    <col min="5123" max="5123" width="32.140625" customWidth="1"/>
    <col min="5124" max="5124" width="6.5703125" customWidth="1"/>
    <col min="5125" max="5125" width="8.42578125" customWidth="1"/>
    <col min="5126" max="5126" width="5.85546875" customWidth="1"/>
    <col min="5128" max="5129" width="14.5703125" customWidth="1"/>
    <col min="5130" max="5130" width="13.5703125" customWidth="1"/>
    <col min="5131" max="5131" width="11.5703125" customWidth="1"/>
    <col min="5132" max="5132" width="12.85546875" customWidth="1"/>
    <col min="5133" max="5133" width="12.140625" customWidth="1"/>
    <col min="5134" max="5134" width="12.42578125" customWidth="1"/>
    <col min="5135" max="5135" width="12.85546875" customWidth="1"/>
    <col min="5136" max="5136" width="12" customWidth="1"/>
    <col min="5137" max="5137" width="12.7109375" customWidth="1"/>
    <col min="5138" max="5138" width="14.85546875" customWidth="1"/>
    <col min="5139" max="5139" width="10.7109375" customWidth="1"/>
    <col min="5140" max="5140" width="11" customWidth="1"/>
    <col min="5141" max="5141" width="10.85546875" customWidth="1"/>
    <col min="5142" max="5142" width="12.42578125" customWidth="1"/>
    <col min="5143" max="5143" width="11.42578125" customWidth="1"/>
    <col min="5144" max="5144" width="13.7109375" customWidth="1"/>
    <col min="5377" max="5378" width="5.42578125" customWidth="1"/>
    <col min="5379" max="5379" width="32.140625" customWidth="1"/>
    <col min="5380" max="5380" width="6.5703125" customWidth="1"/>
    <col min="5381" max="5381" width="8.42578125" customWidth="1"/>
    <col min="5382" max="5382" width="5.85546875" customWidth="1"/>
    <col min="5384" max="5385" width="14.5703125" customWidth="1"/>
    <col min="5386" max="5386" width="13.5703125" customWidth="1"/>
    <col min="5387" max="5387" width="11.5703125" customWidth="1"/>
    <col min="5388" max="5388" width="12.85546875" customWidth="1"/>
    <col min="5389" max="5389" width="12.140625" customWidth="1"/>
    <col min="5390" max="5390" width="12.42578125" customWidth="1"/>
    <col min="5391" max="5391" width="12.85546875" customWidth="1"/>
    <col min="5392" max="5392" width="12" customWidth="1"/>
    <col min="5393" max="5393" width="12.7109375" customWidth="1"/>
    <col min="5394" max="5394" width="14.85546875" customWidth="1"/>
    <col min="5395" max="5395" width="10.7109375" customWidth="1"/>
    <col min="5396" max="5396" width="11" customWidth="1"/>
    <col min="5397" max="5397" width="10.85546875" customWidth="1"/>
    <col min="5398" max="5398" width="12.42578125" customWidth="1"/>
    <col min="5399" max="5399" width="11.42578125" customWidth="1"/>
    <col min="5400" max="5400" width="13.7109375" customWidth="1"/>
    <col min="5633" max="5634" width="5.42578125" customWidth="1"/>
    <col min="5635" max="5635" width="32.140625" customWidth="1"/>
    <col min="5636" max="5636" width="6.5703125" customWidth="1"/>
    <col min="5637" max="5637" width="8.42578125" customWidth="1"/>
    <col min="5638" max="5638" width="5.85546875" customWidth="1"/>
    <col min="5640" max="5641" width="14.5703125" customWidth="1"/>
    <col min="5642" max="5642" width="13.5703125" customWidth="1"/>
    <col min="5643" max="5643" width="11.5703125" customWidth="1"/>
    <col min="5644" max="5644" width="12.85546875" customWidth="1"/>
    <col min="5645" max="5645" width="12.140625" customWidth="1"/>
    <col min="5646" max="5646" width="12.42578125" customWidth="1"/>
    <col min="5647" max="5647" width="12.85546875" customWidth="1"/>
    <col min="5648" max="5648" width="12" customWidth="1"/>
    <col min="5649" max="5649" width="12.7109375" customWidth="1"/>
    <col min="5650" max="5650" width="14.85546875" customWidth="1"/>
    <col min="5651" max="5651" width="10.7109375" customWidth="1"/>
    <col min="5652" max="5652" width="11" customWidth="1"/>
    <col min="5653" max="5653" width="10.85546875" customWidth="1"/>
    <col min="5654" max="5654" width="12.42578125" customWidth="1"/>
    <col min="5655" max="5655" width="11.42578125" customWidth="1"/>
    <col min="5656" max="5656" width="13.7109375" customWidth="1"/>
    <col min="5889" max="5890" width="5.42578125" customWidth="1"/>
    <col min="5891" max="5891" width="32.140625" customWidth="1"/>
    <col min="5892" max="5892" width="6.5703125" customWidth="1"/>
    <col min="5893" max="5893" width="8.42578125" customWidth="1"/>
    <col min="5894" max="5894" width="5.85546875" customWidth="1"/>
    <col min="5896" max="5897" width="14.5703125" customWidth="1"/>
    <col min="5898" max="5898" width="13.5703125" customWidth="1"/>
    <col min="5899" max="5899" width="11.5703125" customWidth="1"/>
    <col min="5900" max="5900" width="12.85546875" customWidth="1"/>
    <col min="5901" max="5901" width="12.140625" customWidth="1"/>
    <col min="5902" max="5902" width="12.42578125" customWidth="1"/>
    <col min="5903" max="5903" width="12.85546875" customWidth="1"/>
    <col min="5904" max="5904" width="12" customWidth="1"/>
    <col min="5905" max="5905" width="12.7109375" customWidth="1"/>
    <col min="5906" max="5906" width="14.85546875" customWidth="1"/>
    <col min="5907" max="5907" width="10.7109375" customWidth="1"/>
    <col min="5908" max="5908" width="11" customWidth="1"/>
    <col min="5909" max="5909" width="10.85546875" customWidth="1"/>
    <col min="5910" max="5910" width="12.42578125" customWidth="1"/>
    <col min="5911" max="5911" width="11.42578125" customWidth="1"/>
    <col min="5912" max="5912" width="13.7109375" customWidth="1"/>
    <col min="6145" max="6146" width="5.42578125" customWidth="1"/>
    <col min="6147" max="6147" width="32.140625" customWidth="1"/>
    <col min="6148" max="6148" width="6.5703125" customWidth="1"/>
    <col min="6149" max="6149" width="8.42578125" customWidth="1"/>
    <col min="6150" max="6150" width="5.85546875" customWidth="1"/>
    <col min="6152" max="6153" width="14.5703125" customWidth="1"/>
    <col min="6154" max="6154" width="13.5703125" customWidth="1"/>
    <col min="6155" max="6155" width="11.5703125" customWidth="1"/>
    <col min="6156" max="6156" width="12.85546875" customWidth="1"/>
    <col min="6157" max="6157" width="12.140625" customWidth="1"/>
    <col min="6158" max="6158" width="12.42578125" customWidth="1"/>
    <col min="6159" max="6159" width="12.85546875" customWidth="1"/>
    <col min="6160" max="6160" width="12" customWidth="1"/>
    <col min="6161" max="6161" width="12.7109375" customWidth="1"/>
    <col min="6162" max="6162" width="14.85546875" customWidth="1"/>
    <col min="6163" max="6163" width="10.7109375" customWidth="1"/>
    <col min="6164" max="6164" width="11" customWidth="1"/>
    <col min="6165" max="6165" width="10.85546875" customWidth="1"/>
    <col min="6166" max="6166" width="12.42578125" customWidth="1"/>
    <col min="6167" max="6167" width="11.42578125" customWidth="1"/>
    <col min="6168" max="6168" width="13.7109375" customWidth="1"/>
    <col min="6401" max="6402" width="5.42578125" customWidth="1"/>
    <col min="6403" max="6403" width="32.140625" customWidth="1"/>
    <col min="6404" max="6404" width="6.5703125" customWidth="1"/>
    <col min="6405" max="6405" width="8.42578125" customWidth="1"/>
    <col min="6406" max="6406" width="5.85546875" customWidth="1"/>
    <col min="6408" max="6409" width="14.5703125" customWidth="1"/>
    <col min="6410" max="6410" width="13.5703125" customWidth="1"/>
    <col min="6411" max="6411" width="11.5703125" customWidth="1"/>
    <col min="6412" max="6412" width="12.85546875" customWidth="1"/>
    <col min="6413" max="6413" width="12.140625" customWidth="1"/>
    <col min="6414" max="6414" width="12.42578125" customWidth="1"/>
    <col min="6415" max="6415" width="12.85546875" customWidth="1"/>
    <col min="6416" max="6416" width="12" customWidth="1"/>
    <col min="6417" max="6417" width="12.7109375" customWidth="1"/>
    <col min="6418" max="6418" width="14.85546875" customWidth="1"/>
    <col min="6419" max="6419" width="10.7109375" customWidth="1"/>
    <col min="6420" max="6420" width="11" customWidth="1"/>
    <col min="6421" max="6421" width="10.85546875" customWidth="1"/>
    <col min="6422" max="6422" width="12.42578125" customWidth="1"/>
    <col min="6423" max="6423" width="11.42578125" customWidth="1"/>
    <col min="6424" max="6424" width="13.7109375" customWidth="1"/>
    <col min="6657" max="6658" width="5.42578125" customWidth="1"/>
    <col min="6659" max="6659" width="32.140625" customWidth="1"/>
    <col min="6660" max="6660" width="6.5703125" customWidth="1"/>
    <col min="6661" max="6661" width="8.42578125" customWidth="1"/>
    <col min="6662" max="6662" width="5.85546875" customWidth="1"/>
    <col min="6664" max="6665" width="14.5703125" customWidth="1"/>
    <col min="6666" max="6666" width="13.5703125" customWidth="1"/>
    <col min="6667" max="6667" width="11.5703125" customWidth="1"/>
    <col min="6668" max="6668" width="12.85546875" customWidth="1"/>
    <col min="6669" max="6669" width="12.140625" customWidth="1"/>
    <col min="6670" max="6670" width="12.42578125" customWidth="1"/>
    <col min="6671" max="6671" width="12.85546875" customWidth="1"/>
    <col min="6672" max="6672" width="12" customWidth="1"/>
    <col min="6673" max="6673" width="12.7109375" customWidth="1"/>
    <col min="6674" max="6674" width="14.85546875" customWidth="1"/>
    <col min="6675" max="6675" width="10.7109375" customWidth="1"/>
    <col min="6676" max="6676" width="11" customWidth="1"/>
    <col min="6677" max="6677" width="10.85546875" customWidth="1"/>
    <col min="6678" max="6678" width="12.42578125" customWidth="1"/>
    <col min="6679" max="6679" width="11.42578125" customWidth="1"/>
    <col min="6680" max="6680" width="13.7109375" customWidth="1"/>
    <col min="6913" max="6914" width="5.42578125" customWidth="1"/>
    <col min="6915" max="6915" width="32.140625" customWidth="1"/>
    <col min="6916" max="6916" width="6.5703125" customWidth="1"/>
    <col min="6917" max="6917" width="8.42578125" customWidth="1"/>
    <col min="6918" max="6918" width="5.85546875" customWidth="1"/>
    <col min="6920" max="6921" width="14.5703125" customWidth="1"/>
    <col min="6922" max="6922" width="13.5703125" customWidth="1"/>
    <col min="6923" max="6923" width="11.5703125" customWidth="1"/>
    <col min="6924" max="6924" width="12.85546875" customWidth="1"/>
    <col min="6925" max="6925" width="12.140625" customWidth="1"/>
    <col min="6926" max="6926" width="12.42578125" customWidth="1"/>
    <col min="6927" max="6927" width="12.85546875" customWidth="1"/>
    <col min="6928" max="6928" width="12" customWidth="1"/>
    <col min="6929" max="6929" width="12.7109375" customWidth="1"/>
    <col min="6930" max="6930" width="14.85546875" customWidth="1"/>
    <col min="6931" max="6931" width="10.7109375" customWidth="1"/>
    <col min="6932" max="6932" width="11" customWidth="1"/>
    <col min="6933" max="6933" width="10.85546875" customWidth="1"/>
    <col min="6934" max="6934" width="12.42578125" customWidth="1"/>
    <col min="6935" max="6935" width="11.42578125" customWidth="1"/>
    <col min="6936" max="6936" width="13.7109375" customWidth="1"/>
    <col min="7169" max="7170" width="5.42578125" customWidth="1"/>
    <col min="7171" max="7171" width="32.140625" customWidth="1"/>
    <col min="7172" max="7172" width="6.5703125" customWidth="1"/>
    <col min="7173" max="7173" width="8.42578125" customWidth="1"/>
    <col min="7174" max="7174" width="5.85546875" customWidth="1"/>
    <col min="7176" max="7177" width="14.5703125" customWidth="1"/>
    <col min="7178" max="7178" width="13.5703125" customWidth="1"/>
    <col min="7179" max="7179" width="11.5703125" customWidth="1"/>
    <col min="7180" max="7180" width="12.85546875" customWidth="1"/>
    <col min="7181" max="7181" width="12.140625" customWidth="1"/>
    <col min="7182" max="7182" width="12.42578125" customWidth="1"/>
    <col min="7183" max="7183" width="12.85546875" customWidth="1"/>
    <col min="7184" max="7184" width="12" customWidth="1"/>
    <col min="7185" max="7185" width="12.7109375" customWidth="1"/>
    <col min="7186" max="7186" width="14.85546875" customWidth="1"/>
    <col min="7187" max="7187" width="10.7109375" customWidth="1"/>
    <col min="7188" max="7188" width="11" customWidth="1"/>
    <col min="7189" max="7189" width="10.85546875" customWidth="1"/>
    <col min="7190" max="7190" width="12.42578125" customWidth="1"/>
    <col min="7191" max="7191" width="11.42578125" customWidth="1"/>
    <col min="7192" max="7192" width="13.7109375" customWidth="1"/>
    <col min="7425" max="7426" width="5.42578125" customWidth="1"/>
    <col min="7427" max="7427" width="32.140625" customWidth="1"/>
    <col min="7428" max="7428" width="6.5703125" customWidth="1"/>
    <col min="7429" max="7429" width="8.42578125" customWidth="1"/>
    <col min="7430" max="7430" width="5.85546875" customWidth="1"/>
    <col min="7432" max="7433" width="14.5703125" customWidth="1"/>
    <col min="7434" max="7434" width="13.5703125" customWidth="1"/>
    <col min="7435" max="7435" width="11.5703125" customWidth="1"/>
    <col min="7436" max="7436" width="12.85546875" customWidth="1"/>
    <col min="7437" max="7437" width="12.140625" customWidth="1"/>
    <col min="7438" max="7438" width="12.42578125" customWidth="1"/>
    <col min="7439" max="7439" width="12.85546875" customWidth="1"/>
    <col min="7440" max="7440" width="12" customWidth="1"/>
    <col min="7441" max="7441" width="12.7109375" customWidth="1"/>
    <col min="7442" max="7442" width="14.85546875" customWidth="1"/>
    <col min="7443" max="7443" width="10.7109375" customWidth="1"/>
    <col min="7444" max="7444" width="11" customWidth="1"/>
    <col min="7445" max="7445" width="10.85546875" customWidth="1"/>
    <col min="7446" max="7446" width="12.42578125" customWidth="1"/>
    <col min="7447" max="7447" width="11.42578125" customWidth="1"/>
    <col min="7448" max="7448" width="13.7109375" customWidth="1"/>
    <col min="7681" max="7682" width="5.42578125" customWidth="1"/>
    <col min="7683" max="7683" width="32.140625" customWidth="1"/>
    <col min="7684" max="7684" width="6.5703125" customWidth="1"/>
    <col min="7685" max="7685" width="8.42578125" customWidth="1"/>
    <col min="7686" max="7686" width="5.85546875" customWidth="1"/>
    <col min="7688" max="7689" width="14.5703125" customWidth="1"/>
    <col min="7690" max="7690" width="13.5703125" customWidth="1"/>
    <col min="7691" max="7691" width="11.5703125" customWidth="1"/>
    <col min="7692" max="7692" width="12.85546875" customWidth="1"/>
    <col min="7693" max="7693" width="12.140625" customWidth="1"/>
    <col min="7694" max="7694" width="12.42578125" customWidth="1"/>
    <col min="7695" max="7695" width="12.85546875" customWidth="1"/>
    <col min="7696" max="7696" width="12" customWidth="1"/>
    <col min="7697" max="7697" width="12.7109375" customWidth="1"/>
    <col min="7698" max="7698" width="14.85546875" customWidth="1"/>
    <col min="7699" max="7699" width="10.7109375" customWidth="1"/>
    <col min="7700" max="7700" width="11" customWidth="1"/>
    <col min="7701" max="7701" width="10.85546875" customWidth="1"/>
    <col min="7702" max="7702" width="12.42578125" customWidth="1"/>
    <col min="7703" max="7703" width="11.42578125" customWidth="1"/>
    <col min="7704" max="7704" width="13.7109375" customWidth="1"/>
    <col min="7937" max="7938" width="5.42578125" customWidth="1"/>
    <col min="7939" max="7939" width="32.140625" customWidth="1"/>
    <col min="7940" max="7940" width="6.5703125" customWidth="1"/>
    <col min="7941" max="7941" width="8.42578125" customWidth="1"/>
    <col min="7942" max="7942" width="5.85546875" customWidth="1"/>
    <col min="7944" max="7945" width="14.5703125" customWidth="1"/>
    <col min="7946" max="7946" width="13.5703125" customWidth="1"/>
    <col min="7947" max="7947" width="11.5703125" customWidth="1"/>
    <col min="7948" max="7948" width="12.85546875" customWidth="1"/>
    <col min="7949" max="7949" width="12.140625" customWidth="1"/>
    <col min="7950" max="7950" width="12.42578125" customWidth="1"/>
    <col min="7951" max="7951" width="12.85546875" customWidth="1"/>
    <col min="7952" max="7952" width="12" customWidth="1"/>
    <col min="7953" max="7953" width="12.7109375" customWidth="1"/>
    <col min="7954" max="7954" width="14.85546875" customWidth="1"/>
    <col min="7955" max="7955" width="10.7109375" customWidth="1"/>
    <col min="7956" max="7956" width="11" customWidth="1"/>
    <col min="7957" max="7957" width="10.85546875" customWidth="1"/>
    <col min="7958" max="7958" width="12.42578125" customWidth="1"/>
    <col min="7959" max="7959" width="11.42578125" customWidth="1"/>
    <col min="7960" max="7960" width="13.7109375" customWidth="1"/>
    <col min="8193" max="8194" width="5.42578125" customWidth="1"/>
    <col min="8195" max="8195" width="32.140625" customWidth="1"/>
    <col min="8196" max="8196" width="6.5703125" customWidth="1"/>
    <col min="8197" max="8197" width="8.42578125" customWidth="1"/>
    <col min="8198" max="8198" width="5.85546875" customWidth="1"/>
    <col min="8200" max="8201" width="14.5703125" customWidth="1"/>
    <col min="8202" max="8202" width="13.5703125" customWidth="1"/>
    <col min="8203" max="8203" width="11.5703125" customWidth="1"/>
    <col min="8204" max="8204" width="12.85546875" customWidth="1"/>
    <col min="8205" max="8205" width="12.140625" customWidth="1"/>
    <col min="8206" max="8206" width="12.42578125" customWidth="1"/>
    <col min="8207" max="8207" width="12.85546875" customWidth="1"/>
    <col min="8208" max="8208" width="12" customWidth="1"/>
    <col min="8209" max="8209" width="12.7109375" customWidth="1"/>
    <col min="8210" max="8210" width="14.85546875" customWidth="1"/>
    <col min="8211" max="8211" width="10.7109375" customWidth="1"/>
    <col min="8212" max="8212" width="11" customWidth="1"/>
    <col min="8213" max="8213" width="10.85546875" customWidth="1"/>
    <col min="8214" max="8214" width="12.42578125" customWidth="1"/>
    <col min="8215" max="8215" width="11.42578125" customWidth="1"/>
    <col min="8216" max="8216" width="13.7109375" customWidth="1"/>
    <col min="8449" max="8450" width="5.42578125" customWidth="1"/>
    <col min="8451" max="8451" width="32.140625" customWidth="1"/>
    <col min="8452" max="8452" width="6.5703125" customWidth="1"/>
    <col min="8453" max="8453" width="8.42578125" customWidth="1"/>
    <col min="8454" max="8454" width="5.85546875" customWidth="1"/>
    <col min="8456" max="8457" width="14.5703125" customWidth="1"/>
    <col min="8458" max="8458" width="13.5703125" customWidth="1"/>
    <col min="8459" max="8459" width="11.5703125" customWidth="1"/>
    <col min="8460" max="8460" width="12.85546875" customWidth="1"/>
    <col min="8461" max="8461" width="12.140625" customWidth="1"/>
    <col min="8462" max="8462" width="12.42578125" customWidth="1"/>
    <col min="8463" max="8463" width="12.85546875" customWidth="1"/>
    <col min="8464" max="8464" width="12" customWidth="1"/>
    <col min="8465" max="8465" width="12.7109375" customWidth="1"/>
    <col min="8466" max="8466" width="14.85546875" customWidth="1"/>
    <col min="8467" max="8467" width="10.7109375" customWidth="1"/>
    <col min="8468" max="8468" width="11" customWidth="1"/>
    <col min="8469" max="8469" width="10.85546875" customWidth="1"/>
    <col min="8470" max="8470" width="12.42578125" customWidth="1"/>
    <col min="8471" max="8471" width="11.42578125" customWidth="1"/>
    <col min="8472" max="8472" width="13.7109375" customWidth="1"/>
    <col min="8705" max="8706" width="5.42578125" customWidth="1"/>
    <col min="8707" max="8707" width="32.140625" customWidth="1"/>
    <col min="8708" max="8708" width="6.5703125" customWidth="1"/>
    <col min="8709" max="8709" width="8.42578125" customWidth="1"/>
    <col min="8710" max="8710" width="5.85546875" customWidth="1"/>
    <col min="8712" max="8713" width="14.5703125" customWidth="1"/>
    <col min="8714" max="8714" width="13.5703125" customWidth="1"/>
    <col min="8715" max="8715" width="11.5703125" customWidth="1"/>
    <col min="8716" max="8716" width="12.85546875" customWidth="1"/>
    <col min="8717" max="8717" width="12.140625" customWidth="1"/>
    <col min="8718" max="8718" width="12.42578125" customWidth="1"/>
    <col min="8719" max="8719" width="12.85546875" customWidth="1"/>
    <col min="8720" max="8720" width="12" customWidth="1"/>
    <col min="8721" max="8721" width="12.7109375" customWidth="1"/>
    <col min="8722" max="8722" width="14.85546875" customWidth="1"/>
    <col min="8723" max="8723" width="10.7109375" customWidth="1"/>
    <col min="8724" max="8724" width="11" customWidth="1"/>
    <col min="8725" max="8725" width="10.85546875" customWidth="1"/>
    <col min="8726" max="8726" width="12.42578125" customWidth="1"/>
    <col min="8727" max="8727" width="11.42578125" customWidth="1"/>
    <col min="8728" max="8728" width="13.7109375" customWidth="1"/>
    <col min="8961" max="8962" width="5.42578125" customWidth="1"/>
    <col min="8963" max="8963" width="32.140625" customWidth="1"/>
    <col min="8964" max="8964" width="6.5703125" customWidth="1"/>
    <col min="8965" max="8965" width="8.42578125" customWidth="1"/>
    <col min="8966" max="8966" width="5.85546875" customWidth="1"/>
    <col min="8968" max="8969" width="14.5703125" customWidth="1"/>
    <col min="8970" max="8970" width="13.5703125" customWidth="1"/>
    <col min="8971" max="8971" width="11.5703125" customWidth="1"/>
    <col min="8972" max="8972" width="12.85546875" customWidth="1"/>
    <col min="8973" max="8973" width="12.140625" customWidth="1"/>
    <col min="8974" max="8974" width="12.42578125" customWidth="1"/>
    <col min="8975" max="8975" width="12.85546875" customWidth="1"/>
    <col min="8976" max="8976" width="12" customWidth="1"/>
    <col min="8977" max="8977" width="12.7109375" customWidth="1"/>
    <col min="8978" max="8978" width="14.85546875" customWidth="1"/>
    <col min="8979" max="8979" width="10.7109375" customWidth="1"/>
    <col min="8980" max="8980" width="11" customWidth="1"/>
    <col min="8981" max="8981" width="10.85546875" customWidth="1"/>
    <col min="8982" max="8982" width="12.42578125" customWidth="1"/>
    <col min="8983" max="8983" width="11.42578125" customWidth="1"/>
    <col min="8984" max="8984" width="13.7109375" customWidth="1"/>
    <col min="9217" max="9218" width="5.42578125" customWidth="1"/>
    <col min="9219" max="9219" width="32.140625" customWidth="1"/>
    <col min="9220" max="9220" width="6.5703125" customWidth="1"/>
    <col min="9221" max="9221" width="8.42578125" customWidth="1"/>
    <col min="9222" max="9222" width="5.85546875" customWidth="1"/>
    <col min="9224" max="9225" width="14.5703125" customWidth="1"/>
    <col min="9226" max="9226" width="13.5703125" customWidth="1"/>
    <col min="9227" max="9227" width="11.5703125" customWidth="1"/>
    <col min="9228" max="9228" width="12.85546875" customWidth="1"/>
    <col min="9229" max="9229" width="12.140625" customWidth="1"/>
    <col min="9230" max="9230" width="12.42578125" customWidth="1"/>
    <col min="9231" max="9231" width="12.85546875" customWidth="1"/>
    <col min="9232" max="9232" width="12" customWidth="1"/>
    <col min="9233" max="9233" width="12.7109375" customWidth="1"/>
    <col min="9234" max="9234" width="14.85546875" customWidth="1"/>
    <col min="9235" max="9235" width="10.7109375" customWidth="1"/>
    <col min="9236" max="9236" width="11" customWidth="1"/>
    <col min="9237" max="9237" width="10.85546875" customWidth="1"/>
    <col min="9238" max="9238" width="12.42578125" customWidth="1"/>
    <col min="9239" max="9239" width="11.42578125" customWidth="1"/>
    <col min="9240" max="9240" width="13.7109375" customWidth="1"/>
    <col min="9473" max="9474" width="5.42578125" customWidth="1"/>
    <col min="9475" max="9475" width="32.140625" customWidth="1"/>
    <col min="9476" max="9476" width="6.5703125" customWidth="1"/>
    <col min="9477" max="9477" width="8.42578125" customWidth="1"/>
    <col min="9478" max="9478" width="5.85546875" customWidth="1"/>
    <col min="9480" max="9481" width="14.5703125" customWidth="1"/>
    <col min="9482" max="9482" width="13.5703125" customWidth="1"/>
    <col min="9483" max="9483" width="11.5703125" customWidth="1"/>
    <col min="9484" max="9484" width="12.85546875" customWidth="1"/>
    <col min="9485" max="9485" width="12.140625" customWidth="1"/>
    <col min="9486" max="9486" width="12.42578125" customWidth="1"/>
    <col min="9487" max="9487" width="12.85546875" customWidth="1"/>
    <col min="9488" max="9488" width="12" customWidth="1"/>
    <col min="9489" max="9489" width="12.7109375" customWidth="1"/>
    <col min="9490" max="9490" width="14.85546875" customWidth="1"/>
    <col min="9491" max="9491" width="10.7109375" customWidth="1"/>
    <col min="9492" max="9492" width="11" customWidth="1"/>
    <col min="9493" max="9493" width="10.85546875" customWidth="1"/>
    <col min="9494" max="9494" width="12.42578125" customWidth="1"/>
    <col min="9495" max="9495" width="11.42578125" customWidth="1"/>
    <col min="9496" max="9496" width="13.7109375" customWidth="1"/>
    <col min="9729" max="9730" width="5.42578125" customWidth="1"/>
    <col min="9731" max="9731" width="32.140625" customWidth="1"/>
    <col min="9732" max="9732" width="6.5703125" customWidth="1"/>
    <col min="9733" max="9733" width="8.42578125" customWidth="1"/>
    <col min="9734" max="9734" width="5.85546875" customWidth="1"/>
    <col min="9736" max="9737" width="14.5703125" customWidth="1"/>
    <col min="9738" max="9738" width="13.5703125" customWidth="1"/>
    <col min="9739" max="9739" width="11.5703125" customWidth="1"/>
    <col min="9740" max="9740" width="12.85546875" customWidth="1"/>
    <col min="9741" max="9741" width="12.140625" customWidth="1"/>
    <col min="9742" max="9742" width="12.42578125" customWidth="1"/>
    <col min="9743" max="9743" width="12.85546875" customWidth="1"/>
    <col min="9744" max="9744" width="12" customWidth="1"/>
    <col min="9745" max="9745" width="12.7109375" customWidth="1"/>
    <col min="9746" max="9746" width="14.85546875" customWidth="1"/>
    <col min="9747" max="9747" width="10.7109375" customWidth="1"/>
    <col min="9748" max="9748" width="11" customWidth="1"/>
    <col min="9749" max="9749" width="10.85546875" customWidth="1"/>
    <col min="9750" max="9750" width="12.42578125" customWidth="1"/>
    <col min="9751" max="9751" width="11.42578125" customWidth="1"/>
    <col min="9752" max="9752" width="13.7109375" customWidth="1"/>
    <col min="9985" max="9986" width="5.42578125" customWidth="1"/>
    <col min="9987" max="9987" width="32.140625" customWidth="1"/>
    <col min="9988" max="9988" width="6.5703125" customWidth="1"/>
    <col min="9989" max="9989" width="8.42578125" customWidth="1"/>
    <col min="9990" max="9990" width="5.85546875" customWidth="1"/>
    <col min="9992" max="9993" width="14.5703125" customWidth="1"/>
    <col min="9994" max="9994" width="13.5703125" customWidth="1"/>
    <col min="9995" max="9995" width="11.5703125" customWidth="1"/>
    <col min="9996" max="9996" width="12.85546875" customWidth="1"/>
    <col min="9997" max="9997" width="12.140625" customWidth="1"/>
    <col min="9998" max="9998" width="12.42578125" customWidth="1"/>
    <col min="9999" max="9999" width="12.85546875" customWidth="1"/>
    <col min="10000" max="10000" width="12" customWidth="1"/>
    <col min="10001" max="10001" width="12.7109375" customWidth="1"/>
    <col min="10002" max="10002" width="14.85546875" customWidth="1"/>
    <col min="10003" max="10003" width="10.7109375" customWidth="1"/>
    <col min="10004" max="10004" width="11" customWidth="1"/>
    <col min="10005" max="10005" width="10.85546875" customWidth="1"/>
    <col min="10006" max="10006" width="12.42578125" customWidth="1"/>
    <col min="10007" max="10007" width="11.42578125" customWidth="1"/>
    <col min="10008" max="10008" width="13.7109375" customWidth="1"/>
    <col min="10241" max="10242" width="5.42578125" customWidth="1"/>
    <col min="10243" max="10243" width="32.140625" customWidth="1"/>
    <col min="10244" max="10244" width="6.5703125" customWidth="1"/>
    <col min="10245" max="10245" width="8.42578125" customWidth="1"/>
    <col min="10246" max="10246" width="5.85546875" customWidth="1"/>
    <col min="10248" max="10249" width="14.5703125" customWidth="1"/>
    <col min="10250" max="10250" width="13.5703125" customWidth="1"/>
    <col min="10251" max="10251" width="11.5703125" customWidth="1"/>
    <col min="10252" max="10252" width="12.85546875" customWidth="1"/>
    <col min="10253" max="10253" width="12.140625" customWidth="1"/>
    <col min="10254" max="10254" width="12.42578125" customWidth="1"/>
    <col min="10255" max="10255" width="12.85546875" customWidth="1"/>
    <col min="10256" max="10256" width="12" customWidth="1"/>
    <col min="10257" max="10257" width="12.7109375" customWidth="1"/>
    <col min="10258" max="10258" width="14.85546875" customWidth="1"/>
    <col min="10259" max="10259" width="10.7109375" customWidth="1"/>
    <col min="10260" max="10260" width="11" customWidth="1"/>
    <col min="10261" max="10261" width="10.85546875" customWidth="1"/>
    <col min="10262" max="10262" width="12.42578125" customWidth="1"/>
    <col min="10263" max="10263" width="11.42578125" customWidth="1"/>
    <col min="10264" max="10264" width="13.7109375" customWidth="1"/>
    <col min="10497" max="10498" width="5.42578125" customWidth="1"/>
    <col min="10499" max="10499" width="32.140625" customWidth="1"/>
    <col min="10500" max="10500" width="6.5703125" customWidth="1"/>
    <col min="10501" max="10501" width="8.42578125" customWidth="1"/>
    <col min="10502" max="10502" width="5.85546875" customWidth="1"/>
    <col min="10504" max="10505" width="14.5703125" customWidth="1"/>
    <col min="10506" max="10506" width="13.5703125" customWidth="1"/>
    <col min="10507" max="10507" width="11.5703125" customWidth="1"/>
    <col min="10508" max="10508" width="12.85546875" customWidth="1"/>
    <col min="10509" max="10509" width="12.140625" customWidth="1"/>
    <col min="10510" max="10510" width="12.42578125" customWidth="1"/>
    <col min="10511" max="10511" width="12.85546875" customWidth="1"/>
    <col min="10512" max="10512" width="12" customWidth="1"/>
    <col min="10513" max="10513" width="12.7109375" customWidth="1"/>
    <col min="10514" max="10514" width="14.85546875" customWidth="1"/>
    <col min="10515" max="10515" width="10.7109375" customWidth="1"/>
    <col min="10516" max="10516" width="11" customWidth="1"/>
    <col min="10517" max="10517" width="10.85546875" customWidth="1"/>
    <col min="10518" max="10518" width="12.42578125" customWidth="1"/>
    <col min="10519" max="10519" width="11.42578125" customWidth="1"/>
    <col min="10520" max="10520" width="13.7109375" customWidth="1"/>
    <col min="10753" max="10754" width="5.42578125" customWidth="1"/>
    <col min="10755" max="10755" width="32.140625" customWidth="1"/>
    <col min="10756" max="10756" width="6.5703125" customWidth="1"/>
    <col min="10757" max="10757" width="8.42578125" customWidth="1"/>
    <col min="10758" max="10758" width="5.85546875" customWidth="1"/>
    <col min="10760" max="10761" width="14.5703125" customWidth="1"/>
    <col min="10762" max="10762" width="13.5703125" customWidth="1"/>
    <col min="10763" max="10763" width="11.5703125" customWidth="1"/>
    <col min="10764" max="10764" width="12.85546875" customWidth="1"/>
    <col min="10765" max="10765" width="12.140625" customWidth="1"/>
    <col min="10766" max="10766" width="12.42578125" customWidth="1"/>
    <col min="10767" max="10767" width="12.85546875" customWidth="1"/>
    <col min="10768" max="10768" width="12" customWidth="1"/>
    <col min="10769" max="10769" width="12.7109375" customWidth="1"/>
    <col min="10770" max="10770" width="14.85546875" customWidth="1"/>
    <col min="10771" max="10771" width="10.7109375" customWidth="1"/>
    <col min="10772" max="10772" width="11" customWidth="1"/>
    <col min="10773" max="10773" width="10.85546875" customWidth="1"/>
    <col min="10774" max="10774" width="12.42578125" customWidth="1"/>
    <col min="10775" max="10775" width="11.42578125" customWidth="1"/>
    <col min="10776" max="10776" width="13.7109375" customWidth="1"/>
    <col min="11009" max="11010" width="5.42578125" customWidth="1"/>
    <col min="11011" max="11011" width="32.140625" customWidth="1"/>
    <col min="11012" max="11012" width="6.5703125" customWidth="1"/>
    <col min="11013" max="11013" width="8.42578125" customWidth="1"/>
    <col min="11014" max="11014" width="5.85546875" customWidth="1"/>
    <col min="11016" max="11017" width="14.5703125" customWidth="1"/>
    <col min="11018" max="11018" width="13.5703125" customWidth="1"/>
    <col min="11019" max="11019" width="11.5703125" customWidth="1"/>
    <col min="11020" max="11020" width="12.85546875" customWidth="1"/>
    <col min="11021" max="11021" width="12.140625" customWidth="1"/>
    <col min="11022" max="11022" width="12.42578125" customWidth="1"/>
    <col min="11023" max="11023" width="12.85546875" customWidth="1"/>
    <col min="11024" max="11024" width="12" customWidth="1"/>
    <col min="11025" max="11025" width="12.7109375" customWidth="1"/>
    <col min="11026" max="11026" width="14.85546875" customWidth="1"/>
    <col min="11027" max="11027" width="10.7109375" customWidth="1"/>
    <col min="11028" max="11028" width="11" customWidth="1"/>
    <col min="11029" max="11029" width="10.85546875" customWidth="1"/>
    <col min="11030" max="11030" width="12.42578125" customWidth="1"/>
    <col min="11031" max="11031" width="11.42578125" customWidth="1"/>
    <col min="11032" max="11032" width="13.7109375" customWidth="1"/>
    <col min="11265" max="11266" width="5.42578125" customWidth="1"/>
    <col min="11267" max="11267" width="32.140625" customWidth="1"/>
    <col min="11268" max="11268" width="6.5703125" customWidth="1"/>
    <col min="11269" max="11269" width="8.42578125" customWidth="1"/>
    <col min="11270" max="11270" width="5.85546875" customWidth="1"/>
    <col min="11272" max="11273" width="14.5703125" customWidth="1"/>
    <col min="11274" max="11274" width="13.5703125" customWidth="1"/>
    <col min="11275" max="11275" width="11.5703125" customWidth="1"/>
    <col min="11276" max="11276" width="12.85546875" customWidth="1"/>
    <col min="11277" max="11277" width="12.140625" customWidth="1"/>
    <col min="11278" max="11278" width="12.42578125" customWidth="1"/>
    <col min="11279" max="11279" width="12.85546875" customWidth="1"/>
    <col min="11280" max="11280" width="12" customWidth="1"/>
    <col min="11281" max="11281" width="12.7109375" customWidth="1"/>
    <col min="11282" max="11282" width="14.85546875" customWidth="1"/>
    <col min="11283" max="11283" width="10.7109375" customWidth="1"/>
    <col min="11284" max="11284" width="11" customWidth="1"/>
    <col min="11285" max="11285" width="10.85546875" customWidth="1"/>
    <col min="11286" max="11286" width="12.42578125" customWidth="1"/>
    <col min="11287" max="11287" width="11.42578125" customWidth="1"/>
    <col min="11288" max="11288" width="13.7109375" customWidth="1"/>
    <col min="11521" max="11522" width="5.42578125" customWidth="1"/>
    <col min="11523" max="11523" width="32.140625" customWidth="1"/>
    <col min="11524" max="11524" width="6.5703125" customWidth="1"/>
    <col min="11525" max="11525" width="8.42578125" customWidth="1"/>
    <col min="11526" max="11526" width="5.85546875" customWidth="1"/>
    <col min="11528" max="11529" width="14.5703125" customWidth="1"/>
    <col min="11530" max="11530" width="13.5703125" customWidth="1"/>
    <col min="11531" max="11531" width="11.5703125" customWidth="1"/>
    <col min="11532" max="11532" width="12.85546875" customWidth="1"/>
    <col min="11533" max="11533" width="12.140625" customWidth="1"/>
    <col min="11534" max="11534" width="12.42578125" customWidth="1"/>
    <col min="11535" max="11535" width="12.85546875" customWidth="1"/>
    <col min="11536" max="11536" width="12" customWidth="1"/>
    <col min="11537" max="11537" width="12.7109375" customWidth="1"/>
    <col min="11538" max="11538" width="14.85546875" customWidth="1"/>
    <col min="11539" max="11539" width="10.7109375" customWidth="1"/>
    <col min="11540" max="11540" width="11" customWidth="1"/>
    <col min="11541" max="11541" width="10.85546875" customWidth="1"/>
    <col min="11542" max="11542" width="12.42578125" customWidth="1"/>
    <col min="11543" max="11543" width="11.42578125" customWidth="1"/>
    <col min="11544" max="11544" width="13.7109375" customWidth="1"/>
    <col min="11777" max="11778" width="5.42578125" customWidth="1"/>
    <col min="11779" max="11779" width="32.140625" customWidth="1"/>
    <col min="11780" max="11780" width="6.5703125" customWidth="1"/>
    <col min="11781" max="11781" width="8.42578125" customWidth="1"/>
    <col min="11782" max="11782" width="5.85546875" customWidth="1"/>
    <col min="11784" max="11785" width="14.5703125" customWidth="1"/>
    <col min="11786" max="11786" width="13.5703125" customWidth="1"/>
    <col min="11787" max="11787" width="11.5703125" customWidth="1"/>
    <col min="11788" max="11788" width="12.85546875" customWidth="1"/>
    <col min="11789" max="11789" width="12.140625" customWidth="1"/>
    <col min="11790" max="11790" width="12.42578125" customWidth="1"/>
    <col min="11791" max="11791" width="12.85546875" customWidth="1"/>
    <col min="11792" max="11792" width="12" customWidth="1"/>
    <col min="11793" max="11793" width="12.7109375" customWidth="1"/>
    <col min="11794" max="11794" width="14.85546875" customWidth="1"/>
    <col min="11795" max="11795" width="10.7109375" customWidth="1"/>
    <col min="11796" max="11796" width="11" customWidth="1"/>
    <col min="11797" max="11797" width="10.85546875" customWidth="1"/>
    <col min="11798" max="11798" width="12.42578125" customWidth="1"/>
    <col min="11799" max="11799" width="11.42578125" customWidth="1"/>
    <col min="11800" max="11800" width="13.7109375" customWidth="1"/>
    <col min="12033" max="12034" width="5.42578125" customWidth="1"/>
    <col min="12035" max="12035" width="32.140625" customWidth="1"/>
    <col min="12036" max="12036" width="6.5703125" customWidth="1"/>
    <col min="12037" max="12037" width="8.42578125" customWidth="1"/>
    <col min="12038" max="12038" width="5.85546875" customWidth="1"/>
    <col min="12040" max="12041" width="14.5703125" customWidth="1"/>
    <col min="12042" max="12042" width="13.5703125" customWidth="1"/>
    <col min="12043" max="12043" width="11.5703125" customWidth="1"/>
    <col min="12044" max="12044" width="12.85546875" customWidth="1"/>
    <col min="12045" max="12045" width="12.140625" customWidth="1"/>
    <col min="12046" max="12046" width="12.42578125" customWidth="1"/>
    <col min="12047" max="12047" width="12.85546875" customWidth="1"/>
    <col min="12048" max="12048" width="12" customWidth="1"/>
    <col min="12049" max="12049" width="12.7109375" customWidth="1"/>
    <col min="12050" max="12050" width="14.85546875" customWidth="1"/>
    <col min="12051" max="12051" width="10.7109375" customWidth="1"/>
    <col min="12052" max="12052" width="11" customWidth="1"/>
    <col min="12053" max="12053" width="10.85546875" customWidth="1"/>
    <col min="12054" max="12054" width="12.42578125" customWidth="1"/>
    <col min="12055" max="12055" width="11.42578125" customWidth="1"/>
    <col min="12056" max="12056" width="13.7109375" customWidth="1"/>
    <col min="12289" max="12290" width="5.42578125" customWidth="1"/>
    <col min="12291" max="12291" width="32.140625" customWidth="1"/>
    <col min="12292" max="12292" width="6.5703125" customWidth="1"/>
    <col min="12293" max="12293" width="8.42578125" customWidth="1"/>
    <col min="12294" max="12294" width="5.85546875" customWidth="1"/>
    <col min="12296" max="12297" width="14.5703125" customWidth="1"/>
    <col min="12298" max="12298" width="13.5703125" customWidth="1"/>
    <col min="12299" max="12299" width="11.5703125" customWidth="1"/>
    <col min="12300" max="12300" width="12.85546875" customWidth="1"/>
    <col min="12301" max="12301" width="12.140625" customWidth="1"/>
    <col min="12302" max="12302" width="12.42578125" customWidth="1"/>
    <col min="12303" max="12303" width="12.85546875" customWidth="1"/>
    <col min="12304" max="12304" width="12" customWidth="1"/>
    <col min="12305" max="12305" width="12.7109375" customWidth="1"/>
    <col min="12306" max="12306" width="14.85546875" customWidth="1"/>
    <col min="12307" max="12307" width="10.7109375" customWidth="1"/>
    <col min="12308" max="12308" width="11" customWidth="1"/>
    <col min="12309" max="12309" width="10.85546875" customWidth="1"/>
    <col min="12310" max="12310" width="12.42578125" customWidth="1"/>
    <col min="12311" max="12311" width="11.42578125" customWidth="1"/>
    <col min="12312" max="12312" width="13.7109375" customWidth="1"/>
    <col min="12545" max="12546" width="5.42578125" customWidth="1"/>
    <col min="12547" max="12547" width="32.140625" customWidth="1"/>
    <col min="12548" max="12548" width="6.5703125" customWidth="1"/>
    <col min="12549" max="12549" width="8.42578125" customWidth="1"/>
    <col min="12550" max="12550" width="5.85546875" customWidth="1"/>
    <col min="12552" max="12553" width="14.5703125" customWidth="1"/>
    <col min="12554" max="12554" width="13.5703125" customWidth="1"/>
    <col min="12555" max="12555" width="11.5703125" customWidth="1"/>
    <col min="12556" max="12556" width="12.85546875" customWidth="1"/>
    <col min="12557" max="12557" width="12.140625" customWidth="1"/>
    <col min="12558" max="12558" width="12.42578125" customWidth="1"/>
    <col min="12559" max="12559" width="12.85546875" customWidth="1"/>
    <col min="12560" max="12560" width="12" customWidth="1"/>
    <col min="12561" max="12561" width="12.7109375" customWidth="1"/>
    <col min="12562" max="12562" width="14.85546875" customWidth="1"/>
    <col min="12563" max="12563" width="10.7109375" customWidth="1"/>
    <col min="12564" max="12564" width="11" customWidth="1"/>
    <col min="12565" max="12565" width="10.85546875" customWidth="1"/>
    <col min="12566" max="12566" width="12.42578125" customWidth="1"/>
    <col min="12567" max="12567" width="11.42578125" customWidth="1"/>
    <col min="12568" max="12568" width="13.7109375" customWidth="1"/>
    <col min="12801" max="12802" width="5.42578125" customWidth="1"/>
    <col min="12803" max="12803" width="32.140625" customWidth="1"/>
    <col min="12804" max="12804" width="6.5703125" customWidth="1"/>
    <col min="12805" max="12805" width="8.42578125" customWidth="1"/>
    <col min="12806" max="12806" width="5.85546875" customWidth="1"/>
    <col min="12808" max="12809" width="14.5703125" customWidth="1"/>
    <col min="12810" max="12810" width="13.5703125" customWidth="1"/>
    <col min="12811" max="12811" width="11.5703125" customWidth="1"/>
    <col min="12812" max="12812" width="12.85546875" customWidth="1"/>
    <col min="12813" max="12813" width="12.140625" customWidth="1"/>
    <col min="12814" max="12814" width="12.42578125" customWidth="1"/>
    <col min="12815" max="12815" width="12.85546875" customWidth="1"/>
    <col min="12816" max="12816" width="12" customWidth="1"/>
    <col min="12817" max="12817" width="12.7109375" customWidth="1"/>
    <col min="12818" max="12818" width="14.85546875" customWidth="1"/>
    <col min="12819" max="12819" width="10.7109375" customWidth="1"/>
    <col min="12820" max="12820" width="11" customWidth="1"/>
    <col min="12821" max="12821" width="10.85546875" customWidth="1"/>
    <col min="12822" max="12822" width="12.42578125" customWidth="1"/>
    <col min="12823" max="12823" width="11.42578125" customWidth="1"/>
    <col min="12824" max="12824" width="13.7109375" customWidth="1"/>
    <col min="13057" max="13058" width="5.42578125" customWidth="1"/>
    <col min="13059" max="13059" width="32.140625" customWidth="1"/>
    <col min="13060" max="13060" width="6.5703125" customWidth="1"/>
    <col min="13061" max="13061" width="8.42578125" customWidth="1"/>
    <col min="13062" max="13062" width="5.85546875" customWidth="1"/>
    <col min="13064" max="13065" width="14.5703125" customWidth="1"/>
    <col min="13066" max="13066" width="13.5703125" customWidth="1"/>
    <col min="13067" max="13067" width="11.5703125" customWidth="1"/>
    <col min="13068" max="13068" width="12.85546875" customWidth="1"/>
    <col min="13069" max="13069" width="12.140625" customWidth="1"/>
    <col min="13070" max="13070" width="12.42578125" customWidth="1"/>
    <col min="13071" max="13071" width="12.85546875" customWidth="1"/>
    <col min="13072" max="13072" width="12" customWidth="1"/>
    <col min="13073" max="13073" width="12.7109375" customWidth="1"/>
    <col min="13074" max="13074" width="14.85546875" customWidth="1"/>
    <col min="13075" max="13075" width="10.7109375" customWidth="1"/>
    <col min="13076" max="13076" width="11" customWidth="1"/>
    <col min="13077" max="13077" width="10.85546875" customWidth="1"/>
    <col min="13078" max="13078" width="12.42578125" customWidth="1"/>
    <col min="13079" max="13079" width="11.42578125" customWidth="1"/>
    <col min="13080" max="13080" width="13.7109375" customWidth="1"/>
    <col min="13313" max="13314" width="5.42578125" customWidth="1"/>
    <col min="13315" max="13315" width="32.140625" customWidth="1"/>
    <col min="13316" max="13316" width="6.5703125" customWidth="1"/>
    <col min="13317" max="13317" width="8.42578125" customWidth="1"/>
    <col min="13318" max="13318" width="5.85546875" customWidth="1"/>
    <col min="13320" max="13321" width="14.5703125" customWidth="1"/>
    <col min="13322" max="13322" width="13.5703125" customWidth="1"/>
    <col min="13323" max="13323" width="11.5703125" customWidth="1"/>
    <col min="13324" max="13324" width="12.85546875" customWidth="1"/>
    <col min="13325" max="13325" width="12.140625" customWidth="1"/>
    <col min="13326" max="13326" width="12.42578125" customWidth="1"/>
    <col min="13327" max="13327" width="12.85546875" customWidth="1"/>
    <col min="13328" max="13328" width="12" customWidth="1"/>
    <col min="13329" max="13329" width="12.7109375" customWidth="1"/>
    <col min="13330" max="13330" width="14.85546875" customWidth="1"/>
    <col min="13331" max="13331" width="10.7109375" customWidth="1"/>
    <col min="13332" max="13332" width="11" customWidth="1"/>
    <col min="13333" max="13333" width="10.85546875" customWidth="1"/>
    <col min="13334" max="13334" width="12.42578125" customWidth="1"/>
    <col min="13335" max="13335" width="11.42578125" customWidth="1"/>
    <col min="13336" max="13336" width="13.7109375" customWidth="1"/>
    <col min="13569" max="13570" width="5.42578125" customWidth="1"/>
    <col min="13571" max="13571" width="32.140625" customWidth="1"/>
    <col min="13572" max="13572" width="6.5703125" customWidth="1"/>
    <col min="13573" max="13573" width="8.42578125" customWidth="1"/>
    <col min="13574" max="13574" width="5.85546875" customWidth="1"/>
    <col min="13576" max="13577" width="14.5703125" customWidth="1"/>
    <col min="13578" max="13578" width="13.5703125" customWidth="1"/>
    <col min="13579" max="13579" width="11.5703125" customWidth="1"/>
    <col min="13580" max="13580" width="12.85546875" customWidth="1"/>
    <col min="13581" max="13581" width="12.140625" customWidth="1"/>
    <col min="13582" max="13582" width="12.42578125" customWidth="1"/>
    <col min="13583" max="13583" width="12.85546875" customWidth="1"/>
    <col min="13584" max="13584" width="12" customWidth="1"/>
    <col min="13585" max="13585" width="12.7109375" customWidth="1"/>
    <col min="13586" max="13586" width="14.85546875" customWidth="1"/>
    <col min="13587" max="13587" width="10.7109375" customWidth="1"/>
    <col min="13588" max="13588" width="11" customWidth="1"/>
    <col min="13589" max="13589" width="10.85546875" customWidth="1"/>
    <col min="13590" max="13590" width="12.42578125" customWidth="1"/>
    <col min="13591" max="13591" width="11.42578125" customWidth="1"/>
    <col min="13592" max="13592" width="13.7109375" customWidth="1"/>
    <col min="13825" max="13826" width="5.42578125" customWidth="1"/>
    <col min="13827" max="13827" width="32.140625" customWidth="1"/>
    <col min="13828" max="13828" width="6.5703125" customWidth="1"/>
    <col min="13829" max="13829" width="8.42578125" customWidth="1"/>
    <col min="13830" max="13830" width="5.85546875" customWidth="1"/>
    <col min="13832" max="13833" width="14.5703125" customWidth="1"/>
    <col min="13834" max="13834" width="13.5703125" customWidth="1"/>
    <col min="13835" max="13835" width="11.5703125" customWidth="1"/>
    <col min="13836" max="13836" width="12.85546875" customWidth="1"/>
    <col min="13837" max="13837" width="12.140625" customWidth="1"/>
    <col min="13838" max="13838" width="12.42578125" customWidth="1"/>
    <col min="13839" max="13839" width="12.85546875" customWidth="1"/>
    <col min="13840" max="13840" width="12" customWidth="1"/>
    <col min="13841" max="13841" width="12.7109375" customWidth="1"/>
    <col min="13842" max="13842" width="14.85546875" customWidth="1"/>
    <col min="13843" max="13843" width="10.7109375" customWidth="1"/>
    <col min="13844" max="13844" width="11" customWidth="1"/>
    <col min="13845" max="13845" width="10.85546875" customWidth="1"/>
    <col min="13846" max="13846" width="12.42578125" customWidth="1"/>
    <col min="13847" max="13847" width="11.42578125" customWidth="1"/>
    <col min="13848" max="13848" width="13.7109375" customWidth="1"/>
    <col min="14081" max="14082" width="5.42578125" customWidth="1"/>
    <col min="14083" max="14083" width="32.140625" customWidth="1"/>
    <col min="14084" max="14084" width="6.5703125" customWidth="1"/>
    <col min="14085" max="14085" width="8.42578125" customWidth="1"/>
    <col min="14086" max="14086" width="5.85546875" customWidth="1"/>
    <col min="14088" max="14089" width="14.5703125" customWidth="1"/>
    <col min="14090" max="14090" width="13.5703125" customWidth="1"/>
    <col min="14091" max="14091" width="11.5703125" customWidth="1"/>
    <col min="14092" max="14092" width="12.85546875" customWidth="1"/>
    <col min="14093" max="14093" width="12.140625" customWidth="1"/>
    <col min="14094" max="14094" width="12.42578125" customWidth="1"/>
    <col min="14095" max="14095" width="12.85546875" customWidth="1"/>
    <col min="14096" max="14096" width="12" customWidth="1"/>
    <col min="14097" max="14097" width="12.7109375" customWidth="1"/>
    <col min="14098" max="14098" width="14.85546875" customWidth="1"/>
    <col min="14099" max="14099" width="10.7109375" customWidth="1"/>
    <col min="14100" max="14100" width="11" customWidth="1"/>
    <col min="14101" max="14101" width="10.85546875" customWidth="1"/>
    <col min="14102" max="14102" width="12.42578125" customWidth="1"/>
    <col min="14103" max="14103" width="11.42578125" customWidth="1"/>
    <col min="14104" max="14104" width="13.7109375" customWidth="1"/>
    <col min="14337" max="14338" width="5.42578125" customWidth="1"/>
    <col min="14339" max="14339" width="32.140625" customWidth="1"/>
    <col min="14340" max="14340" width="6.5703125" customWidth="1"/>
    <col min="14341" max="14341" width="8.42578125" customWidth="1"/>
    <col min="14342" max="14342" width="5.85546875" customWidth="1"/>
    <col min="14344" max="14345" width="14.5703125" customWidth="1"/>
    <col min="14346" max="14346" width="13.5703125" customWidth="1"/>
    <col min="14347" max="14347" width="11.5703125" customWidth="1"/>
    <col min="14348" max="14348" width="12.85546875" customWidth="1"/>
    <col min="14349" max="14349" width="12.140625" customWidth="1"/>
    <col min="14350" max="14350" width="12.42578125" customWidth="1"/>
    <col min="14351" max="14351" width="12.85546875" customWidth="1"/>
    <col min="14352" max="14352" width="12" customWidth="1"/>
    <col min="14353" max="14353" width="12.7109375" customWidth="1"/>
    <col min="14354" max="14354" width="14.85546875" customWidth="1"/>
    <col min="14355" max="14355" width="10.7109375" customWidth="1"/>
    <col min="14356" max="14356" width="11" customWidth="1"/>
    <col min="14357" max="14357" width="10.85546875" customWidth="1"/>
    <col min="14358" max="14358" width="12.42578125" customWidth="1"/>
    <col min="14359" max="14359" width="11.42578125" customWidth="1"/>
    <col min="14360" max="14360" width="13.7109375" customWidth="1"/>
    <col min="14593" max="14594" width="5.42578125" customWidth="1"/>
    <col min="14595" max="14595" width="32.140625" customWidth="1"/>
    <col min="14596" max="14596" width="6.5703125" customWidth="1"/>
    <col min="14597" max="14597" width="8.42578125" customWidth="1"/>
    <col min="14598" max="14598" width="5.85546875" customWidth="1"/>
    <col min="14600" max="14601" width="14.5703125" customWidth="1"/>
    <col min="14602" max="14602" width="13.5703125" customWidth="1"/>
    <col min="14603" max="14603" width="11.5703125" customWidth="1"/>
    <col min="14604" max="14604" width="12.85546875" customWidth="1"/>
    <col min="14605" max="14605" width="12.140625" customWidth="1"/>
    <col min="14606" max="14606" width="12.42578125" customWidth="1"/>
    <col min="14607" max="14607" width="12.85546875" customWidth="1"/>
    <col min="14608" max="14608" width="12" customWidth="1"/>
    <col min="14609" max="14609" width="12.7109375" customWidth="1"/>
    <col min="14610" max="14610" width="14.85546875" customWidth="1"/>
    <col min="14611" max="14611" width="10.7109375" customWidth="1"/>
    <col min="14612" max="14612" width="11" customWidth="1"/>
    <col min="14613" max="14613" width="10.85546875" customWidth="1"/>
    <col min="14614" max="14614" width="12.42578125" customWidth="1"/>
    <col min="14615" max="14615" width="11.42578125" customWidth="1"/>
    <col min="14616" max="14616" width="13.7109375" customWidth="1"/>
    <col min="14849" max="14850" width="5.42578125" customWidth="1"/>
    <col min="14851" max="14851" width="32.140625" customWidth="1"/>
    <col min="14852" max="14852" width="6.5703125" customWidth="1"/>
    <col min="14853" max="14853" width="8.42578125" customWidth="1"/>
    <col min="14854" max="14854" width="5.85546875" customWidth="1"/>
    <col min="14856" max="14857" width="14.5703125" customWidth="1"/>
    <col min="14858" max="14858" width="13.5703125" customWidth="1"/>
    <col min="14859" max="14859" width="11.5703125" customWidth="1"/>
    <col min="14860" max="14860" width="12.85546875" customWidth="1"/>
    <col min="14861" max="14861" width="12.140625" customWidth="1"/>
    <col min="14862" max="14862" width="12.42578125" customWidth="1"/>
    <col min="14863" max="14863" width="12.85546875" customWidth="1"/>
    <col min="14864" max="14864" width="12" customWidth="1"/>
    <col min="14865" max="14865" width="12.7109375" customWidth="1"/>
    <col min="14866" max="14866" width="14.85546875" customWidth="1"/>
    <col min="14867" max="14867" width="10.7109375" customWidth="1"/>
    <col min="14868" max="14868" width="11" customWidth="1"/>
    <col min="14869" max="14869" width="10.85546875" customWidth="1"/>
    <col min="14870" max="14870" width="12.42578125" customWidth="1"/>
    <col min="14871" max="14871" width="11.42578125" customWidth="1"/>
    <col min="14872" max="14872" width="13.7109375" customWidth="1"/>
    <col min="15105" max="15106" width="5.42578125" customWidth="1"/>
    <col min="15107" max="15107" width="32.140625" customWidth="1"/>
    <col min="15108" max="15108" width="6.5703125" customWidth="1"/>
    <col min="15109" max="15109" width="8.42578125" customWidth="1"/>
    <col min="15110" max="15110" width="5.85546875" customWidth="1"/>
    <col min="15112" max="15113" width="14.5703125" customWidth="1"/>
    <col min="15114" max="15114" width="13.5703125" customWidth="1"/>
    <col min="15115" max="15115" width="11.5703125" customWidth="1"/>
    <col min="15116" max="15116" width="12.85546875" customWidth="1"/>
    <col min="15117" max="15117" width="12.140625" customWidth="1"/>
    <col min="15118" max="15118" width="12.42578125" customWidth="1"/>
    <col min="15119" max="15119" width="12.85546875" customWidth="1"/>
    <col min="15120" max="15120" width="12" customWidth="1"/>
    <col min="15121" max="15121" width="12.7109375" customWidth="1"/>
    <col min="15122" max="15122" width="14.85546875" customWidth="1"/>
    <col min="15123" max="15123" width="10.7109375" customWidth="1"/>
    <col min="15124" max="15124" width="11" customWidth="1"/>
    <col min="15125" max="15125" width="10.85546875" customWidth="1"/>
    <col min="15126" max="15126" width="12.42578125" customWidth="1"/>
    <col min="15127" max="15127" width="11.42578125" customWidth="1"/>
    <col min="15128" max="15128" width="13.7109375" customWidth="1"/>
    <col min="15361" max="15362" width="5.42578125" customWidth="1"/>
    <col min="15363" max="15363" width="32.140625" customWidth="1"/>
    <col min="15364" max="15364" width="6.5703125" customWidth="1"/>
    <col min="15365" max="15365" width="8.42578125" customWidth="1"/>
    <col min="15366" max="15366" width="5.85546875" customWidth="1"/>
    <col min="15368" max="15369" width="14.5703125" customWidth="1"/>
    <col min="15370" max="15370" width="13.5703125" customWidth="1"/>
    <col min="15371" max="15371" width="11.5703125" customWidth="1"/>
    <col min="15372" max="15372" width="12.85546875" customWidth="1"/>
    <col min="15373" max="15373" width="12.140625" customWidth="1"/>
    <col min="15374" max="15374" width="12.42578125" customWidth="1"/>
    <col min="15375" max="15375" width="12.85546875" customWidth="1"/>
    <col min="15376" max="15376" width="12" customWidth="1"/>
    <col min="15377" max="15377" width="12.7109375" customWidth="1"/>
    <col min="15378" max="15378" width="14.85546875" customWidth="1"/>
    <col min="15379" max="15379" width="10.7109375" customWidth="1"/>
    <col min="15380" max="15380" width="11" customWidth="1"/>
    <col min="15381" max="15381" width="10.85546875" customWidth="1"/>
    <col min="15382" max="15382" width="12.42578125" customWidth="1"/>
    <col min="15383" max="15383" width="11.42578125" customWidth="1"/>
    <col min="15384" max="15384" width="13.7109375" customWidth="1"/>
    <col min="15617" max="15618" width="5.42578125" customWidth="1"/>
    <col min="15619" max="15619" width="32.140625" customWidth="1"/>
    <col min="15620" max="15620" width="6.5703125" customWidth="1"/>
    <col min="15621" max="15621" width="8.42578125" customWidth="1"/>
    <col min="15622" max="15622" width="5.85546875" customWidth="1"/>
    <col min="15624" max="15625" width="14.5703125" customWidth="1"/>
    <col min="15626" max="15626" width="13.5703125" customWidth="1"/>
    <col min="15627" max="15627" width="11.5703125" customWidth="1"/>
    <col min="15628" max="15628" width="12.85546875" customWidth="1"/>
    <col min="15629" max="15629" width="12.140625" customWidth="1"/>
    <col min="15630" max="15630" width="12.42578125" customWidth="1"/>
    <col min="15631" max="15631" width="12.85546875" customWidth="1"/>
    <col min="15632" max="15632" width="12" customWidth="1"/>
    <col min="15633" max="15633" width="12.7109375" customWidth="1"/>
    <col min="15634" max="15634" width="14.85546875" customWidth="1"/>
    <col min="15635" max="15635" width="10.7109375" customWidth="1"/>
    <col min="15636" max="15636" width="11" customWidth="1"/>
    <col min="15637" max="15637" width="10.85546875" customWidth="1"/>
    <col min="15638" max="15638" width="12.42578125" customWidth="1"/>
    <col min="15639" max="15639" width="11.42578125" customWidth="1"/>
    <col min="15640" max="15640" width="13.7109375" customWidth="1"/>
    <col min="15873" max="15874" width="5.42578125" customWidth="1"/>
    <col min="15875" max="15875" width="32.140625" customWidth="1"/>
    <col min="15876" max="15876" width="6.5703125" customWidth="1"/>
    <col min="15877" max="15877" width="8.42578125" customWidth="1"/>
    <col min="15878" max="15878" width="5.85546875" customWidth="1"/>
    <col min="15880" max="15881" width="14.5703125" customWidth="1"/>
    <col min="15882" max="15882" width="13.5703125" customWidth="1"/>
    <col min="15883" max="15883" width="11.5703125" customWidth="1"/>
    <col min="15884" max="15884" width="12.85546875" customWidth="1"/>
    <col min="15885" max="15885" width="12.140625" customWidth="1"/>
    <col min="15886" max="15886" width="12.42578125" customWidth="1"/>
    <col min="15887" max="15887" width="12.85546875" customWidth="1"/>
    <col min="15888" max="15888" width="12" customWidth="1"/>
    <col min="15889" max="15889" width="12.7109375" customWidth="1"/>
    <col min="15890" max="15890" width="14.85546875" customWidth="1"/>
    <col min="15891" max="15891" width="10.7109375" customWidth="1"/>
    <col min="15892" max="15892" width="11" customWidth="1"/>
    <col min="15893" max="15893" width="10.85546875" customWidth="1"/>
    <col min="15894" max="15894" width="12.42578125" customWidth="1"/>
    <col min="15895" max="15895" width="11.42578125" customWidth="1"/>
    <col min="15896" max="15896" width="13.7109375" customWidth="1"/>
    <col min="16129" max="16130" width="5.42578125" customWidth="1"/>
    <col min="16131" max="16131" width="32.140625" customWidth="1"/>
    <col min="16132" max="16132" width="6.5703125" customWidth="1"/>
    <col min="16133" max="16133" width="8.42578125" customWidth="1"/>
    <col min="16134" max="16134" width="5.85546875" customWidth="1"/>
    <col min="16136" max="16137" width="14.5703125" customWidth="1"/>
    <col min="16138" max="16138" width="13.5703125" customWidth="1"/>
    <col min="16139" max="16139" width="11.5703125" customWidth="1"/>
    <col min="16140" max="16140" width="12.85546875" customWidth="1"/>
    <col min="16141" max="16141" width="12.140625" customWidth="1"/>
    <col min="16142" max="16142" width="12.42578125" customWidth="1"/>
    <col min="16143" max="16143" width="12.85546875" customWidth="1"/>
    <col min="16144" max="16144" width="12" customWidth="1"/>
    <col min="16145" max="16145" width="12.7109375" customWidth="1"/>
    <col min="16146" max="16146" width="14.85546875" customWidth="1"/>
    <col min="16147" max="16147" width="10.7109375" customWidth="1"/>
    <col min="16148" max="16148" width="11" customWidth="1"/>
    <col min="16149" max="16149" width="10.85546875" customWidth="1"/>
    <col min="16150" max="16150" width="12.42578125" customWidth="1"/>
    <col min="16151" max="16151" width="11.42578125" customWidth="1"/>
    <col min="16152" max="16152" width="13.7109375" customWidth="1"/>
  </cols>
  <sheetData>
    <row r="1" spans="1:24" ht="27"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4" ht="15" x14ac:dyDescent="0.25">
      <c r="A2" s="1069"/>
      <c r="B2" s="1069"/>
      <c r="C2" s="1070"/>
      <c r="D2" s="1071"/>
      <c r="E2" s="1071"/>
      <c r="F2" s="1071"/>
      <c r="G2" s="1071"/>
      <c r="H2" s="1071"/>
      <c r="I2" s="1071"/>
      <c r="J2" s="1071"/>
      <c r="K2" s="1071"/>
      <c r="L2" s="1071"/>
      <c r="M2" s="1071"/>
      <c r="N2" s="1071"/>
      <c r="O2" s="1071"/>
      <c r="P2" s="1071"/>
      <c r="Q2" s="1071"/>
      <c r="R2" s="1071"/>
      <c r="S2" s="1071"/>
      <c r="T2" s="1071"/>
      <c r="U2" s="1071"/>
      <c r="V2" s="1071"/>
      <c r="W2" s="1071"/>
      <c r="X2" s="1071"/>
    </row>
    <row r="3" spans="1:24" ht="15" x14ac:dyDescent="0.25">
      <c r="A3" s="2118" t="s">
        <v>618</v>
      </c>
      <c r="B3" s="2118"/>
      <c r="C3" s="2118"/>
      <c r="D3" s="2118"/>
      <c r="E3" s="2118"/>
      <c r="F3" s="2118"/>
      <c r="G3" s="2118"/>
      <c r="H3" s="2118"/>
      <c r="I3" s="2118"/>
      <c r="J3" s="2118"/>
      <c r="K3" s="2118"/>
      <c r="L3" s="2118"/>
      <c r="M3" s="2118"/>
      <c r="N3" s="2118"/>
      <c r="O3" s="2118"/>
      <c r="P3" s="2118"/>
      <c r="Q3" s="2118"/>
      <c r="R3" s="2118"/>
      <c r="S3" s="2118"/>
      <c r="T3" s="2118"/>
      <c r="U3" s="2118"/>
      <c r="V3" s="2118"/>
      <c r="W3" s="2118"/>
      <c r="X3" s="2118"/>
    </row>
    <row r="4" spans="1:24" ht="15" x14ac:dyDescent="0.25">
      <c r="A4" s="964"/>
      <c r="B4" s="964"/>
      <c r="C4" s="965"/>
      <c r="D4" s="937"/>
      <c r="E4" s="937"/>
      <c r="F4" s="937"/>
      <c r="G4" s="937"/>
      <c r="H4" s="937"/>
      <c r="I4" s="937"/>
      <c r="J4" s="937"/>
      <c r="K4" s="937"/>
      <c r="L4" s="937"/>
      <c r="M4" s="937"/>
      <c r="N4" s="937"/>
      <c r="O4" s="937"/>
      <c r="P4" s="937"/>
      <c r="Q4" s="1072"/>
      <c r="R4" s="937"/>
      <c r="S4" s="937"/>
      <c r="T4" s="937"/>
      <c r="U4" s="937"/>
      <c r="V4" s="937"/>
      <c r="W4" s="937"/>
      <c r="X4" s="937"/>
    </row>
    <row r="5" spans="1:24" ht="15" x14ac:dyDescent="0.25">
      <c r="A5" s="2005" t="s">
        <v>37</v>
      </c>
      <c r="B5" s="1773" t="s">
        <v>1640</v>
      </c>
      <c r="C5" s="2008" t="s">
        <v>2</v>
      </c>
      <c r="D5" s="1997" t="s">
        <v>1641</v>
      </c>
      <c r="E5" s="1997" t="s">
        <v>116</v>
      </c>
      <c r="F5" s="1997" t="s">
        <v>1642</v>
      </c>
      <c r="G5" s="1997" t="s">
        <v>1643</v>
      </c>
      <c r="H5" s="1999" t="s">
        <v>1644</v>
      </c>
      <c r="I5" s="1999"/>
      <c r="J5" s="1999"/>
      <c r="K5" s="1999"/>
      <c r="L5" s="1999"/>
      <c r="M5" s="1999"/>
      <c r="N5" s="1999"/>
      <c r="O5" s="2000"/>
      <c r="P5" s="940"/>
      <c r="Q5" s="2027" t="s">
        <v>1645</v>
      </c>
      <c r="R5" s="1999"/>
      <c r="S5" s="1999"/>
      <c r="T5" s="1999"/>
      <c r="U5" s="1999"/>
      <c r="V5" s="1999"/>
      <c r="W5" s="1999"/>
      <c r="X5" s="2012"/>
    </row>
    <row r="6" spans="1:24" ht="84" customHeight="1" x14ac:dyDescent="0.2">
      <c r="A6" s="2006"/>
      <c r="B6" s="1774"/>
      <c r="C6" s="2009"/>
      <c r="D6" s="1998"/>
      <c r="E6" s="1998"/>
      <c r="F6" s="1998"/>
      <c r="G6" s="1998"/>
      <c r="H6" s="941" t="s">
        <v>1667</v>
      </c>
      <c r="I6" s="941" t="s">
        <v>1722</v>
      </c>
      <c r="J6" s="941" t="s">
        <v>1718</v>
      </c>
      <c r="K6" s="941" t="s">
        <v>1649</v>
      </c>
      <c r="L6" s="941" t="s">
        <v>1650</v>
      </c>
      <c r="M6" s="941" t="s">
        <v>1651</v>
      </c>
      <c r="N6" s="941" t="s">
        <v>1652</v>
      </c>
      <c r="O6" s="942" t="s">
        <v>1653</v>
      </c>
      <c r="P6" s="944" t="s">
        <v>1654</v>
      </c>
      <c r="Q6" s="943" t="s">
        <v>1655</v>
      </c>
      <c r="R6" s="942" t="s">
        <v>1656</v>
      </c>
      <c r="S6" s="941" t="s">
        <v>1657</v>
      </c>
      <c r="T6" s="941" t="s">
        <v>1658</v>
      </c>
      <c r="U6" s="942" t="s">
        <v>1659</v>
      </c>
      <c r="V6" s="942" t="s">
        <v>1660</v>
      </c>
      <c r="W6" s="942" t="s">
        <v>1661</v>
      </c>
      <c r="X6" s="944" t="s">
        <v>1662</v>
      </c>
    </row>
    <row r="7" spans="1:24" ht="30.75" customHeight="1" x14ac:dyDescent="0.2">
      <c r="A7" s="1418" t="s">
        <v>194</v>
      </c>
      <c r="B7" s="1420" t="s">
        <v>204</v>
      </c>
      <c r="C7" s="945" t="s">
        <v>1928</v>
      </c>
      <c r="D7" s="974" t="s">
        <v>1929</v>
      </c>
      <c r="E7" s="1011" t="s">
        <v>162</v>
      </c>
      <c r="F7" s="1011" t="s">
        <v>131</v>
      </c>
      <c r="G7" s="1011" t="s">
        <v>1766</v>
      </c>
      <c r="H7" s="1073">
        <f>-858900+858900</f>
        <v>0</v>
      </c>
      <c r="I7" s="1074"/>
      <c r="J7" s="1073"/>
      <c r="K7" s="1073"/>
      <c r="L7" s="1073"/>
      <c r="M7" s="1073"/>
      <c r="N7" s="1073"/>
      <c r="O7" s="1074"/>
      <c r="P7" s="1075"/>
      <c r="Q7" s="1076"/>
      <c r="R7" s="1074"/>
      <c r="S7" s="1073"/>
      <c r="T7" s="1073"/>
      <c r="U7" s="1074"/>
      <c r="V7" s="1074"/>
      <c r="W7" s="1074"/>
      <c r="X7" s="1075"/>
    </row>
    <row r="8" spans="1:24" ht="35.25" customHeight="1" x14ac:dyDescent="0.2">
      <c r="A8" s="2024" t="s">
        <v>195</v>
      </c>
      <c r="B8" s="2023" t="s">
        <v>231</v>
      </c>
      <c r="C8" s="2026" t="s">
        <v>2537</v>
      </c>
      <c r="D8" s="978" t="s">
        <v>1929</v>
      </c>
      <c r="E8" s="1000" t="s">
        <v>1297</v>
      </c>
      <c r="F8" s="1000" t="s">
        <v>127</v>
      </c>
      <c r="G8" s="1000" t="s">
        <v>1754</v>
      </c>
      <c r="H8" s="1077"/>
      <c r="I8" s="1078"/>
      <c r="J8" s="1077"/>
      <c r="K8" s="1077"/>
      <c r="L8" s="1077"/>
      <c r="M8" s="1077"/>
      <c r="N8" s="1077"/>
      <c r="O8" s="1078"/>
      <c r="P8" s="1079"/>
      <c r="Q8" s="1080"/>
      <c r="R8" s="1078"/>
      <c r="S8" s="1077"/>
      <c r="T8" s="1077"/>
      <c r="U8" s="1078"/>
      <c r="V8" s="1078"/>
      <c r="W8" s="1078"/>
      <c r="X8" s="1079">
        <v>250000</v>
      </c>
    </row>
    <row r="9" spans="1:24" ht="46.5" customHeight="1" x14ac:dyDescent="0.2">
      <c r="A9" s="2024"/>
      <c r="B9" s="2023"/>
      <c r="C9" s="2026"/>
      <c r="D9" s="978" t="s">
        <v>1929</v>
      </c>
      <c r="E9" s="1000" t="s">
        <v>162</v>
      </c>
      <c r="F9" s="1000" t="s">
        <v>151</v>
      </c>
      <c r="G9" s="1000" t="s">
        <v>1754</v>
      </c>
      <c r="H9" s="1077"/>
      <c r="I9" s="1077"/>
      <c r="J9" s="1077">
        <f>196850+53150</f>
        <v>250000</v>
      </c>
      <c r="K9" s="1077"/>
      <c r="L9" s="1077"/>
      <c r="M9" s="1077"/>
      <c r="N9" s="1077"/>
      <c r="O9" s="1077"/>
      <c r="P9" s="1079"/>
      <c r="Q9" s="1081"/>
      <c r="R9" s="1077"/>
      <c r="S9" s="1077"/>
      <c r="T9" s="1077"/>
      <c r="U9" s="1077"/>
      <c r="V9" s="1077"/>
      <c r="W9" s="1077"/>
      <c r="X9" s="1079"/>
    </row>
    <row r="10" spans="1:24" ht="18" customHeight="1" x14ac:dyDescent="0.2">
      <c r="A10" s="2024" t="s">
        <v>196</v>
      </c>
      <c r="B10" s="2023" t="s">
        <v>232</v>
      </c>
      <c r="C10" s="2026" t="s">
        <v>1931</v>
      </c>
      <c r="D10" s="978" t="s">
        <v>1932</v>
      </c>
      <c r="E10" s="1000" t="s">
        <v>1297</v>
      </c>
      <c r="F10" s="1000" t="s">
        <v>127</v>
      </c>
      <c r="G10" s="1000" t="s">
        <v>1754</v>
      </c>
      <c r="H10" s="1077"/>
      <c r="I10" s="1077"/>
      <c r="J10" s="1077"/>
      <c r="K10" s="1077"/>
      <c r="L10" s="1077"/>
      <c r="M10" s="1077"/>
      <c r="N10" s="1077"/>
      <c r="O10" s="1077"/>
      <c r="P10" s="1079"/>
      <c r="Q10" s="1081"/>
      <c r="R10" s="1077"/>
      <c r="S10" s="1077"/>
      <c r="T10" s="1077"/>
      <c r="U10" s="1077"/>
      <c r="V10" s="1077"/>
      <c r="W10" s="1077"/>
      <c r="X10" s="1079">
        <v>6705600</v>
      </c>
    </row>
    <row r="11" spans="1:24" ht="18" customHeight="1" x14ac:dyDescent="0.2">
      <c r="A11" s="2024"/>
      <c r="B11" s="2023"/>
      <c r="C11" s="2026"/>
      <c r="D11" s="978" t="s">
        <v>1929</v>
      </c>
      <c r="E11" s="1000" t="s">
        <v>162</v>
      </c>
      <c r="F11" s="1000" t="s">
        <v>90</v>
      </c>
      <c r="G11" s="1082" t="s">
        <v>1754</v>
      </c>
      <c r="H11" s="1077"/>
      <c r="I11" s="1077"/>
      <c r="J11" s="1077">
        <f>5280000+1425600</f>
        <v>6705600</v>
      </c>
      <c r="K11" s="1077"/>
      <c r="L11" s="1077"/>
      <c r="M11" s="1077"/>
      <c r="N11" s="1077"/>
      <c r="O11" s="1077"/>
      <c r="P11" s="1079"/>
      <c r="Q11" s="1081"/>
      <c r="R11" s="1077"/>
      <c r="S11" s="1077"/>
      <c r="T11" s="1077"/>
      <c r="U11" s="1077"/>
      <c r="V11" s="1077"/>
      <c r="W11" s="1077"/>
      <c r="X11" s="1079"/>
    </row>
    <row r="12" spans="1:24" ht="42.75" customHeight="1" x14ac:dyDescent="0.2">
      <c r="A12" s="1423" t="s">
        <v>197</v>
      </c>
      <c r="B12" s="1422" t="s">
        <v>233</v>
      </c>
      <c r="C12" s="952" t="s">
        <v>2036</v>
      </c>
      <c r="D12" s="978" t="s">
        <v>1929</v>
      </c>
      <c r="E12" s="1000" t="s">
        <v>162</v>
      </c>
      <c r="F12" s="1000" t="s">
        <v>90</v>
      </c>
      <c r="G12" s="1082" t="s">
        <v>1766</v>
      </c>
      <c r="H12" s="1077"/>
      <c r="I12" s="1077"/>
      <c r="J12" s="1077"/>
      <c r="K12" s="1077"/>
      <c r="L12" s="1077"/>
      <c r="M12" s="1077">
        <f>-18700+18700</f>
        <v>0</v>
      </c>
      <c r="N12" s="1077"/>
      <c r="O12" s="1077"/>
      <c r="P12" s="1079"/>
      <c r="Q12" s="1081"/>
      <c r="R12" s="1077"/>
      <c r="S12" s="1077"/>
      <c r="T12" s="1077"/>
      <c r="U12" s="1077"/>
      <c r="V12" s="1077"/>
      <c r="W12" s="1077"/>
      <c r="X12" s="1079"/>
    </row>
    <row r="13" spans="1:24" ht="29.25" customHeight="1" x14ac:dyDescent="0.2">
      <c r="A13" s="2024" t="s">
        <v>198</v>
      </c>
      <c r="B13" s="2023" t="s">
        <v>234</v>
      </c>
      <c r="C13" s="2026" t="s">
        <v>2092</v>
      </c>
      <c r="D13" s="978" t="s">
        <v>1929</v>
      </c>
      <c r="E13" s="1000" t="s">
        <v>162</v>
      </c>
      <c r="F13" s="1000" t="s">
        <v>90</v>
      </c>
      <c r="G13" s="1082" t="s">
        <v>1766</v>
      </c>
      <c r="H13" s="1077" t="s">
        <v>2093</v>
      </c>
      <c r="I13" s="1077"/>
      <c r="J13" s="1077">
        <f>-157480-42520+200000</f>
        <v>0</v>
      </c>
      <c r="K13" s="1077"/>
      <c r="L13" s="1077"/>
      <c r="M13" s="1077"/>
      <c r="N13" s="1077"/>
      <c r="O13" s="1077"/>
      <c r="P13" s="1079"/>
      <c r="Q13" s="1081"/>
      <c r="R13" s="1077"/>
      <c r="S13" s="1077"/>
      <c r="T13" s="1077"/>
      <c r="U13" s="1077"/>
      <c r="V13" s="1077"/>
      <c r="W13" s="1077"/>
      <c r="X13" s="1079"/>
    </row>
    <row r="14" spans="1:24" ht="29.25" customHeight="1" x14ac:dyDescent="0.2">
      <c r="A14" s="2024"/>
      <c r="B14" s="2023"/>
      <c r="C14" s="2026"/>
      <c r="D14" s="978" t="s">
        <v>1929</v>
      </c>
      <c r="E14" s="1000" t="s">
        <v>162</v>
      </c>
      <c r="F14" s="1000" t="s">
        <v>131</v>
      </c>
      <c r="G14" s="1082" t="s">
        <v>1766</v>
      </c>
      <c r="H14" s="1077"/>
      <c r="I14" s="1077"/>
      <c r="J14" s="1077">
        <f>-157480-42520+200000</f>
        <v>0</v>
      </c>
      <c r="K14" s="1077"/>
      <c r="L14" s="1077"/>
      <c r="M14" s="1077"/>
      <c r="N14" s="1077"/>
      <c r="O14" s="1077"/>
      <c r="P14" s="1079"/>
      <c r="Q14" s="1081"/>
      <c r="R14" s="1077"/>
      <c r="S14" s="1077"/>
      <c r="T14" s="1077"/>
      <c r="U14" s="1077"/>
      <c r="V14" s="1077"/>
      <c r="W14" s="1077"/>
      <c r="X14" s="1079"/>
    </row>
    <row r="15" spans="1:24" ht="21" customHeight="1" x14ac:dyDescent="0.2">
      <c r="A15" s="1419"/>
      <c r="B15" s="1421"/>
      <c r="C15" s="1090"/>
      <c r="D15" s="983"/>
      <c r="E15" s="1083"/>
      <c r="F15" s="1083"/>
      <c r="G15" s="1084"/>
      <c r="H15" s="1331"/>
      <c r="I15" s="1331"/>
      <c r="J15" s="1332"/>
      <c r="K15" s="1331"/>
      <c r="L15" s="1331"/>
      <c r="M15" s="1331"/>
      <c r="N15" s="1331"/>
      <c r="O15" s="1331"/>
      <c r="P15" s="1333"/>
      <c r="Q15" s="1087"/>
      <c r="R15" s="1085"/>
      <c r="S15" s="1085"/>
      <c r="T15" s="1085"/>
      <c r="U15" s="1085"/>
      <c r="V15" s="1085"/>
      <c r="W15" s="1085"/>
      <c r="X15" s="1086"/>
    </row>
    <row r="16" spans="1:24" ht="18.75" x14ac:dyDescent="0.3">
      <c r="A16" s="2116" t="s">
        <v>1663</v>
      </c>
      <c r="B16" s="2117"/>
      <c r="C16" s="2117"/>
      <c r="D16" s="956"/>
      <c r="E16" s="956"/>
      <c r="F16" s="956"/>
      <c r="G16" s="956"/>
      <c r="H16" s="1595">
        <f t="shared" ref="H16:X16" si="0">SUM(H7:H15)</f>
        <v>0</v>
      </c>
      <c r="I16" s="1595">
        <f t="shared" si="0"/>
        <v>0</v>
      </c>
      <c r="J16" s="1595">
        <f t="shared" si="0"/>
        <v>6955600</v>
      </c>
      <c r="K16" s="1595">
        <f t="shared" si="0"/>
        <v>0</v>
      </c>
      <c r="L16" s="1595">
        <f t="shared" si="0"/>
        <v>0</v>
      </c>
      <c r="M16" s="1595">
        <f t="shared" si="0"/>
        <v>0</v>
      </c>
      <c r="N16" s="1595">
        <f t="shared" si="0"/>
        <v>0</v>
      </c>
      <c r="O16" s="1595">
        <f t="shared" si="0"/>
        <v>0</v>
      </c>
      <c r="P16" s="1596">
        <f t="shared" si="0"/>
        <v>0</v>
      </c>
      <c r="Q16" s="1597">
        <f t="shared" si="0"/>
        <v>0</v>
      </c>
      <c r="R16" s="1595">
        <f t="shared" si="0"/>
        <v>0</v>
      </c>
      <c r="S16" s="1595">
        <f t="shared" si="0"/>
        <v>0</v>
      </c>
      <c r="T16" s="1595">
        <f t="shared" si="0"/>
        <v>0</v>
      </c>
      <c r="U16" s="1595">
        <f t="shared" si="0"/>
        <v>0</v>
      </c>
      <c r="V16" s="1595">
        <f t="shared" si="0"/>
        <v>0</v>
      </c>
      <c r="W16" s="1595">
        <f t="shared" si="0"/>
        <v>0</v>
      </c>
      <c r="X16" s="1596">
        <f t="shared" si="0"/>
        <v>6955600</v>
      </c>
    </row>
    <row r="17" spans="1:24" ht="15.75" customHeight="1" x14ac:dyDescent="0.25">
      <c r="A17" s="968"/>
      <c r="B17" s="968"/>
      <c r="C17" s="968"/>
      <c r="D17" s="968"/>
      <c r="E17" s="968"/>
      <c r="F17" s="968"/>
      <c r="G17" s="968"/>
      <c r="H17" s="968"/>
      <c r="I17" s="968"/>
      <c r="J17" s="968"/>
      <c r="K17" s="968"/>
      <c r="L17" s="968"/>
      <c r="M17" s="968"/>
      <c r="N17" s="968"/>
      <c r="O17" s="968"/>
      <c r="P17" s="968"/>
      <c r="Q17" s="968"/>
      <c r="R17" s="968"/>
      <c r="S17" s="968"/>
      <c r="T17" s="968"/>
      <c r="U17" s="968"/>
      <c r="V17" s="968"/>
      <c r="W17" s="968"/>
      <c r="X17" s="968"/>
    </row>
    <row r="18" spans="1:24" ht="15" x14ac:dyDescent="0.25">
      <c r="A18" s="968"/>
      <c r="B18" s="968"/>
      <c r="C18" s="968"/>
      <c r="D18" s="968"/>
      <c r="E18" s="968"/>
      <c r="F18" s="968"/>
      <c r="G18" s="968"/>
      <c r="H18" s="995"/>
      <c r="I18" s="995"/>
      <c r="J18" s="995"/>
      <c r="K18" s="995"/>
      <c r="L18" s="995"/>
      <c r="M18" s="995"/>
      <c r="N18" s="995"/>
      <c r="O18" s="995"/>
      <c r="P18" s="995"/>
      <c r="Q18" s="995"/>
      <c r="R18" s="995"/>
      <c r="S18" s="995"/>
      <c r="T18" s="995"/>
      <c r="U18" s="995"/>
      <c r="V18" s="995"/>
      <c r="W18" s="995"/>
      <c r="X18" s="995"/>
    </row>
    <row r="19" spans="1:24" ht="15" x14ac:dyDescent="0.25">
      <c r="A19" s="968"/>
      <c r="B19" s="968"/>
      <c r="C19" s="968"/>
      <c r="D19" s="968"/>
      <c r="E19" s="968"/>
      <c r="F19" s="968"/>
      <c r="G19" s="968"/>
      <c r="H19" s="968"/>
      <c r="I19" s="968"/>
      <c r="J19" s="968"/>
      <c r="K19" s="968"/>
      <c r="L19" s="968"/>
      <c r="M19" s="968"/>
      <c r="N19" s="968"/>
      <c r="O19" s="968"/>
      <c r="P19" s="968"/>
      <c r="Q19" s="968"/>
      <c r="R19" s="968"/>
      <c r="S19" s="968"/>
      <c r="T19" s="968"/>
      <c r="U19" s="968"/>
      <c r="V19" s="968"/>
      <c r="W19" s="968"/>
      <c r="X19" s="968"/>
    </row>
    <row r="20" spans="1:24" ht="22.5" customHeight="1" x14ac:dyDescent="0.25">
      <c r="A20" s="968"/>
      <c r="B20" s="968"/>
      <c r="C20" s="968"/>
      <c r="D20" s="968"/>
      <c r="E20" s="968"/>
      <c r="F20" s="968"/>
      <c r="G20" s="968"/>
      <c r="H20" s="995"/>
      <c r="I20" s="2042" t="s">
        <v>1664</v>
      </c>
      <c r="J20" s="2042"/>
      <c r="K20" s="2042"/>
      <c r="L20" s="2042">
        <v>321449261</v>
      </c>
      <c r="M20" s="2042"/>
      <c r="N20" s="996"/>
      <c r="O20" s="996"/>
      <c r="P20" s="996"/>
      <c r="Q20" s="996"/>
      <c r="R20" s="2042" t="s">
        <v>1665</v>
      </c>
      <c r="S20" s="2042"/>
      <c r="T20" s="2042"/>
      <c r="U20" s="2042">
        <v>321449261</v>
      </c>
      <c r="V20" s="2042"/>
      <c r="W20" s="995"/>
      <c r="X20" s="995"/>
    </row>
    <row r="21" spans="1:24" ht="22.5" customHeight="1" x14ac:dyDescent="0.25">
      <c r="A21" s="968"/>
      <c r="B21" s="968"/>
      <c r="C21" s="968"/>
      <c r="D21" s="968"/>
      <c r="E21" s="968"/>
      <c r="F21" s="968"/>
      <c r="G21" s="968"/>
      <c r="H21" s="995"/>
      <c r="I21" s="2042" t="s">
        <v>1666</v>
      </c>
      <c r="J21" s="2042"/>
      <c r="K21" s="2042"/>
      <c r="L21" s="2042">
        <f>SUM(H16:P16)</f>
        <v>6955600</v>
      </c>
      <c r="M21" s="2042"/>
      <c r="N21" s="996"/>
      <c r="O21" s="996"/>
      <c r="P21" s="996"/>
      <c r="Q21" s="996"/>
      <c r="R21" s="2042" t="s">
        <v>1666</v>
      </c>
      <c r="S21" s="2042"/>
      <c r="T21" s="2042"/>
      <c r="U21" s="2042">
        <f>SUM(Q16:X16)</f>
        <v>6955600</v>
      </c>
      <c r="V21" s="2042"/>
      <c r="W21" s="995"/>
      <c r="X21" s="995"/>
    </row>
    <row r="22" spans="1:24" ht="22.5" customHeight="1" x14ac:dyDescent="0.25">
      <c r="A22" s="968"/>
      <c r="B22" s="968"/>
      <c r="C22" s="968"/>
      <c r="D22" s="968"/>
      <c r="E22" s="968"/>
      <c r="F22" s="968"/>
      <c r="G22" s="968"/>
      <c r="H22" s="995"/>
      <c r="I22" s="2042" t="s">
        <v>1512</v>
      </c>
      <c r="J22" s="2042"/>
      <c r="K22" s="2042"/>
      <c r="L22" s="2042">
        <f>+L20+L21</f>
        <v>328404861</v>
      </c>
      <c r="M22" s="2042"/>
      <c r="N22" s="996"/>
      <c r="O22" s="996"/>
      <c r="P22" s="996"/>
      <c r="Q22" s="996"/>
      <c r="R22" s="2042" t="s">
        <v>1512</v>
      </c>
      <c r="S22" s="2042"/>
      <c r="T22" s="2042"/>
      <c r="U22" s="2042">
        <f>+U20+U21</f>
        <v>328404861</v>
      </c>
      <c r="V22" s="2042"/>
      <c r="W22" s="995"/>
      <c r="X22" s="995"/>
    </row>
    <row r="23" spans="1:24" x14ac:dyDescent="0.2">
      <c r="A23" s="314"/>
      <c r="B23" s="314"/>
      <c r="C23" s="314"/>
      <c r="D23" s="314"/>
      <c r="E23" s="314"/>
      <c r="F23" s="314"/>
      <c r="G23" s="314"/>
      <c r="H23" s="314"/>
      <c r="I23" s="314"/>
      <c r="J23" s="314"/>
      <c r="K23" s="314"/>
      <c r="L23" s="314"/>
      <c r="M23" s="314"/>
      <c r="N23" s="314"/>
      <c r="O23" s="314"/>
      <c r="P23" s="314"/>
      <c r="Q23" s="314"/>
      <c r="R23" s="314"/>
      <c r="S23" s="314"/>
      <c r="T23" s="314"/>
      <c r="U23" s="314"/>
      <c r="V23" s="314"/>
      <c r="W23" s="314"/>
      <c r="X23" s="314"/>
    </row>
    <row r="24" spans="1:24" x14ac:dyDescent="0.2">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row>
    <row r="25" spans="1:24" x14ac:dyDescent="0.2">
      <c r="A25" s="314"/>
      <c r="B25" s="314"/>
      <c r="C25" s="314"/>
      <c r="D25" s="314"/>
      <c r="E25" s="314"/>
      <c r="F25" s="314"/>
      <c r="G25" s="314"/>
      <c r="H25" s="314"/>
      <c r="I25" s="314"/>
      <c r="J25" s="314"/>
      <c r="K25" s="314"/>
      <c r="L25" s="314"/>
      <c r="M25" s="314"/>
      <c r="N25" s="314"/>
      <c r="O25" s="314"/>
      <c r="P25" s="314"/>
      <c r="Q25" s="314"/>
      <c r="R25" s="314"/>
      <c r="S25" s="314"/>
      <c r="T25" s="314"/>
      <c r="U25" s="314"/>
      <c r="V25" s="314"/>
      <c r="W25" s="314"/>
      <c r="X25" s="314"/>
    </row>
    <row r="26" spans="1:24" x14ac:dyDescent="0.2">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row>
    <row r="27" spans="1:24" x14ac:dyDescent="0.2">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row>
    <row r="28" spans="1:24" x14ac:dyDescent="0.2">
      <c r="A28" s="314"/>
      <c r="B28" s="314"/>
      <c r="C28" s="314"/>
      <c r="D28" s="314"/>
      <c r="E28" s="314"/>
      <c r="F28" s="314"/>
      <c r="G28" s="314"/>
      <c r="H28" s="314"/>
      <c r="I28" s="314"/>
      <c r="J28" s="314"/>
      <c r="K28" s="314"/>
      <c r="L28" s="314"/>
      <c r="M28" s="314"/>
      <c r="N28" s="314"/>
      <c r="O28" s="314"/>
      <c r="P28" s="314"/>
      <c r="Q28" s="314"/>
      <c r="R28" s="314"/>
      <c r="S28" s="314"/>
      <c r="T28" s="314"/>
      <c r="U28" s="314"/>
      <c r="V28" s="314"/>
      <c r="W28" s="314"/>
      <c r="X28" s="314"/>
    </row>
    <row r="29" spans="1:24" ht="15.75" x14ac:dyDescent="0.25">
      <c r="A29" s="2010" t="s">
        <v>2555</v>
      </c>
      <c r="B29" s="2010"/>
      <c r="C29" s="2010"/>
      <c r="D29" s="2010"/>
      <c r="E29" s="2010"/>
      <c r="F29" s="2010"/>
      <c r="G29" s="2010"/>
      <c r="H29" s="2010"/>
      <c r="I29" s="2010"/>
      <c r="J29" s="2010"/>
      <c r="K29" s="2010"/>
      <c r="L29" s="2010"/>
      <c r="M29" s="2010"/>
      <c r="N29" s="2010"/>
      <c r="O29" s="2010"/>
      <c r="P29" s="2010"/>
      <c r="Q29" s="2010"/>
      <c r="R29" s="2010"/>
      <c r="S29" s="2010"/>
      <c r="T29" s="2010"/>
      <c r="U29" s="2010"/>
      <c r="V29" s="2010"/>
      <c r="W29" s="2010"/>
      <c r="X29" s="2010"/>
    </row>
    <row r="30" spans="1:24" ht="24.75" customHeight="1" x14ac:dyDescent="0.25">
      <c r="A30" s="1069"/>
      <c r="B30" s="1069"/>
      <c r="C30" s="1070"/>
      <c r="D30" s="1071"/>
      <c r="E30" s="1071"/>
      <c r="F30" s="1071"/>
      <c r="G30" s="1071"/>
      <c r="H30" s="1071"/>
      <c r="I30" s="1071"/>
      <c r="J30" s="1071"/>
      <c r="K30" s="1071"/>
      <c r="L30" s="1071"/>
      <c r="M30" s="1071"/>
      <c r="N30" s="1071"/>
      <c r="O30" s="1071"/>
      <c r="P30" s="1071"/>
      <c r="Q30" s="1071"/>
      <c r="R30" s="1071"/>
      <c r="S30" s="1071"/>
      <c r="T30" s="1071"/>
      <c r="U30" s="1071"/>
      <c r="V30" s="1071"/>
      <c r="W30" s="1071"/>
      <c r="X30" s="1071"/>
    </row>
    <row r="31" spans="1:24" ht="15" x14ac:dyDescent="0.25">
      <c r="A31" s="2118" t="s">
        <v>618</v>
      </c>
      <c r="B31" s="2118"/>
      <c r="C31" s="2118"/>
      <c r="D31" s="2118"/>
      <c r="E31" s="2118"/>
      <c r="F31" s="2118"/>
      <c r="G31" s="2118"/>
      <c r="H31" s="2118"/>
      <c r="I31" s="2118"/>
      <c r="J31" s="2118"/>
      <c r="K31" s="2118"/>
      <c r="L31" s="2118"/>
      <c r="M31" s="2118"/>
      <c r="N31" s="2118"/>
      <c r="O31" s="2118"/>
      <c r="P31" s="2118"/>
      <c r="Q31" s="2118"/>
      <c r="R31" s="2118"/>
      <c r="S31" s="2118"/>
      <c r="T31" s="2118"/>
      <c r="U31" s="2118"/>
      <c r="V31" s="2118"/>
      <c r="W31" s="2118"/>
      <c r="X31" s="2118"/>
    </row>
    <row r="32" spans="1:24" ht="15" x14ac:dyDescent="0.25">
      <c r="A32" s="964"/>
      <c r="B32" s="964"/>
      <c r="C32" s="965"/>
      <c r="D32" s="937"/>
      <c r="E32" s="937"/>
      <c r="F32" s="937"/>
      <c r="G32" s="937"/>
      <c r="H32" s="937"/>
      <c r="I32" s="937"/>
      <c r="J32" s="937"/>
      <c r="K32" s="937"/>
      <c r="L32" s="937"/>
      <c r="M32" s="937"/>
      <c r="N32" s="937"/>
      <c r="O32" s="937"/>
      <c r="P32" s="937"/>
      <c r="Q32" s="937"/>
      <c r="R32" s="937"/>
      <c r="S32" s="937"/>
      <c r="T32" s="937"/>
      <c r="U32" s="937"/>
      <c r="V32" s="937"/>
      <c r="W32" s="937"/>
      <c r="X32" s="937"/>
    </row>
    <row r="33" spans="1:24" x14ac:dyDescent="0.2">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row>
    <row r="34" spans="1:24" ht="15" customHeight="1" x14ac:dyDescent="0.25">
      <c r="A34" s="2005" t="s">
        <v>37</v>
      </c>
      <c r="B34" s="1773" t="s">
        <v>1640</v>
      </c>
      <c r="C34" s="2008" t="s">
        <v>2</v>
      </c>
      <c r="D34" s="1997" t="s">
        <v>1641</v>
      </c>
      <c r="E34" s="1997" t="s">
        <v>116</v>
      </c>
      <c r="F34" s="1997" t="s">
        <v>1642</v>
      </c>
      <c r="G34" s="1997" t="s">
        <v>1643</v>
      </c>
      <c r="H34" s="1999" t="s">
        <v>1644</v>
      </c>
      <c r="I34" s="1999"/>
      <c r="J34" s="1999"/>
      <c r="K34" s="1999"/>
      <c r="L34" s="1999"/>
      <c r="M34" s="1999"/>
      <c r="N34" s="1999"/>
      <c r="O34" s="2000"/>
      <c r="P34" s="1248"/>
      <c r="Q34" s="2011" t="s">
        <v>1645</v>
      </c>
      <c r="R34" s="1999"/>
      <c r="S34" s="1999"/>
      <c r="T34" s="1999"/>
      <c r="U34" s="1999"/>
      <c r="V34" s="1999"/>
      <c r="W34" s="1999"/>
      <c r="X34" s="2012"/>
    </row>
    <row r="35" spans="1:24" ht="83.25" customHeight="1" x14ac:dyDescent="0.2">
      <c r="A35" s="2006"/>
      <c r="B35" s="1774"/>
      <c r="C35" s="2009"/>
      <c r="D35" s="1998"/>
      <c r="E35" s="1998"/>
      <c r="F35" s="1998"/>
      <c r="G35" s="1998"/>
      <c r="H35" s="941" t="s">
        <v>1667</v>
      </c>
      <c r="I35" s="941" t="s">
        <v>1722</v>
      </c>
      <c r="J35" s="941" t="s">
        <v>1718</v>
      </c>
      <c r="K35" s="941" t="s">
        <v>1649</v>
      </c>
      <c r="L35" s="941" t="s">
        <v>1650</v>
      </c>
      <c r="M35" s="941" t="s">
        <v>1651</v>
      </c>
      <c r="N35" s="941" t="s">
        <v>1652</v>
      </c>
      <c r="O35" s="942" t="s">
        <v>1653</v>
      </c>
      <c r="P35" s="944" t="s">
        <v>1654</v>
      </c>
      <c r="Q35" s="999" t="s">
        <v>1655</v>
      </c>
      <c r="R35" s="942" t="s">
        <v>1656</v>
      </c>
      <c r="S35" s="941" t="s">
        <v>1657</v>
      </c>
      <c r="T35" s="941" t="s">
        <v>1658</v>
      </c>
      <c r="U35" s="942" t="s">
        <v>1659</v>
      </c>
      <c r="V35" s="942" t="s">
        <v>1660</v>
      </c>
      <c r="W35" s="942" t="s">
        <v>1661</v>
      </c>
      <c r="X35" s="944" t="s">
        <v>1662</v>
      </c>
    </row>
    <row r="36" spans="1:24" ht="18" customHeight="1" x14ac:dyDescent="0.2">
      <c r="A36" s="2005" t="s">
        <v>199</v>
      </c>
      <c r="B36" s="2008" t="s">
        <v>235</v>
      </c>
      <c r="C36" s="2025" t="s">
        <v>2146</v>
      </c>
      <c r="D36" s="974" t="s">
        <v>1929</v>
      </c>
      <c r="E36" s="1011" t="s">
        <v>1297</v>
      </c>
      <c r="F36" s="1011" t="s">
        <v>127</v>
      </c>
      <c r="G36" s="1011" t="s">
        <v>1754</v>
      </c>
      <c r="H36" s="1073"/>
      <c r="I36" s="1074"/>
      <c r="J36" s="1073"/>
      <c r="K36" s="1073"/>
      <c r="L36" s="1073"/>
      <c r="M36" s="1073"/>
      <c r="N36" s="1073"/>
      <c r="O36" s="1074"/>
      <c r="P36" s="1075"/>
      <c r="Q36" s="1337"/>
      <c r="R36" s="1074"/>
      <c r="S36" s="1073"/>
      <c r="T36" s="1073"/>
      <c r="U36" s="1074"/>
      <c r="V36" s="1074"/>
      <c r="W36" s="1074"/>
      <c r="X36" s="1075">
        <v>200000</v>
      </c>
    </row>
    <row r="37" spans="1:24" ht="18" customHeight="1" x14ac:dyDescent="0.2">
      <c r="A37" s="2024"/>
      <c r="B37" s="2023"/>
      <c r="C37" s="2026"/>
      <c r="D37" s="978" t="s">
        <v>1929</v>
      </c>
      <c r="E37" s="1000" t="s">
        <v>162</v>
      </c>
      <c r="F37" s="1000" t="s">
        <v>90</v>
      </c>
      <c r="G37" s="1000" t="s">
        <v>1754</v>
      </c>
      <c r="H37" s="1077">
        <v>200000</v>
      </c>
      <c r="I37" s="1078"/>
      <c r="J37" s="1077"/>
      <c r="K37" s="1077"/>
      <c r="L37" s="1077"/>
      <c r="M37" s="1077"/>
      <c r="N37" s="1077"/>
      <c r="O37" s="1078"/>
      <c r="P37" s="1079"/>
      <c r="Q37" s="1338"/>
      <c r="R37" s="1078"/>
      <c r="S37" s="1077"/>
      <c r="T37" s="1077"/>
      <c r="U37" s="1078"/>
      <c r="V37" s="1078"/>
      <c r="W37" s="1078"/>
      <c r="X37" s="1079"/>
    </row>
    <row r="38" spans="1:24" ht="18" customHeight="1" x14ac:dyDescent="0.2">
      <c r="A38" s="2024" t="s">
        <v>200</v>
      </c>
      <c r="B38" s="2023" t="s">
        <v>236</v>
      </c>
      <c r="C38" s="2026" t="s">
        <v>2147</v>
      </c>
      <c r="D38" s="978" t="s">
        <v>1929</v>
      </c>
      <c r="E38" s="1000" t="s">
        <v>1297</v>
      </c>
      <c r="F38" s="1000" t="s">
        <v>127</v>
      </c>
      <c r="G38" s="1000" t="s">
        <v>1754</v>
      </c>
      <c r="H38" s="1077"/>
      <c r="I38" s="1078"/>
      <c r="J38" s="1077"/>
      <c r="K38" s="1077"/>
      <c r="L38" s="1077"/>
      <c r="M38" s="1077"/>
      <c r="N38" s="1077"/>
      <c r="O38" s="1078"/>
      <c r="P38" s="1079"/>
      <c r="Q38" s="1338"/>
      <c r="R38" s="1078"/>
      <c r="S38" s="1077"/>
      <c r="T38" s="1077"/>
      <c r="U38" s="1078"/>
      <c r="V38" s="1078"/>
      <c r="W38" s="1078"/>
      <c r="X38" s="1079">
        <v>423750</v>
      </c>
    </row>
    <row r="39" spans="1:24" ht="18" customHeight="1" x14ac:dyDescent="0.2">
      <c r="A39" s="2024"/>
      <c r="B39" s="2023"/>
      <c r="C39" s="2026"/>
      <c r="D39" s="978" t="s">
        <v>1929</v>
      </c>
      <c r="E39" s="1000" t="s">
        <v>162</v>
      </c>
      <c r="F39" s="1000" t="s">
        <v>90</v>
      </c>
      <c r="G39" s="1000" t="s">
        <v>1754</v>
      </c>
      <c r="H39" s="1077">
        <v>375000</v>
      </c>
      <c r="I39" s="1078">
        <v>48750</v>
      </c>
      <c r="J39" s="1077"/>
      <c r="K39" s="1077"/>
      <c r="L39" s="1077"/>
      <c r="M39" s="1077"/>
      <c r="N39" s="1077"/>
      <c r="O39" s="1078"/>
      <c r="P39" s="1079"/>
      <c r="Q39" s="1338"/>
      <c r="R39" s="1078"/>
      <c r="S39" s="1077"/>
      <c r="T39" s="1077"/>
      <c r="U39" s="1078"/>
      <c r="V39" s="1078"/>
      <c r="W39" s="1078"/>
      <c r="X39" s="1079"/>
    </row>
    <row r="40" spans="1:24" ht="18.75" customHeight="1" x14ac:dyDescent="0.2">
      <c r="A40" s="2024" t="s">
        <v>201</v>
      </c>
      <c r="B40" s="2023" t="s">
        <v>237</v>
      </c>
      <c r="C40" s="2026" t="s">
        <v>2148</v>
      </c>
      <c r="D40" s="978" t="s">
        <v>1929</v>
      </c>
      <c r="E40" s="1000" t="s">
        <v>1297</v>
      </c>
      <c r="F40" s="1000" t="s">
        <v>127</v>
      </c>
      <c r="G40" s="1000" t="s">
        <v>1754</v>
      </c>
      <c r="H40" s="1077"/>
      <c r="I40" s="1078"/>
      <c r="J40" s="1077"/>
      <c r="K40" s="1077"/>
      <c r="L40" s="1077"/>
      <c r="M40" s="1077"/>
      <c r="N40" s="1077"/>
      <c r="O40" s="1078"/>
      <c r="P40" s="1079"/>
      <c r="Q40" s="1338"/>
      <c r="R40" s="1078"/>
      <c r="S40" s="1077"/>
      <c r="T40" s="1077"/>
      <c r="U40" s="1078"/>
      <c r="V40" s="1078"/>
      <c r="W40" s="1078"/>
      <c r="X40" s="1079">
        <v>4859000</v>
      </c>
    </row>
    <row r="41" spans="1:24" ht="18.75" customHeight="1" x14ac:dyDescent="0.2">
      <c r="A41" s="2024"/>
      <c r="B41" s="2023"/>
      <c r="C41" s="2026"/>
      <c r="D41" s="978" t="s">
        <v>1929</v>
      </c>
      <c r="E41" s="1000" t="s">
        <v>162</v>
      </c>
      <c r="F41" s="1000" t="s">
        <v>90</v>
      </c>
      <c r="G41" s="1000" t="s">
        <v>1754</v>
      </c>
      <c r="H41" s="1077">
        <v>3100000</v>
      </c>
      <c r="I41" s="1078">
        <v>403000</v>
      </c>
      <c r="J41" s="1077"/>
      <c r="K41" s="1077"/>
      <c r="L41" s="1077"/>
      <c r="M41" s="1077"/>
      <c r="N41" s="1077"/>
      <c r="O41" s="1078"/>
      <c r="P41" s="1079"/>
      <c r="Q41" s="1338"/>
      <c r="R41" s="1078"/>
      <c r="S41" s="1077"/>
      <c r="T41" s="1077"/>
      <c r="U41" s="1078"/>
      <c r="V41" s="1078"/>
      <c r="W41" s="1078"/>
      <c r="X41" s="1079"/>
    </row>
    <row r="42" spans="1:24" ht="18.75" customHeight="1" x14ac:dyDescent="0.2">
      <c r="A42" s="2024"/>
      <c r="B42" s="2023"/>
      <c r="C42" s="2026"/>
      <c r="D42" s="978" t="s">
        <v>1929</v>
      </c>
      <c r="E42" s="1000" t="s">
        <v>162</v>
      </c>
      <c r="F42" s="1000" t="s">
        <v>131</v>
      </c>
      <c r="G42" s="1000" t="s">
        <v>1754</v>
      </c>
      <c r="H42" s="1077">
        <v>1200000</v>
      </c>
      <c r="I42" s="1078">
        <v>156000</v>
      </c>
      <c r="J42" s="1077"/>
      <c r="K42" s="1077"/>
      <c r="L42" s="1077"/>
      <c r="M42" s="1077"/>
      <c r="N42" s="1077"/>
      <c r="O42" s="1078"/>
      <c r="P42" s="1079"/>
      <c r="Q42" s="1338"/>
      <c r="R42" s="1078"/>
      <c r="S42" s="1077"/>
      <c r="T42" s="1077"/>
      <c r="U42" s="1078"/>
      <c r="V42" s="1078"/>
      <c r="W42" s="1078"/>
      <c r="X42" s="1079"/>
    </row>
    <row r="43" spans="1:24" ht="31.5" customHeight="1" x14ac:dyDescent="0.2">
      <c r="A43" s="1423" t="s">
        <v>202</v>
      </c>
      <c r="B43" s="1422" t="s">
        <v>238</v>
      </c>
      <c r="C43" s="1424" t="s">
        <v>2234</v>
      </c>
      <c r="D43" s="978" t="s">
        <v>1929</v>
      </c>
      <c r="E43" s="1000" t="s">
        <v>162</v>
      </c>
      <c r="F43" s="1000" t="s">
        <v>90</v>
      </c>
      <c r="G43" s="1000" t="s">
        <v>1754</v>
      </c>
      <c r="H43" s="1077">
        <v>254237</v>
      </c>
      <c r="I43" s="1078"/>
      <c r="J43" s="1077"/>
      <c r="K43" s="1077"/>
      <c r="L43" s="1077"/>
      <c r="M43" s="1077"/>
      <c r="N43" s="1077"/>
      <c r="O43" s="1078"/>
      <c r="P43" s="1079"/>
      <c r="Q43" s="1338"/>
      <c r="R43" s="1078"/>
      <c r="S43" s="1077"/>
      <c r="T43" s="1077">
        <v>254237</v>
      </c>
      <c r="U43" s="1078"/>
      <c r="V43" s="1078"/>
      <c r="W43" s="1078"/>
      <c r="X43" s="1079"/>
    </row>
    <row r="44" spans="1:24" ht="33" customHeight="1" x14ac:dyDescent="0.2">
      <c r="A44" s="1423" t="s">
        <v>203</v>
      </c>
      <c r="B44" s="1422" t="s">
        <v>239</v>
      </c>
      <c r="C44" s="1424" t="s">
        <v>2226</v>
      </c>
      <c r="D44" s="978" t="s">
        <v>1929</v>
      </c>
      <c r="E44" s="1000" t="s">
        <v>162</v>
      </c>
      <c r="F44" s="1000" t="s">
        <v>131</v>
      </c>
      <c r="G44" s="1000" t="s">
        <v>1766</v>
      </c>
      <c r="H44" s="1077">
        <f>-1521000+1521000</f>
        <v>0</v>
      </c>
      <c r="I44" s="1078"/>
      <c r="J44" s="1077"/>
      <c r="K44" s="1077"/>
      <c r="L44" s="1077"/>
      <c r="M44" s="1077"/>
      <c r="N44" s="1077"/>
      <c r="O44" s="1078"/>
      <c r="P44" s="1079"/>
      <c r="Q44" s="1338"/>
      <c r="R44" s="1078"/>
      <c r="S44" s="1077"/>
      <c r="T44" s="1077"/>
      <c r="U44" s="1078"/>
      <c r="V44" s="1078"/>
      <c r="W44" s="1078"/>
      <c r="X44" s="1079"/>
    </row>
    <row r="45" spans="1:24" ht="22.5" customHeight="1" x14ac:dyDescent="0.2">
      <c r="A45" s="2024" t="s">
        <v>204</v>
      </c>
      <c r="B45" s="2023" t="s">
        <v>266</v>
      </c>
      <c r="C45" s="2026" t="s">
        <v>2252</v>
      </c>
      <c r="D45" s="978" t="s">
        <v>1929</v>
      </c>
      <c r="E45" s="1000" t="s">
        <v>1297</v>
      </c>
      <c r="F45" s="1000" t="s">
        <v>127</v>
      </c>
      <c r="G45" s="1000" t="s">
        <v>1754</v>
      </c>
      <c r="H45" s="1077"/>
      <c r="I45" s="1078"/>
      <c r="J45" s="1077"/>
      <c r="K45" s="1077"/>
      <c r="L45" s="1077"/>
      <c r="M45" s="1077"/>
      <c r="N45" s="1077"/>
      <c r="O45" s="1078"/>
      <c r="P45" s="1079"/>
      <c r="Q45" s="1338"/>
      <c r="R45" s="1078"/>
      <c r="S45" s="1077"/>
      <c r="T45" s="1077"/>
      <c r="U45" s="1078"/>
      <c r="V45" s="1078"/>
      <c r="W45" s="1078"/>
      <c r="X45" s="1079">
        <v>262000</v>
      </c>
    </row>
    <row r="46" spans="1:24" ht="22.5" customHeight="1" x14ac:dyDescent="0.2">
      <c r="A46" s="2024"/>
      <c r="B46" s="2023"/>
      <c r="C46" s="2026"/>
      <c r="D46" s="978" t="s">
        <v>1929</v>
      </c>
      <c r="E46" s="1000" t="s">
        <v>162</v>
      </c>
      <c r="F46" s="1000" t="s">
        <v>90</v>
      </c>
      <c r="G46" s="1000" t="s">
        <v>1754</v>
      </c>
      <c r="H46" s="1077"/>
      <c r="I46" s="1078"/>
      <c r="J46" s="1077">
        <f>206299+55701</f>
        <v>262000</v>
      </c>
      <c r="K46" s="1077"/>
      <c r="L46" s="1077"/>
      <c r="M46" s="1077"/>
      <c r="N46" s="1077"/>
      <c r="O46" s="1078"/>
      <c r="P46" s="1079"/>
      <c r="Q46" s="1338"/>
      <c r="R46" s="1078"/>
      <c r="S46" s="1077"/>
      <c r="T46" s="1077"/>
      <c r="U46" s="1078"/>
      <c r="V46" s="1078"/>
      <c r="W46" s="1078"/>
      <c r="X46" s="1079"/>
    </row>
    <row r="47" spans="1:24" ht="31.5" customHeight="1" x14ac:dyDescent="0.2">
      <c r="A47" s="1423" t="s">
        <v>231</v>
      </c>
      <c r="B47" s="1422" t="s">
        <v>267</v>
      </c>
      <c r="C47" s="1424" t="s">
        <v>2289</v>
      </c>
      <c r="D47" s="978" t="s">
        <v>1929</v>
      </c>
      <c r="E47" s="1000" t="s">
        <v>162</v>
      </c>
      <c r="F47" s="1000" t="s">
        <v>90</v>
      </c>
      <c r="G47" s="1000" t="s">
        <v>1766</v>
      </c>
      <c r="H47" s="1077"/>
      <c r="I47" s="1078"/>
      <c r="J47" s="1077">
        <f>-275762-74456</f>
        <v>-350218</v>
      </c>
      <c r="K47" s="1077"/>
      <c r="L47" s="1077"/>
      <c r="M47" s="1077">
        <f>275762+74456</f>
        <v>350218</v>
      </c>
      <c r="N47" s="1077"/>
      <c r="O47" s="1078"/>
      <c r="P47" s="1079"/>
      <c r="Q47" s="1338"/>
      <c r="R47" s="1078"/>
      <c r="S47" s="1077"/>
      <c r="T47" s="1077"/>
      <c r="U47" s="1078"/>
      <c r="V47" s="1078"/>
      <c r="W47" s="1078"/>
      <c r="X47" s="1079"/>
    </row>
    <row r="48" spans="1:24" ht="30" customHeight="1" x14ac:dyDescent="0.2">
      <c r="A48" s="1423" t="s">
        <v>232</v>
      </c>
      <c r="B48" s="1422" t="s">
        <v>268</v>
      </c>
      <c r="C48" s="1424" t="s">
        <v>2302</v>
      </c>
      <c r="D48" s="978" t="s">
        <v>1929</v>
      </c>
      <c r="E48" s="1000" t="s">
        <v>162</v>
      </c>
      <c r="F48" s="1000" t="s">
        <v>90</v>
      </c>
      <c r="G48" s="1000" t="s">
        <v>1766</v>
      </c>
      <c r="H48" s="1077"/>
      <c r="I48" s="1078"/>
      <c r="J48" s="1077">
        <f>-157476-42519</f>
        <v>-199995</v>
      </c>
      <c r="K48" s="1077"/>
      <c r="L48" s="1077"/>
      <c r="M48" s="1077">
        <f>157476+42519</f>
        <v>199995</v>
      </c>
      <c r="N48" s="1077"/>
      <c r="O48" s="1078"/>
      <c r="P48" s="1079"/>
      <c r="Q48" s="1338"/>
      <c r="R48" s="1078"/>
      <c r="S48" s="1077"/>
      <c r="T48" s="1077"/>
      <c r="U48" s="1078"/>
      <c r="V48" s="1078"/>
      <c r="W48" s="1078"/>
      <c r="X48" s="1079"/>
    </row>
    <row r="49" spans="1:24" ht="45.75" customHeight="1" x14ac:dyDescent="0.2">
      <c r="A49" s="1423" t="s">
        <v>233</v>
      </c>
      <c r="B49" s="1422" t="s">
        <v>269</v>
      </c>
      <c r="C49" s="1424" t="s">
        <v>2330</v>
      </c>
      <c r="D49" s="978" t="s">
        <v>1929</v>
      </c>
      <c r="E49" s="1000" t="s">
        <v>1297</v>
      </c>
      <c r="F49" s="1000" t="s">
        <v>127</v>
      </c>
      <c r="G49" s="1000" t="s">
        <v>1754</v>
      </c>
      <c r="H49" s="1077"/>
      <c r="I49" s="1078"/>
      <c r="J49" s="1077"/>
      <c r="K49" s="1077"/>
      <c r="L49" s="1077">
        <v>5378111</v>
      </c>
      <c r="M49" s="1077"/>
      <c r="N49" s="1077"/>
      <c r="O49" s="1078"/>
      <c r="P49" s="1079"/>
      <c r="Q49" s="1338"/>
      <c r="R49" s="1078"/>
      <c r="S49" s="1077"/>
      <c r="T49" s="1077"/>
      <c r="U49" s="1078"/>
      <c r="V49" s="1078"/>
      <c r="W49" s="1078"/>
      <c r="X49" s="1079">
        <v>5378111</v>
      </c>
    </row>
    <row r="50" spans="1:24" ht="35.25" customHeight="1" x14ac:dyDescent="0.2">
      <c r="A50" s="1440" t="s">
        <v>234</v>
      </c>
      <c r="B50" s="1439" t="s">
        <v>270</v>
      </c>
      <c r="C50" s="1438" t="s">
        <v>2411</v>
      </c>
      <c r="D50" s="1368" t="s">
        <v>1929</v>
      </c>
      <c r="E50" s="1369" t="s">
        <v>162</v>
      </c>
      <c r="F50" s="1369" t="s">
        <v>131</v>
      </c>
      <c r="G50" s="1369" t="s">
        <v>1766</v>
      </c>
      <c r="H50" s="1382">
        <f>-1346000+1346000</f>
        <v>0</v>
      </c>
      <c r="I50" s="1389"/>
      <c r="J50" s="1382"/>
      <c r="K50" s="1382"/>
      <c r="L50" s="1382"/>
      <c r="M50" s="1382"/>
      <c r="N50" s="1382"/>
      <c r="O50" s="1389"/>
      <c r="P50" s="1383"/>
      <c r="Q50" s="1390"/>
      <c r="R50" s="1389"/>
      <c r="S50" s="1382"/>
      <c r="T50" s="1382"/>
      <c r="U50" s="1389"/>
      <c r="V50" s="1389"/>
      <c r="W50" s="1389"/>
      <c r="X50" s="1383"/>
    </row>
    <row r="51" spans="1:24" ht="33.75" customHeight="1" x14ac:dyDescent="0.2">
      <c r="A51" s="1440" t="s">
        <v>235</v>
      </c>
      <c r="B51" s="1439" t="s">
        <v>271</v>
      </c>
      <c r="C51" s="1438" t="s">
        <v>2431</v>
      </c>
      <c r="D51" s="1368" t="s">
        <v>1929</v>
      </c>
      <c r="E51" s="1369" t="s">
        <v>790</v>
      </c>
      <c r="F51" s="1369" t="s">
        <v>150</v>
      </c>
      <c r="G51" s="1369" t="s">
        <v>1766</v>
      </c>
      <c r="H51" s="1382"/>
      <c r="I51" s="1389"/>
      <c r="J51" s="1382">
        <f>-70398+70398</f>
        <v>0</v>
      </c>
      <c r="K51" s="1382"/>
      <c r="L51" s="1382"/>
      <c r="M51" s="1382"/>
      <c r="N51" s="1382"/>
      <c r="O51" s="1389"/>
      <c r="P51" s="1383"/>
      <c r="Q51" s="1390"/>
      <c r="R51" s="1389"/>
      <c r="S51" s="1382"/>
      <c r="T51" s="1382"/>
      <c r="U51" s="1389"/>
      <c r="V51" s="1389"/>
      <c r="W51" s="1389"/>
      <c r="X51" s="1383"/>
    </row>
    <row r="52" spans="1:24" ht="33.75" customHeight="1" x14ac:dyDescent="0.2">
      <c r="A52" s="1440" t="s">
        <v>236</v>
      </c>
      <c r="B52" s="1439" t="s">
        <v>272</v>
      </c>
      <c r="C52" s="1438" t="s">
        <v>2432</v>
      </c>
      <c r="D52" s="1368" t="s">
        <v>1929</v>
      </c>
      <c r="E52" s="1369" t="s">
        <v>162</v>
      </c>
      <c r="F52" s="1369" t="s">
        <v>90</v>
      </c>
      <c r="G52" s="1369" t="s">
        <v>1754</v>
      </c>
      <c r="H52" s="1382"/>
      <c r="I52" s="1389"/>
      <c r="J52" s="1382">
        <v>614</v>
      </c>
      <c r="K52" s="1382"/>
      <c r="L52" s="1382"/>
      <c r="M52" s="1382"/>
      <c r="N52" s="1382"/>
      <c r="O52" s="1389"/>
      <c r="P52" s="1383"/>
      <c r="Q52" s="1390"/>
      <c r="R52" s="1389"/>
      <c r="S52" s="1382"/>
      <c r="T52" s="1382">
        <v>614</v>
      </c>
      <c r="U52" s="1389"/>
      <c r="V52" s="1389"/>
      <c r="W52" s="1389"/>
      <c r="X52" s="1383"/>
    </row>
    <row r="53" spans="1:24" ht="22.5" customHeight="1" x14ac:dyDescent="0.2">
      <c r="A53" s="2114" t="s">
        <v>237</v>
      </c>
      <c r="B53" s="2112" t="s">
        <v>273</v>
      </c>
      <c r="C53" s="2110" t="s">
        <v>2655</v>
      </c>
      <c r="D53" s="1368" t="s">
        <v>1929</v>
      </c>
      <c r="E53" s="1369" t="s">
        <v>1297</v>
      </c>
      <c r="F53" s="1369" t="s">
        <v>127</v>
      </c>
      <c r="G53" s="1369" t="s">
        <v>1754</v>
      </c>
      <c r="H53" s="1382"/>
      <c r="I53" s="1389"/>
      <c r="J53" s="1382"/>
      <c r="K53" s="1382"/>
      <c r="L53" s="1382"/>
      <c r="M53" s="1382"/>
      <c r="N53" s="1382"/>
      <c r="O53" s="1389"/>
      <c r="P53" s="1383"/>
      <c r="Q53" s="1390"/>
      <c r="R53" s="1389"/>
      <c r="S53" s="1382"/>
      <c r="T53" s="1382"/>
      <c r="U53" s="1389"/>
      <c r="V53" s="1389"/>
      <c r="W53" s="1389"/>
      <c r="X53" s="1383">
        <v>239848</v>
      </c>
    </row>
    <row r="54" spans="1:24" ht="22.5" customHeight="1" x14ac:dyDescent="0.2">
      <c r="A54" s="2115"/>
      <c r="B54" s="2113"/>
      <c r="C54" s="2111"/>
      <c r="D54" s="1368" t="s">
        <v>1929</v>
      </c>
      <c r="E54" s="1369" t="s">
        <v>162</v>
      </c>
      <c r="F54" s="1369" t="s">
        <v>90</v>
      </c>
      <c r="G54" s="1369" t="s">
        <v>1754</v>
      </c>
      <c r="H54" s="1382"/>
      <c r="I54" s="1389"/>
      <c r="J54" s="1382">
        <f>188857+50991</f>
        <v>239848</v>
      </c>
      <c r="K54" s="1382"/>
      <c r="L54" s="1382"/>
      <c r="M54" s="1382"/>
      <c r="N54" s="1382"/>
      <c r="O54" s="1389"/>
      <c r="P54" s="1383"/>
      <c r="Q54" s="1390"/>
      <c r="R54" s="1389"/>
      <c r="S54" s="1382"/>
      <c r="T54" s="1382"/>
      <c r="U54" s="1389"/>
      <c r="V54" s="1389"/>
      <c r="W54" s="1389"/>
      <c r="X54" s="1383"/>
    </row>
    <row r="55" spans="1:24" ht="19.5" customHeight="1" x14ac:dyDescent="0.2">
      <c r="A55" s="2114" t="s">
        <v>238</v>
      </c>
      <c r="B55" s="2112" t="s">
        <v>274</v>
      </c>
      <c r="C55" s="2110" t="s">
        <v>2656</v>
      </c>
      <c r="D55" s="1368" t="s">
        <v>1929</v>
      </c>
      <c r="E55" s="1369" t="s">
        <v>1297</v>
      </c>
      <c r="F55" s="1369" t="s">
        <v>127</v>
      </c>
      <c r="G55" s="1369" t="s">
        <v>1754</v>
      </c>
      <c r="H55" s="1382"/>
      <c r="I55" s="1389"/>
      <c r="J55" s="1382"/>
      <c r="K55" s="1382"/>
      <c r="L55" s="1382"/>
      <c r="M55" s="1382"/>
      <c r="N55" s="1382"/>
      <c r="O55" s="1389"/>
      <c r="P55" s="1383"/>
      <c r="Q55" s="1390"/>
      <c r="R55" s="1389"/>
      <c r="S55" s="1382"/>
      <c r="T55" s="1382"/>
      <c r="U55" s="1389"/>
      <c r="V55" s="1389"/>
      <c r="W55" s="1389"/>
      <c r="X55" s="1383">
        <v>243382</v>
      </c>
    </row>
    <row r="56" spans="1:24" ht="19.5" customHeight="1" x14ac:dyDescent="0.2">
      <c r="A56" s="2115"/>
      <c r="B56" s="2113"/>
      <c r="C56" s="2111"/>
      <c r="D56" s="1368" t="s">
        <v>1929</v>
      </c>
      <c r="E56" s="1369" t="s">
        <v>162</v>
      </c>
      <c r="F56" s="1369" t="s">
        <v>90</v>
      </c>
      <c r="G56" s="1369" t="s">
        <v>1754</v>
      </c>
      <c r="H56" s="1382"/>
      <c r="I56" s="1389"/>
      <c r="J56" s="1382">
        <f>191639+51743</f>
        <v>243382</v>
      </c>
      <c r="K56" s="1382"/>
      <c r="L56" s="1382"/>
      <c r="M56" s="1382"/>
      <c r="N56" s="1382"/>
      <c r="O56" s="1389"/>
      <c r="P56" s="1383"/>
      <c r="Q56" s="1390"/>
      <c r="R56" s="1389"/>
      <c r="S56" s="1382"/>
      <c r="T56" s="1382"/>
      <c r="U56" s="1389"/>
      <c r="V56" s="1389"/>
      <c r="W56" s="1389"/>
      <c r="X56" s="1383"/>
    </row>
    <row r="57" spans="1:24" ht="31.5" customHeight="1" x14ac:dyDescent="0.2">
      <c r="A57" s="1414">
        <v>20</v>
      </c>
      <c r="B57" s="1415" t="s">
        <v>275</v>
      </c>
      <c r="C57" s="1416" t="s">
        <v>2616</v>
      </c>
      <c r="D57" s="1368" t="s">
        <v>1929</v>
      </c>
      <c r="E57" s="1369" t="s">
        <v>162</v>
      </c>
      <c r="F57" s="1369" t="s">
        <v>131</v>
      </c>
      <c r="G57" s="1369" t="s">
        <v>1766</v>
      </c>
      <c r="H57" s="1382">
        <f>-820500+200000+620500</f>
        <v>0</v>
      </c>
      <c r="I57" s="1389"/>
      <c r="J57" s="1382"/>
      <c r="K57" s="1382"/>
      <c r="L57" s="1382"/>
      <c r="M57" s="1382"/>
      <c r="N57" s="1382"/>
      <c r="O57" s="1389"/>
      <c r="P57" s="1383"/>
      <c r="Q57" s="1390"/>
      <c r="R57" s="1389"/>
      <c r="S57" s="1382"/>
      <c r="T57" s="1382"/>
      <c r="U57" s="1389"/>
      <c r="V57" s="1389"/>
      <c r="W57" s="1389"/>
      <c r="X57" s="1383"/>
    </row>
    <row r="58" spans="1:24" ht="22.5" customHeight="1" x14ac:dyDescent="0.2">
      <c r="A58" s="2114" t="s">
        <v>266</v>
      </c>
      <c r="B58" s="2112" t="s">
        <v>276</v>
      </c>
      <c r="C58" s="2110" t="s">
        <v>2657</v>
      </c>
      <c r="D58" s="1368" t="s">
        <v>1929</v>
      </c>
      <c r="E58" s="1369" t="s">
        <v>1297</v>
      </c>
      <c r="F58" s="1369" t="s">
        <v>127</v>
      </c>
      <c r="G58" s="1369" t="s">
        <v>1754</v>
      </c>
      <c r="H58" s="1382"/>
      <c r="I58" s="1389"/>
      <c r="J58" s="1382"/>
      <c r="K58" s="1382"/>
      <c r="L58" s="1382"/>
      <c r="M58" s="1382"/>
      <c r="N58" s="1382"/>
      <c r="O58" s="1389"/>
      <c r="P58" s="1383"/>
      <c r="Q58" s="1390"/>
      <c r="R58" s="1389"/>
      <c r="S58" s="1382"/>
      <c r="T58" s="1382"/>
      <c r="U58" s="1389"/>
      <c r="V58" s="1389"/>
      <c r="W58" s="1389"/>
      <c r="X58" s="1383">
        <v>1270000</v>
      </c>
    </row>
    <row r="59" spans="1:24" ht="22.5" customHeight="1" x14ac:dyDescent="0.2">
      <c r="A59" s="2115"/>
      <c r="B59" s="2113"/>
      <c r="C59" s="2111"/>
      <c r="D59" s="1368" t="s">
        <v>1929</v>
      </c>
      <c r="E59" s="1369" t="s">
        <v>162</v>
      </c>
      <c r="F59" s="1369" t="s">
        <v>90</v>
      </c>
      <c r="G59" s="1369" t="s">
        <v>1754</v>
      </c>
      <c r="H59" s="1382"/>
      <c r="I59" s="1389"/>
      <c r="J59" s="1382"/>
      <c r="K59" s="1382"/>
      <c r="L59" s="1382"/>
      <c r="M59" s="1382">
        <f>1000000+270000</f>
        <v>1270000</v>
      </c>
      <c r="N59" s="1382"/>
      <c r="O59" s="1389"/>
      <c r="P59" s="1383"/>
      <c r="Q59" s="1390"/>
      <c r="R59" s="1389"/>
      <c r="S59" s="1382"/>
      <c r="T59" s="1382"/>
      <c r="U59" s="1389"/>
      <c r="V59" s="1389"/>
      <c r="W59" s="1389"/>
      <c r="X59" s="1383"/>
    </row>
    <row r="60" spans="1:24" ht="30.75" customHeight="1" x14ac:dyDescent="0.2">
      <c r="A60" s="1423" t="s">
        <v>267</v>
      </c>
      <c r="B60" s="1422" t="s">
        <v>277</v>
      </c>
      <c r="C60" s="1424" t="s">
        <v>2701</v>
      </c>
      <c r="D60" s="1368" t="s">
        <v>1929</v>
      </c>
      <c r="E60" s="1369" t="s">
        <v>162</v>
      </c>
      <c r="F60" s="1369" t="s">
        <v>90</v>
      </c>
      <c r="G60" s="1369" t="s">
        <v>1766</v>
      </c>
      <c r="H60" s="1382"/>
      <c r="I60" s="1389"/>
      <c r="J60" s="1382"/>
      <c r="K60" s="1382"/>
      <c r="L60" s="1382"/>
      <c r="M60" s="1382">
        <f>-50000+50000</f>
        <v>0</v>
      </c>
      <c r="N60" s="1382"/>
      <c r="O60" s="1389"/>
      <c r="P60" s="1383"/>
      <c r="Q60" s="1390"/>
      <c r="R60" s="1389"/>
      <c r="S60" s="1382"/>
      <c r="T60" s="1382"/>
      <c r="U60" s="1389"/>
      <c r="V60" s="1389"/>
      <c r="W60" s="1389"/>
      <c r="X60" s="1383"/>
    </row>
    <row r="61" spans="1:24" x14ac:dyDescent="0.2">
      <c r="A61" s="1334"/>
      <c r="B61" s="1090"/>
      <c r="C61" s="1090"/>
      <c r="D61" s="983"/>
      <c r="E61" s="1083"/>
      <c r="F61" s="1083"/>
      <c r="G61" s="1083"/>
      <c r="H61" s="1335"/>
      <c r="I61" s="1335"/>
      <c r="J61" s="1335"/>
      <c r="K61" s="1335"/>
      <c r="L61" s="1335"/>
      <c r="M61" s="1335"/>
      <c r="N61" s="1335"/>
      <c r="O61" s="1335"/>
      <c r="P61" s="1336"/>
      <c r="Q61" s="1339"/>
      <c r="R61" s="1335"/>
      <c r="S61" s="1335"/>
      <c r="T61" s="1335"/>
      <c r="U61" s="1335"/>
      <c r="V61" s="1335"/>
      <c r="W61" s="1335"/>
      <c r="X61" s="1336"/>
    </row>
    <row r="62" spans="1:24" ht="18.75" x14ac:dyDescent="0.3">
      <c r="A62" s="2116" t="s">
        <v>1663</v>
      </c>
      <c r="B62" s="2117"/>
      <c r="C62" s="2117"/>
      <c r="D62" s="956"/>
      <c r="E62" s="956"/>
      <c r="F62" s="956"/>
      <c r="G62" s="956"/>
      <c r="H62" s="1595">
        <f t="shared" ref="H62:X62" si="1">SUM(H36:H61)+H16</f>
        <v>5129237</v>
      </c>
      <c r="I62" s="1595">
        <f t="shared" si="1"/>
        <v>607750</v>
      </c>
      <c r="J62" s="1595">
        <f t="shared" si="1"/>
        <v>7151231</v>
      </c>
      <c r="K62" s="1595">
        <f t="shared" si="1"/>
        <v>0</v>
      </c>
      <c r="L62" s="1595">
        <f t="shared" si="1"/>
        <v>5378111</v>
      </c>
      <c r="M62" s="1595">
        <f t="shared" si="1"/>
        <v>1820213</v>
      </c>
      <c r="N62" s="1595">
        <f t="shared" si="1"/>
        <v>0</v>
      </c>
      <c r="O62" s="1595">
        <f t="shared" si="1"/>
        <v>0</v>
      </c>
      <c r="P62" s="1596">
        <f t="shared" si="1"/>
        <v>0</v>
      </c>
      <c r="Q62" s="1597">
        <f t="shared" si="1"/>
        <v>0</v>
      </c>
      <c r="R62" s="1595">
        <f t="shared" si="1"/>
        <v>0</v>
      </c>
      <c r="S62" s="1595">
        <f t="shared" si="1"/>
        <v>0</v>
      </c>
      <c r="T62" s="1595">
        <f t="shared" si="1"/>
        <v>254851</v>
      </c>
      <c r="U62" s="1595">
        <f t="shared" si="1"/>
        <v>0</v>
      </c>
      <c r="V62" s="1595">
        <f t="shared" si="1"/>
        <v>0</v>
      </c>
      <c r="W62" s="1595">
        <f t="shared" si="1"/>
        <v>0</v>
      </c>
      <c r="X62" s="1596">
        <f t="shared" si="1"/>
        <v>19831691</v>
      </c>
    </row>
    <row r="63" spans="1:24" ht="17.25" customHeight="1" x14ac:dyDescent="0.25">
      <c r="A63" s="314"/>
      <c r="B63" s="314"/>
      <c r="C63" s="314"/>
      <c r="D63" s="314"/>
      <c r="E63" s="314"/>
      <c r="F63" s="314"/>
      <c r="G63" s="314"/>
      <c r="H63" s="968"/>
      <c r="I63" s="968"/>
      <c r="J63" s="968"/>
      <c r="K63" s="968"/>
      <c r="L63" s="968"/>
      <c r="M63" s="968"/>
      <c r="N63" s="968"/>
      <c r="O63" s="968"/>
      <c r="P63" s="968"/>
      <c r="Q63" s="968"/>
      <c r="R63" s="968"/>
      <c r="S63" s="968"/>
      <c r="T63" s="968"/>
      <c r="U63" s="968"/>
      <c r="V63" s="968"/>
      <c r="W63" s="968"/>
      <c r="X63" s="968"/>
    </row>
    <row r="64" spans="1:24" ht="19.5" customHeight="1" x14ac:dyDescent="0.25">
      <c r="A64" s="314"/>
      <c r="B64" s="314"/>
      <c r="C64" s="314"/>
      <c r="D64" s="314"/>
      <c r="E64" s="314"/>
      <c r="F64" s="314"/>
      <c r="G64" s="314"/>
      <c r="H64" s="995"/>
      <c r="I64" s="995"/>
      <c r="J64" s="995"/>
      <c r="K64" s="995"/>
      <c r="L64" s="995"/>
      <c r="M64" s="995"/>
      <c r="N64" s="995"/>
      <c r="O64" s="995"/>
      <c r="P64" s="995"/>
      <c r="Q64" s="995"/>
      <c r="R64" s="995"/>
      <c r="S64" s="995"/>
      <c r="T64" s="995"/>
      <c r="U64" s="995"/>
      <c r="V64" s="995"/>
      <c r="W64" s="995"/>
      <c r="X64" s="995"/>
    </row>
    <row r="65" spans="1:24" x14ac:dyDescent="0.2">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row>
    <row r="66" spans="1:24" x14ac:dyDescent="0.2">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row>
    <row r="67" spans="1:24" ht="21.75" customHeight="1" x14ac:dyDescent="0.2">
      <c r="A67" s="314"/>
      <c r="B67" s="314"/>
      <c r="C67" s="314"/>
      <c r="D67" s="314"/>
      <c r="E67" s="314"/>
      <c r="F67" s="314"/>
      <c r="G67" s="314"/>
      <c r="H67" s="314"/>
      <c r="I67" s="2042" t="s">
        <v>1664</v>
      </c>
      <c r="J67" s="2042"/>
      <c r="K67" s="2042"/>
      <c r="L67" s="2042">
        <v>321449261</v>
      </c>
      <c r="M67" s="2042"/>
      <c r="N67" s="996"/>
      <c r="O67" s="996"/>
      <c r="P67" s="996"/>
      <c r="Q67" s="996"/>
      <c r="R67" s="2042" t="s">
        <v>1665</v>
      </c>
      <c r="S67" s="2042"/>
      <c r="T67" s="2042"/>
      <c r="U67" s="2042">
        <v>321449261</v>
      </c>
      <c r="V67" s="2042"/>
      <c r="W67" s="314"/>
      <c r="X67" s="314"/>
    </row>
    <row r="68" spans="1:24" ht="21.75" customHeight="1" x14ac:dyDescent="0.2">
      <c r="A68" s="314"/>
      <c r="B68" s="314"/>
      <c r="C68" s="314"/>
      <c r="D68" s="314"/>
      <c r="E68" s="314"/>
      <c r="F68" s="314"/>
      <c r="G68" s="314"/>
      <c r="H68" s="314"/>
      <c r="I68" s="2042" t="s">
        <v>1666</v>
      </c>
      <c r="J68" s="2042"/>
      <c r="K68" s="2042"/>
      <c r="L68" s="2042">
        <f>SUM(H62:P62)</f>
        <v>20086542</v>
      </c>
      <c r="M68" s="2042"/>
      <c r="N68" s="996"/>
      <c r="O68" s="996"/>
      <c r="P68" s="996"/>
      <c r="Q68" s="996"/>
      <c r="R68" s="2042" t="s">
        <v>1666</v>
      </c>
      <c r="S68" s="2042"/>
      <c r="T68" s="2042"/>
      <c r="U68" s="2042">
        <f>SUM(Q62:X62)</f>
        <v>20086542</v>
      </c>
      <c r="V68" s="2042"/>
      <c r="W68" s="314"/>
      <c r="X68" s="314"/>
    </row>
    <row r="69" spans="1:24" ht="21.75" customHeight="1" x14ac:dyDescent="0.2">
      <c r="A69" s="314"/>
      <c r="B69" s="314"/>
      <c r="C69" s="314"/>
      <c r="D69" s="314"/>
      <c r="E69" s="314"/>
      <c r="F69" s="314"/>
      <c r="G69" s="314"/>
      <c r="H69" s="314"/>
      <c r="I69" s="2042" t="s">
        <v>1512</v>
      </c>
      <c r="J69" s="2042"/>
      <c r="K69" s="2042"/>
      <c r="L69" s="2042">
        <f>+L67+L68</f>
        <v>341535803</v>
      </c>
      <c r="M69" s="2042"/>
      <c r="N69" s="996"/>
      <c r="O69" s="996"/>
      <c r="P69" s="996"/>
      <c r="Q69" s="996"/>
      <c r="R69" s="2042" t="s">
        <v>1512</v>
      </c>
      <c r="S69" s="2042"/>
      <c r="T69" s="2042"/>
      <c r="U69" s="2042">
        <f>+U67+U68</f>
        <v>341535803</v>
      </c>
      <c r="V69" s="2042"/>
      <c r="W69" s="314"/>
      <c r="X69" s="314"/>
    </row>
    <row r="70" spans="1:24" x14ac:dyDescent="0.2">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row>
    <row r="71" spans="1:24" x14ac:dyDescent="0.2">
      <c r="A71" s="314"/>
      <c r="B71" s="314"/>
      <c r="C71" s="314"/>
      <c r="D71" s="314"/>
      <c r="E71" s="314"/>
      <c r="F71" s="314"/>
      <c r="G71" s="314"/>
      <c r="H71" s="314"/>
      <c r="I71" s="314"/>
      <c r="J71" s="314"/>
      <c r="K71" s="314"/>
      <c r="L71" s="314"/>
      <c r="M71" s="314"/>
      <c r="N71" s="314"/>
      <c r="O71" s="314"/>
      <c r="P71" s="314"/>
      <c r="Q71" s="314"/>
      <c r="R71" s="314"/>
      <c r="S71" s="314"/>
      <c r="T71" s="314"/>
      <c r="U71" s="314"/>
      <c r="V71" s="314"/>
      <c r="W71" s="314"/>
      <c r="X71" s="314"/>
    </row>
    <row r="72" spans="1:24" x14ac:dyDescent="0.2">
      <c r="A72" s="314"/>
      <c r="B72" s="314"/>
      <c r="C72" s="314"/>
      <c r="D72" s="314"/>
      <c r="E72" s="314"/>
      <c r="F72" s="314"/>
      <c r="G72" s="314"/>
      <c r="H72" s="314"/>
      <c r="I72" s="314"/>
      <c r="J72" s="314"/>
      <c r="K72" s="314"/>
      <c r="L72" s="314"/>
      <c r="M72" s="314"/>
      <c r="N72" s="314"/>
      <c r="O72" s="314"/>
      <c r="P72" s="314"/>
      <c r="Q72" s="314"/>
      <c r="R72" s="314"/>
      <c r="S72" s="314"/>
      <c r="T72" s="314"/>
      <c r="U72" s="314"/>
      <c r="V72" s="314"/>
      <c r="W72" s="314"/>
      <c r="X72" s="314"/>
    </row>
    <row r="73" spans="1:24" x14ac:dyDescent="0.2">
      <c r="A73" s="314"/>
      <c r="B73" s="314"/>
      <c r="C73" s="314"/>
      <c r="D73" s="314"/>
      <c r="E73" s="314"/>
      <c r="F73" s="314"/>
      <c r="G73" s="314"/>
      <c r="H73" s="314"/>
      <c r="I73" s="314"/>
      <c r="J73" s="314"/>
      <c r="K73" s="314"/>
      <c r="L73" s="314"/>
      <c r="M73" s="314"/>
      <c r="N73" s="314"/>
      <c r="O73" s="314"/>
      <c r="P73" s="314"/>
      <c r="Q73" s="314"/>
      <c r="R73" s="314"/>
      <c r="S73" s="314"/>
      <c r="T73" s="314"/>
      <c r="U73" s="314"/>
      <c r="V73" s="314"/>
      <c r="W73" s="314"/>
      <c r="X73" s="314"/>
    </row>
    <row r="74" spans="1:24" ht="15.75" x14ac:dyDescent="0.25">
      <c r="A74" s="2010" t="s">
        <v>2861</v>
      </c>
      <c r="B74" s="2010"/>
      <c r="C74" s="2010"/>
      <c r="D74" s="2010"/>
      <c r="E74" s="2010"/>
      <c r="F74" s="2010"/>
      <c r="G74" s="2010"/>
      <c r="H74" s="2010"/>
      <c r="I74" s="2010"/>
      <c r="J74" s="2010"/>
      <c r="K74" s="2010"/>
      <c r="L74" s="2010"/>
      <c r="M74" s="2010"/>
      <c r="N74" s="2010"/>
      <c r="O74" s="2010"/>
      <c r="P74" s="2010"/>
      <c r="Q74" s="2010"/>
      <c r="R74" s="2010"/>
      <c r="S74" s="2010"/>
      <c r="T74" s="2010"/>
      <c r="U74" s="2010"/>
      <c r="V74" s="2010"/>
      <c r="W74" s="2010"/>
      <c r="X74" s="2010"/>
    </row>
    <row r="75" spans="1:24" ht="15" x14ac:dyDescent="0.25">
      <c r="A75" s="1069"/>
      <c r="B75" s="1069"/>
      <c r="C75" s="1070"/>
      <c r="D75" s="1071"/>
      <c r="E75" s="1071"/>
      <c r="F75" s="1071"/>
      <c r="G75" s="1071"/>
      <c r="H75" s="1071"/>
      <c r="I75" s="1071"/>
      <c r="J75" s="1071"/>
      <c r="K75" s="1071"/>
      <c r="L75" s="1071"/>
      <c r="M75" s="1071"/>
      <c r="N75" s="1071"/>
      <c r="O75" s="1071"/>
      <c r="P75" s="1071"/>
      <c r="Q75" s="1071"/>
      <c r="R75" s="1071"/>
      <c r="S75" s="1071"/>
      <c r="T75" s="1071"/>
      <c r="U75" s="1071"/>
      <c r="V75" s="1071"/>
      <c r="W75" s="1071"/>
      <c r="X75" s="1071"/>
    </row>
    <row r="76" spans="1:24" ht="15" x14ac:dyDescent="0.25">
      <c r="A76" s="2118" t="s">
        <v>618</v>
      </c>
      <c r="B76" s="2118"/>
      <c r="C76" s="2118"/>
      <c r="D76" s="2118"/>
      <c r="E76" s="2118"/>
      <c r="F76" s="2118"/>
      <c r="G76" s="2118"/>
      <c r="H76" s="2118"/>
      <c r="I76" s="2118"/>
      <c r="J76" s="2118"/>
      <c r="K76" s="2118"/>
      <c r="L76" s="2118"/>
      <c r="M76" s="2118"/>
      <c r="N76" s="2118"/>
      <c r="O76" s="2118"/>
      <c r="P76" s="2118"/>
      <c r="Q76" s="2118"/>
      <c r="R76" s="2118"/>
      <c r="S76" s="2118"/>
      <c r="T76" s="2118"/>
      <c r="U76" s="2118"/>
      <c r="V76" s="2118"/>
      <c r="W76" s="2118"/>
      <c r="X76" s="2118"/>
    </row>
    <row r="77" spans="1:24" ht="15" x14ac:dyDescent="0.25">
      <c r="A77" s="964"/>
      <c r="B77" s="964"/>
      <c r="C77" s="965"/>
      <c r="D77" s="937"/>
      <c r="E77" s="937"/>
      <c r="F77" s="937"/>
      <c r="G77" s="937"/>
      <c r="H77" s="937"/>
      <c r="I77" s="937"/>
      <c r="J77" s="937"/>
      <c r="K77" s="937"/>
      <c r="L77" s="937"/>
      <c r="M77" s="937"/>
      <c r="N77" s="937"/>
      <c r="O77" s="937"/>
      <c r="P77" s="937"/>
      <c r="Q77" s="937"/>
      <c r="R77" s="937"/>
      <c r="S77" s="937"/>
      <c r="T77" s="937"/>
      <c r="U77" s="937"/>
      <c r="V77" s="937"/>
      <c r="W77" s="937"/>
      <c r="X77" s="937"/>
    </row>
    <row r="78" spans="1:24" x14ac:dyDescent="0.2">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row>
    <row r="79" spans="1:24" ht="15" customHeight="1" x14ac:dyDescent="0.25">
      <c r="A79" s="2005" t="s">
        <v>37</v>
      </c>
      <c r="B79" s="1773" t="s">
        <v>1640</v>
      </c>
      <c r="C79" s="2008" t="s">
        <v>2</v>
      </c>
      <c r="D79" s="1997" t="s">
        <v>1641</v>
      </c>
      <c r="E79" s="1997" t="s">
        <v>116</v>
      </c>
      <c r="F79" s="1997" t="s">
        <v>1642</v>
      </c>
      <c r="G79" s="1997" t="s">
        <v>1643</v>
      </c>
      <c r="H79" s="1999" t="s">
        <v>1644</v>
      </c>
      <c r="I79" s="1999"/>
      <c r="J79" s="1999"/>
      <c r="K79" s="1999"/>
      <c r="L79" s="1999"/>
      <c r="M79" s="1999"/>
      <c r="N79" s="1999"/>
      <c r="O79" s="2000"/>
      <c r="P79" s="1248"/>
      <c r="Q79" s="2011" t="s">
        <v>1645</v>
      </c>
      <c r="R79" s="1999"/>
      <c r="S79" s="1999"/>
      <c r="T79" s="1999"/>
      <c r="U79" s="1999"/>
      <c r="V79" s="1999"/>
      <c r="W79" s="1999"/>
      <c r="X79" s="2012"/>
    </row>
    <row r="80" spans="1:24" ht="87" customHeight="1" x14ac:dyDescent="0.2">
      <c r="A80" s="2006"/>
      <c r="B80" s="1774"/>
      <c r="C80" s="2009"/>
      <c r="D80" s="1998"/>
      <c r="E80" s="1998"/>
      <c r="F80" s="1998"/>
      <c r="G80" s="1998"/>
      <c r="H80" s="941" t="s">
        <v>1667</v>
      </c>
      <c r="I80" s="941" t="s">
        <v>1722</v>
      </c>
      <c r="J80" s="941" t="s">
        <v>1718</v>
      </c>
      <c r="K80" s="941" t="s">
        <v>1649</v>
      </c>
      <c r="L80" s="941" t="s">
        <v>1650</v>
      </c>
      <c r="M80" s="941" t="s">
        <v>1651</v>
      </c>
      <c r="N80" s="941" t="s">
        <v>1652</v>
      </c>
      <c r="O80" s="942" t="s">
        <v>1653</v>
      </c>
      <c r="P80" s="944" t="s">
        <v>1654</v>
      </c>
      <c r="Q80" s="999" t="s">
        <v>1655</v>
      </c>
      <c r="R80" s="942" t="s">
        <v>1656</v>
      </c>
      <c r="S80" s="941" t="s">
        <v>1657</v>
      </c>
      <c r="T80" s="941" t="s">
        <v>1658</v>
      </c>
      <c r="U80" s="942" t="s">
        <v>1659</v>
      </c>
      <c r="V80" s="942" t="s">
        <v>1660</v>
      </c>
      <c r="W80" s="942" t="s">
        <v>1661</v>
      </c>
      <c r="X80" s="944" t="s">
        <v>1662</v>
      </c>
    </row>
    <row r="81" spans="1:24" ht="15.75" customHeight="1" x14ac:dyDescent="0.2">
      <c r="A81" s="2121" t="s">
        <v>268</v>
      </c>
      <c r="B81" s="2120" t="s">
        <v>278</v>
      </c>
      <c r="C81" s="2119" t="s">
        <v>2783</v>
      </c>
      <c r="D81" s="974" t="s">
        <v>1929</v>
      </c>
      <c r="E81" s="1011" t="s">
        <v>162</v>
      </c>
      <c r="F81" s="1011" t="s">
        <v>90</v>
      </c>
      <c r="G81" s="1011" t="s">
        <v>1766</v>
      </c>
      <c r="H81" s="1073">
        <f>-80000+80000</f>
        <v>0</v>
      </c>
      <c r="I81" s="1074"/>
      <c r="J81" s="1073"/>
      <c r="K81" s="1073"/>
      <c r="L81" s="1073"/>
      <c r="M81" s="1073"/>
      <c r="N81" s="1073"/>
      <c r="O81" s="1074"/>
      <c r="P81" s="1075"/>
      <c r="Q81" s="1076"/>
      <c r="R81" s="1074"/>
      <c r="S81" s="1073"/>
      <c r="T81" s="1073"/>
      <c r="U81" s="1074"/>
      <c r="V81" s="1074"/>
      <c r="W81" s="1074"/>
      <c r="X81" s="1075"/>
    </row>
    <row r="82" spans="1:24" ht="15.75" customHeight="1" x14ac:dyDescent="0.2">
      <c r="A82" s="2115"/>
      <c r="B82" s="2113"/>
      <c r="C82" s="2111"/>
      <c r="D82" s="978" t="s">
        <v>1929</v>
      </c>
      <c r="E82" s="1000" t="s">
        <v>162</v>
      </c>
      <c r="F82" s="1000" t="s">
        <v>131</v>
      </c>
      <c r="G82" s="1000" t="s">
        <v>1766</v>
      </c>
      <c r="H82" s="1077">
        <f>-696000+696000</f>
        <v>0</v>
      </c>
      <c r="I82" s="1078"/>
      <c r="J82" s="1077"/>
      <c r="K82" s="1077"/>
      <c r="L82" s="1077"/>
      <c r="M82" s="1077"/>
      <c r="N82" s="1077"/>
      <c r="O82" s="1078"/>
      <c r="P82" s="1079"/>
      <c r="Q82" s="1080"/>
      <c r="R82" s="1078"/>
      <c r="S82" s="1077"/>
      <c r="T82" s="1077"/>
      <c r="U82" s="1078"/>
      <c r="V82" s="1078"/>
      <c r="W82" s="1078"/>
      <c r="X82" s="1079"/>
    </row>
    <row r="83" spans="1:24" ht="34.5" customHeight="1" x14ac:dyDescent="0.2">
      <c r="A83" s="1504" t="s">
        <v>269</v>
      </c>
      <c r="B83" s="1503" t="s">
        <v>282</v>
      </c>
      <c r="C83" s="1502" t="s">
        <v>2876</v>
      </c>
      <c r="D83" s="978" t="s">
        <v>1929</v>
      </c>
      <c r="E83" s="1000" t="s">
        <v>162</v>
      </c>
      <c r="F83" s="1000" t="s">
        <v>131</v>
      </c>
      <c r="G83" s="1000" t="s">
        <v>1766</v>
      </c>
      <c r="H83" s="1077">
        <f>-396000+396000</f>
        <v>0</v>
      </c>
      <c r="I83" s="1078"/>
      <c r="J83" s="1077"/>
      <c r="K83" s="1077"/>
      <c r="L83" s="1077"/>
      <c r="M83" s="1077"/>
      <c r="N83" s="1077"/>
      <c r="O83" s="1078"/>
      <c r="P83" s="1079"/>
      <c r="Q83" s="1080"/>
      <c r="R83" s="1078"/>
      <c r="S83" s="1077"/>
      <c r="T83" s="1077"/>
      <c r="U83" s="1078"/>
      <c r="V83" s="1078"/>
      <c r="W83" s="1078"/>
      <c r="X83" s="1079"/>
    </row>
    <row r="84" spans="1:24" ht="27.75" customHeight="1" x14ac:dyDescent="0.2">
      <c r="A84" s="2114" t="s">
        <v>270</v>
      </c>
      <c r="B84" s="2112" t="s">
        <v>283</v>
      </c>
      <c r="C84" s="2110" t="s">
        <v>2936</v>
      </c>
      <c r="D84" s="978" t="s">
        <v>1929</v>
      </c>
      <c r="E84" s="1000" t="s">
        <v>162</v>
      </c>
      <c r="F84" s="1000" t="s">
        <v>90</v>
      </c>
      <c r="G84" s="1000" t="s">
        <v>1752</v>
      </c>
      <c r="H84" s="1077"/>
      <c r="I84" s="1078"/>
      <c r="J84" s="1077">
        <v>-354000</v>
      </c>
      <c r="K84" s="1077"/>
      <c r="L84" s="1077"/>
      <c r="M84" s="1077"/>
      <c r="N84" s="1077"/>
      <c r="O84" s="1078"/>
      <c r="P84" s="1079"/>
      <c r="Q84" s="1080"/>
      <c r="R84" s="1078"/>
      <c r="S84" s="1077"/>
      <c r="T84" s="1077"/>
      <c r="U84" s="1078"/>
      <c r="V84" s="1078"/>
      <c r="W84" s="1078"/>
      <c r="X84" s="1079"/>
    </row>
    <row r="85" spans="1:24" ht="27.75" customHeight="1" x14ac:dyDescent="0.2">
      <c r="A85" s="2115"/>
      <c r="B85" s="2113"/>
      <c r="C85" s="2111"/>
      <c r="D85" s="978" t="s">
        <v>1929</v>
      </c>
      <c r="E85" s="1000" t="s">
        <v>162</v>
      </c>
      <c r="F85" s="1000" t="s">
        <v>131</v>
      </c>
      <c r="G85" s="1000" t="s">
        <v>1754</v>
      </c>
      <c r="H85" s="1077"/>
      <c r="I85" s="1078"/>
      <c r="J85" s="1077">
        <f>70800+283200</f>
        <v>354000</v>
      </c>
      <c r="K85" s="1077"/>
      <c r="L85" s="1077"/>
      <c r="M85" s="1077"/>
      <c r="N85" s="1077"/>
      <c r="O85" s="1078"/>
      <c r="P85" s="1079"/>
      <c r="Q85" s="1080"/>
      <c r="R85" s="1078"/>
      <c r="S85" s="1077"/>
      <c r="T85" s="1077"/>
      <c r="U85" s="1078"/>
      <c r="V85" s="1078"/>
      <c r="W85" s="1078"/>
      <c r="X85" s="1079"/>
    </row>
    <row r="86" spans="1:24" ht="33" customHeight="1" x14ac:dyDescent="0.2">
      <c r="A86" s="1504" t="s">
        <v>271</v>
      </c>
      <c r="B86" s="1503" t="s">
        <v>284</v>
      </c>
      <c r="C86" s="1502" t="s">
        <v>2519</v>
      </c>
      <c r="D86" s="978" t="s">
        <v>1929</v>
      </c>
      <c r="E86" s="1000" t="s">
        <v>162</v>
      </c>
      <c r="F86" s="1000" t="s">
        <v>151</v>
      </c>
      <c r="G86" s="1000" t="s">
        <v>1766</v>
      </c>
      <c r="H86" s="1077"/>
      <c r="I86" s="1078"/>
      <c r="J86" s="1077">
        <f>-8031+8031</f>
        <v>0</v>
      </c>
      <c r="K86" s="1077"/>
      <c r="L86" s="1077"/>
      <c r="M86" s="1077"/>
      <c r="N86" s="1077"/>
      <c r="O86" s="1078"/>
      <c r="P86" s="1079"/>
      <c r="Q86" s="1080"/>
      <c r="R86" s="1078"/>
      <c r="S86" s="1077"/>
      <c r="T86" s="1077"/>
      <c r="U86" s="1078"/>
      <c r="V86" s="1078"/>
      <c r="W86" s="1078"/>
      <c r="X86" s="1079"/>
    </row>
    <row r="87" spans="1:24" x14ac:dyDescent="0.2">
      <c r="A87" s="1423"/>
      <c r="B87" s="1422"/>
      <c r="C87" s="952"/>
      <c r="D87" s="978"/>
      <c r="E87" s="1000"/>
      <c r="F87" s="1000"/>
      <c r="G87" s="1000"/>
      <c r="H87" s="1077"/>
      <c r="I87" s="1078"/>
      <c r="J87" s="1077"/>
      <c r="K87" s="1077"/>
      <c r="L87" s="1077"/>
      <c r="M87" s="1077"/>
      <c r="N87" s="1077"/>
      <c r="O87" s="1078"/>
      <c r="P87" s="1079"/>
      <c r="Q87" s="1080"/>
      <c r="R87" s="1078"/>
      <c r="S87" s="1077"/>
      <c r="T87" s="1077"/>
      <c r="U87" s="1078"/>
      <c r="V87" s="1078"/>
      <c r="W87" s="1078"/>
      <c r="X87" s="1079"/>
    </row>
    <row r="88" spans="1:24" ht="18.75" x14ac:dyDescent="0.3">
      <c r="A88" s="2116" t="s">
        <v>1663</v>
      </c>
      <c r="B88" s="2117"/>
      <c r="C88" s="2117"/>
      <c r="D88" s="956"/>
      <c r="E88" s="956"/>
      <c r="F88" s="956"/>
      <c r="G88" s="956"/>
      <c r="H88" s="1595">
        <f t="shared" ref="H88:X88" si="2">SUM(H81:H87)+H62</f>
        <v>5129237</v>
      </c>
      <c r="I88" s="1595">
        <f t="shared" si="2"/>
        <v>607750</v>
      </c>
      <c r="J88" s="1595">
        <f t="shared" si="2"/>
        <v>7151231</v>
      </c>
      <c r="K88" s="1595">
        <f t="shared" si="2"/>
        <v>0</v>
      </c>
      <c r="L88" s="1595">
        <f t="shared" si="2"/>
        <v>5378111</v>
      </c>
      <c r="M88" s="1595">
        <f t="shared" si="2"/>
        <v>1820213</v>
      </c>
      <c r="N88" s="1595">
        <f t="shared" si="2"/>
        <v>0</v>
      </c>
      <c r="O88" s="1595">
        <f t="shared" si="2"/>
        <v>0</v>
      </c>
      <c r="P88" s="1596">
        <f t="shared" si="2"/>
        <v>0</v>
      </c>
      <c r="Q88" s="1597">
        <f t="shared" si="2"/>
        <v>0</v>
      </c>
      <c r="R88" s="1595">
        <f t="shared" si="2"/>
        <v>0</v>
      </c>
      <c r="S88" s="1595">
        <f t="shared" si="2"/>
        <v>0</v>
      </c>
      <c r="T88" s="1595">
        <f t="shared" si="2"/>
        <v>254851</v>
      </c>
      <c r="U88" s="1595">
        <f t="shared" si="2"/>
        <v>0</v>
      </c>
      <c r="V88" s="1595">
        <f t="shared" si="2"/>
        <v>0</v>
      </c>
      <c r="W88" s="1595">
        <f t="shared" si="2"/>
        <v>0</v>
      </c>
      <c r="X88" s="1596">
        <f t="shared" si="2"/>
        <v>19831691</v>
      </c>
    </row>
    <row r="89" spans="1:24" ht="21" customHeight="1" x14ac:dyDescent="0.25">
      <c r="A89" s="314"/>
      <c r="B89" s="314"/>
      <c r="C89" s="314"/>
      <c r="D89" s="314"/>
      <c r="E89" s="314"/>
      <c r="F89" s="314"/>
      <c r="G89" s="314"/>
      <c r="H89" s="968"/>
      <c r="I89" s="968"/>
      <c r="J89" s="968"/>
      <c r="K89" s="968"/>
      <c r="L89" s="968"/>
      <c r="M89" s="968"/>
      <c r="N89" s="968"/>
      <c r="O89" s="968"/>
      <c r="P89" s="968"/>
      <c r="Q89" s="968"/>
      <c r="R89" s="968"/>
      <c r="S89" s="968"/>
      <c r="T89" s="968"/>
      <c r="U89" s="968"/>
      <c r="V89" s="968"/>
      <c r="W89" s="968"/>
      <c r="X89" s="968"/>
    </row>
    <row r="90" spans="1:24" ht="20.25" customHeight="1" x14ac:dyDescent="0.25">
      <c r="A90" s="314"/>
      <c r="B90" s="314"/>
      <c r="C90" s="314"/>
      <c r="D90" s="314"/>
      <c r="E90" s="314"/>
      <c r="F90" s="314"/>
      <c r="G90" s="314"/>
      <c r="H90" s="995"/>
      <c r="I90" s="995"/>
      <c r="J90" s="995"/>
      <c r="K90" s="995"/>
      <c r="L90" s="995"/>
      <c r="M90" s="995"/>
      <c r="N90" s="995"/>
      <c r="O90" s="995"/>
      <c r="P90" s="995"/>
      <c r="Q90" s="995"/>
      <c r="R90" s="995"/>
      <c r="S90" s="995"/>
      <c r="T90" s="995"/>
      <c r="U90" s="995"/>
      <c r="V90" s="995"/>
      <c r="W90" s="995"/>
      <c r="X90" s="995"/>
    </row>
    <row r="91" spans="1:24" x14ac:dyDescent="0.2">
      <c r="A91" s="314"/>
      <c r="B91" s="314"/>
      <c r="C91" s="314"/>
      <c r="D91" s="314"/>
      <c r="E91" s="314"/>
      <c r="F91" s="314"/>
      <c r="G91" s="314"/>
      <c r="H91" s="314"/>
      <c r="I91" s="314"/>
      <c r="J91" s="314"/>
      <c r="K91" s="314"/>
      <c r="L91" s="314"/>
      <c r="M91" s="314"/>
      <c r="N91" s="314"/>
      <c r="O91" s="314"/>
      <c r="P91" s="314"/>
      <c r="Q91" s="314"/>
      <c r="R91" s="314"/>
      <c r="S91" s="314"/>
      <c r="T91" s="314"/>
      <c r="U91" s="314"/>
      <c r="V91" s="314"/>
      <c r="W91" s="314"/>
      <c r="X91" s="314"/>
    </row>
    <row r="92" spans="1:24" x14ac:dyDescent="0.2">
      <c r="A92" s="314"/>
      <c r="B92" s="314"/>
      <c r="C92" s="314"/>
      <c r="D92" s="314"/>
      <c r="E92" s="314"/>
      <c r="F92" s="314"/>
      <c r="G92" s="314"/>
      <c r="H92" s="314"/>
      <c r="I92" s="314"/>
      <c r="J92" s="314"/>
      <c r="K92" s="314"/>
      <c r="L92" s="314"/>
      <c r="M92" s="314"/>
      <c r="N92" s="314"/>
      <c r="O92" s="314"/>
      <c r="P92" s="314"/>
      <c r="Q92" s="314"/>
      <c r="R92" s="314"/>
      <c r="S92" s="314"/>
      <c r="T92" s="314"/>
      <c r="U92" s="314"/>
      <c r="V92" s="314"/>
      <c r="W92" s="314"/>
      <c r="X92" s="314"/>
    </row>
    <row r="93" spans="1:24" ht="21.75" customHeight="1" x14ac:dyDescent="0.2">
      <c r="A93" s="314"/>
      <c r="B93" s="314"/>
      <c r="C93" s="314"/>
      <c r="D93" s="314"/>
      <c r="E93" s="314"/>
      <c r="F93" s="314"/>
      <c r="G93" s="314"/>
      <c r="H93" s="314"/>
      <c r="I93" s="2042" t="s">
        <v>1664</v>
      </c>
      <c r="J93" s="2042"/>
      <c r="K93" s="2042"/>
      <c r="L93" s="2042">
        <v>321449261</v>
      </c>
      <c r="M93" s="2042"/>
      <c r="N93" s="996"/>
      <c r="O93" s="996"/>
      <c r="P93" s="996"/>
      <c r="Q93" s="996"/>
      <c r="R93" s="2042" t="s">
        <v>1665</v>
      </c>
      <c r="S93" s="2042"/>
      <c r="T93" s="2042"/>
      <c r="U93" s="2042">
        <v>321449261</v>
      </c>
      <c r="V93" s="2042"/>
      <c r="W93" s="314"/>
      <c r="X93" s="314"/>
    </row>
    <row r="94" spans="1:24" ht="22.5" customHeight="1" x14ac:dyDescent="0.2">
      <c r="A94" s="314"/>
      <c r="B94" s="314"/>
      <c r="C94" s="314"/>
      <c r="D94" s="314"/>
      <c r="E94" s="314"/>
      <c r="F94" s="314"/>
      <c r="G94" s="314"/>
      <c r="H94" s="314"/>
      <c r="I94" s="2042" t="s">
        <v>1666</v>
      </c>
      <c r="J94" s="2042"/>
      <c r="K94" s="2042"/>
      <c r="L94" s="2042">
        <f>SUM(H88:P88)</f>
        <v>20086542</v>
      </c>
      <c r="M94" s="2042"/>
      <c r="N94" s="996"/>
      <c r="O94" s="996"/>
      <c r="P94" s="996"/>
      <c r="Q94" s="996"/>
      <c r="R94" s="2042" t="s">
        <v>1666</v>
      </c>
      <c r="S94" s="2042"/>
      <c r="T94" s="2042"/>
      <c r="U94" s="2042">
        <f>SUM(Q88:X88)</f>
        <v>20086542</v>
      </c>
      <c r="V94" s="2042"/>
      <c r="W94" s="314"/>
      <c r="X94" s="314"/>
    </row>
    <row r="95" spans="1:24" ht="24" customHeight="1" x14ac:dyDescent="0.2">
      <c r="A95" s="314"/>
      <c r="B95" s="314"/>
      <c r="C95" s="314"/>
      <c r="D95" s="314"/>
      <c r="E95" s="314"/>
      <c r="F95" s="314"/>
      <c r="G95" s="314"/>
      <c r="H95" s="314"/>
      <c r="I95" s="2042" t="s">
        <v>1512</v>
      </c>
      <c r="J95" s="2042"/>
      <c r="K95" s="2042"/>
      <c r="L95" s="2042">
        <f>+L93+L94</f>
        <v>341535803</v>
      </c>
      <c r="M95" s="2042"/>
      <c r="N95" s="996"/>
      <c r="O95" s="996"/>
      <c r="P95" s="996"/>
      <c r="Q95" s="996"/>
      <c r="R95" s="2042" t="s">
        <v>1512</v>
      </c>
      <c r="S95" s="2042"/>
      <c r="T95" s="2042"/>
      <c r="U95" s="2042">
        <f>+U93+U94</f>
        <v>341535803</v>
      </c>
      <c r="V95" s="2042"/>
      <c r="W95" s="314"/>
      <c r="X95" s="314"/>
    </row>
    <row r="96" spans="1:24" x14ac:dyDescent="0.2">
      <c r="A96" s="314"/>
      <c r="B96" s="314"/>
      <c r="C96" s="314"/>
      <c r="D96" s="314"/>
      <c r="E96" s="314"/>
      <c r="F96" s="314"/>
      <c r="G96" s="314"/>
      <c r="H96" s="314"/>
      <c r="I96" s="314"/>
      <c r="J96" s="314"/>
      <c r="K96" s="314"/>
      <c r="L96" s="314"/>
      <c r="M96" s="314"/>
      <c r="N96" s="314"/>
      <c r="O96" s="314"/>
      <c r="P96" s="314"/>
      <c r="Q96" s="314"/>
      <c r="R96" s="314"/>
      <c r="S96" s="314"/>
      <c r="T96" s="314"/>
      <c r="U96" s="314"/>
      <c r="V96" s="314"/>
      <c r="W96" s="314"/>
      <c r="X96" s="314"/>
    </row>
    <row r="97" spans="1:24" x14ac:dyDescent="0.2">
      <c r="A97" s="314"/>
      <c r="B97" s="314"/>
      <c r="C97" s="314"/>
      <c r="D97" s="314"/>
      <c r="E97" s="314"/>
      <c r="F97" s="314"/>
      <c r="G97" s="314"/>
      <c r="H97" s="314"/>
      <c r="I97" s="314"/>
      <c r="J97" s="314"/>
      <c r="K97" s="314"/>
      <c r="L97" s="314"/>
      <c r="M97" s="314"/>
      <c r="N97" s="314"/>
      <c r="O97" s="314"/>
      <c r="P97" s="314"/>
      <c r="Q97" s="314"/>
      <c r="R97" s="314"/>
      <c r="S97" s="314"/>
      <c r="T97" s="314"/>
      <c r="U97" s="314"/>
      <c r="V97" s="314"/>
      <c r="W97" s="314"/>
      <c r="X97" s="314"/>
    </row>
    <row r="98" spans="1:24" x14ac:dyDescent="0.2">
      <c r="A98" s="314"/>
      <c r="B98" s="314"/>
      <c r="C98" s="314"/>
      <c r="D98" s="314"/>
      <c r="E98" s="314"/>
      <c r="F98" s="314"/>
      <c r="G98" s="314"/>
      <c r="H98" s="314"/>
      <c r="I98" s="314"/>
      <c r="J98" s="314"/>
      <c r="K98" s="314"/>
      <c r="L98" s="314"/>
      <c r="M98" s="314"/>
      <c r="N98" s="314"/>
      <c r="O98" s="314"/>
      <c r="P98" s="314"/>
      <c r="Q98" s="314"/>
      <c r="R98" s="314"/>
      <c r="S98" s="314"/>
      <c r="T98" s="314"/>
      <c r="U98" s="314"/>
      <c r="V98" s="314"/>
      <c r="W98" s="314"/>
      <c r="X98" s="314"/>
    </row>
    <row r="99" spans="1:24" x14ac:dyDescent="0.2">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row>
    <row r="100" spans="1:24" x14ac:dyDescent="0.2">
      <c r="A100" s="314"/>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row>
    <row r="101" spans="1:24" ht="15.75" x14ac:dyDescent="0.25">
      <c r="A101" s="2010" t="s">
        <v>3372</v>
      </c>
      <c r="B101" s="2010"/>
      <c r="C101" s="2010"/>
      <c r="D101" s="2010"/>
      <c r="E101" s="2010"/>
      <c r="F101" s="2010"/>
      <c r="G101" s="2010"/>
      <c r="H101" s="2010"/>
      <c r="I101" s="2010"/>
      <c r="J101" s="2010"/>
      <c r="K101" s="2010"/>
      <c r="L101" s="2010"/>
      <c r="M101" s="2010"/>
      <c r="N101" s="2010"/>
      <c r="O101" s="2010"/>
      <c r="P101" s="2010"/>
      <c r="Q101" s="2010"/>
      <c r="R101" s="2010"/>
      <c r="S101" s="2010"/>
      <c r="T101" s="2010"/>
      <c r="U101" s="2010"/>
      <c r="V101" s="2010"/>
      <c r="W101" s="2010"/>
      <c r="X101" s="2010"/>
    </row>
    <row r="102" spans="1:24" ht="15" x14ac:dyDescent="0.25">
      <c r="A102" s="1069"/>
      <c r="B102" s="1069"/>
      <c r="C102" s="1070"/>
      <c r="D102" s="1071"/>
      <c r="E102" s="1071"/>
      <c r="F102" s="1071"/>
      <c r="G102" s="1071"/>
      <c r="H102" s="1071"/>
      <c r="I102" s="1071"/>
      <c r="J102" s="1071"/>
      <c r="K102" s="1071"/>
      <c r="L102" s="1071"/>
      <c r="M102" s="1071"/>
      <c r="N102" s="1071"/>
      <c r="O102" s="1071"/>
      <c r="P102" s="1071"/>
      <c r="Q102" s="1071"/>
      <c r="R102" s="1071"/>
      <c r="S102" s="1071"/>
      <c r="T102" s="1071"/>
      <c r="U102" s="1071"/>
      <c r="V102" s="1071"/>
      <c r="W102" s="1071"/>
      <c r="X102" s="1071"/>
    </row>
    <row r="103" spans="1:24" ht="15" x14ac:dyDescent="0.25">
      <c r="A103" s="2118" t="s">
        <v>618</v>
      </c>
      <c r="B103" s="2118"/>
      <c r="C103" s="2118"/>
      <c r="D103" s="2118"/>
      <c r="E103" s="2118"/>
      <c r="F103" s="2118"/>
      <c r="G103" s="2118"/>
      <c r="H103" s="2118"/>
      <c r="I103" s="2118"/>
      <c r="J103" s="2118"/>
      <c r="K103" s="2118"/>
      <c r="L103" s="2118"/>
      <c r="M103" s="2118"/>
      <c r="N103" s="2118"/>
      <c r="O103" s="2118"/>
      <c r="P103" s="2118"/>
      <c r="Q103" s="2118"/>
      <c r="R103" s="2118"/>
      <c r="S103" s="2118"/>
      <c r="T103" s="2118"/>
      <c r="U103" s="2118"/>
      <c r="V103" s="2118"/>
      <c r="W103" s="2118"/>
      <c r="X103" s="2118"/>
    </row>
    <row r="104" spans="1:24" ht="15" x14ac:dyDescent="0.25">
      <c r="A104" s="964"/>
      <c r="B104" s="964"/>
      <c r="C104" s="965"/>
      <c r="D104" s="937"/>
      <c r="E104" s="937"/>
      <c r="F104" s="937"/>
      <c r="G104" s="937"/>
      <c r="H104" s="937"/>
      <c r="I104" s="937"/>
      <c r="J104" s="937"/>
      <c r="K104" s="937"/>
      <c r="L104" s="937"/>
      <c r="M104" s="937"/>
      <c r="N104" s="937"/>
      <c r="O104" s="937"/>
      <c r="P104" s="937"/>
      <c r="Q104" s="937"/>
      <c r="R104" s="937"/>
      <c r="S104" s="937"/>
      <c r="T104" s="937"/>
      <c r="U104" s="937"/>
      <c r="V104" s="937"/>
      <c r="W104" s="937"/>
      <c r="X104" s="937"/>
    </row>
    <row r="105" spans="1:24" x14ac:dyDescent="0.2">
      <c r="A105" s="314"/>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row>
    <row r="106" spans="1:24" ht="15" x14ac:dyDescent="0.25">
      <c r="A106" s="2005" t="s">
        <v>37</v>
      </c>
      <c r="B106" s="1773" t="s">
        <v>1640</v>
      </c>
      <c r="C106" s="2008" t="s">
        <v>2</v>
      </c>
      <c r="D106" s="1997" t="s">
        <v>1641</v>
      </c>
      <c r="E106" s="1997" t="s">
        <v>116</v>
      </c>
      <c r="F106" s="1997" t="s">
        <v>1642</v>
      </c>
      <c r="G106" s="1997" t="s">
        <v>1643</v>
      </c>
      <c r="H106" s="1999" t="s">
        <v>1644</v>
      </c>
      <c r="I106" s="1999"/>
      <c r="J106" s="1999"/>
      <c r="K106" s="1999"/>
      <c r="L106" s="1999"/>
      <c r="M106" s="1999"/>
      <c r="N106" s="1999"/>
      <c r="O106" s="2000"/>
      <c r="P106" s="1248"/>
      <c r="Q106" s="2011" t="s">
        <v>1645</v>
      </c>
      <c r="R106" s="1999"/>
      <c r="S106" s="1999"/>
      <c r="T106" s="1999"/>
      <c r="U106" s="1999"/>
      <c r="V106" s="1999"/>
      <c r="W106" s="1999"/>
      <c r="X106" s="2012"/>
    </row>
    <row r="107" spans="1:24" ht="80.25" customHeight="1" x14ac:dyDescent="0.2">
      <c r="A107" s="2006"/>
      <c r="B107" s="1774"/>
      <c r="C107" s="2009"/>
      <c r="D107" s="1998"/>
      <c r="E107" s="1998"/>
      <c r="F107" s="1998"/>
      <c r="G107" s="1998"/>
      <c r="H107" s="941" t="s">
        <v>1667</v>
      </c>
      <c r="I107" s="941" t="s">
        <v>1722</v>
      </c>
      <c r="J107" s="941" t="s">
        <v>1718</v>
      </c>
      <c r="K107" s="941" t="s">
        <v>1649</v>
      </c>
      <c r="L107" s="941" t="s">
        <v>1650</v>
      </c>
      <c r="M107" s="941" t="s">
        <v>1651</v>
      </c>
      <c r="N107" s="941" t="s">
        <v>1652</v>
      </c>
      <c r="O107" s="942" t="s">
        <v>1653</v>
      </c>
      <c r="P107" s="944" t="s">
        <v>1654</v>
      </c>
      <c r="Q107" s="999" t="s">
        <v>1655</v>
      </c>
      <c r="R107" s="942" t="s">
        <v>1656</v>
      </c>
      <c r="S107" s="941" t="s">
        <v>1657</v>
      </c>
      <c r="T107" s="941" t="s">
        <v>1658</v>
      </c>
      <c r="U107" s="942" t="s">
        <v>1659</v>
      </c>
      <c r="V107" s="942" t="s">
        <v>1660</v>
      </c>
      <c r="W107" s="942" t="s">
        <v>1661</v>
      </c>
      <c r="X107" s="944" t="s">
        <v>1662</v>
      </c>
    </row>
    <row r="108" spans="1:24" ht="48.75" customHeight="1" x14ac:dyDescent="0.2">
      <c r="A108" s="1418" t="s">
        <v>272</v>
      </c>
      <c r="B108" s="1420" t="s">
        <v>285</v>
      </c>
      <c r="C108" s="945" t="s">
        <v>3054</v>
      </c>
      <c r="D108" s="974" t="s">
        <v>1929</v>
      </c>
      <c r="E108" s="1011" t="s">
        <v>162</v>
      </c>
      <c r="F108" s="1011" t="s">
        <v>131</v>
      </c>
      <c r="G108" s="1011" t="s">
        <v>1754</v>
      </c>
      <c r="H108" s="1073"/>
      <c r="I108" s="1074"/>
      <c r="J108" s="1073">
        <f>3107200+838944</f>
        <v>3946144</v>
      </c>
      <c r="K108" s="1073"/>
      <c r="L108" s="1073"/>
      <c r="M108" s="1073"/>
      <c r="N108" s="1073"/>
      <c r="O108" s="1074"/>
      <c r="P108" s="1075"/>
      <c r="Q108" s="1076"/>
      <c r="R108" s="1074"/>
      <c r="S108" s="1073"/>
      <c r="T108" s="1073"/>
      <c r="U108" s="1074"/>
      <c r="V108" s="1074"/>
      <c r="W108" s="1074"/>
      <c r="X108" s="1075">
        <v>3946144</v>
      </c>
    </row>
    <row r="109" spans="1:24" ht="27" customHeight="1" x14ac:dyDescent="0.2">
      <c r="A109" s="2114" t="s">
        <v>273</v>
      </c>
      <c r="B109" s="2112" t="s">
        <v>286</v>
      </c>
      <c r="C109" s="2110" t="s">
        <v>3055</v>
      </c>
      <c r="D109" s="1470" t="s">
        <v>1929</v>
      </c>
      <c r="E109" s="1471" t="s">
        <v>162</v>
      </c>
      <c r="F109" s="1471" t="s">
        <v>90</v>
      </c>
      <c r="G109" s="1471" t="s">
        <v>1766</v>
      </c>
      <c r="H109" s="1511"/>
      <c r="I109" s="1512"/>
      <c r="J109" s="1511">
        <f>-124252-33548</f>
        <v>-157800</v>
      </c>
      <c r="K109" s="1511"/>
      <c r="L109" s="1511"/>
      <c r="M109" s="1511">
        <f>124252+33548</f>
        <v>157800</v>
      </c>
      <c r="N109" s="1511"/>
      <c r="O109" s="1512"/>
      <c r="P109" s="1513"/>
      <c r="Q109" s="1514"/>
      <c r="R109" s="1512"/>
      <c r="S109" s="1511"/>
      <c r="T109" s="1511"/>
      <c r="U109" s="1512"/>
      <c r="V109" s="1512"/>
      <c r="W109" s="1512"/>
      <c r="X109" s="1513"/>
    </row>
    <row r="110" spans="1:24" ht="27" customHeight="1" x14ac:dyDescent="0.2">
      <c r="A110" s="2115"/>
      <c r="B110" s="2113"/>
      <c r="C110" s="2111"/>
      <c r="D110" s="1470" t="s">
        <v>1929</v>
      </c>
      <c r="E110" s="1471" t="s">
        <v>162</v>
      </c>
      <c r="F110" s="1471" t="s">
        <v>131</v>
      </c>
      <c r="G110" s="1471" t="s">
        <v>1766</v>
      </c>
      <c r="H110" s="1511"/>
      <c r="I110" s="1512"/>
      <c r="J110" s="1511"/>
      <c r="K110" s="1511"/>
      <c r="L110" s="1511"/>
      <c r="M110" s="1511">
        <f>-41189+41189</f>
        <v>0</v>
      </c>
      <c r="N110" s="1511"/>
      <c r="O110" s="1512"/>
      <c r="P110" s="1513"/>
      <c r="Q110" s="1514"/>
      <c r="R110" s="1512"/>
      <c r="S110" s="1511"/>
      <c r="T110" s="1511"/>
      <c r="U110" s="1512"/>
      <c r="V110" s="1512"/>
      <c r="W110" s="1512"/>
      <c r="X110" s="1513"/>
    </row>
    <row r="111" spans="1:24" ht="21" customHeight="1" x14ac:dyDescent="0.2">
      <c r="A111" s="2114" t="s">
        <v>274</v>
      </c>
      <c r="B111" s="2112" t="s">
        <v>287</v>
      </c>
      <c r="C111" s="2110" t="s">
        <v>3086</v>
      </c>
      <c r="D111" s="1470" t="s">
        <v>1929</v>
      </c>
      <c r="E111" s="1471" t="s">
        <v>162</v>
      </c>
      <c r="F111" s="1471" t="s">
        <v>90</v>
      </c>
      <c r="G111" s="1471" t="s">
        <v>1766</v>
      </c>
      <c r="H111" s="1511">
        <f>-11885000+11725000+160000</f>
        <v>0</v>
      </c>
      <c r="I111" s="1512"/>
      <c r="J111" s="1511"/>
      <c r="K111" s="1511"/>
      <c r="L111" s="1511"/>
      <c r="M111" s="1511"/>
      <c r="N111" s="1511"/>
      <c r="O111" s="1512"/>
      <c r="P111" s="1513"/>
      <c r="Q111" s="1514"/>
      <c r="R111" s="1512"/>
      <c r="S111" s="1511"/>
      <c r="T111" s="1511"/>
      <c r="U111" s="1512"/>
      <c r="V111" s="1512"/>
      <c r="W111" s="1512"/>
      <c r="X111" s="1513"/>
    </row>
    <row r="112" spans="1:24" ht="21" customHeight="1" x14ac:dyDescent="0.2">
      <c r="A112" s="2115"/>
      <c r="B112" s="2113"/>
      <c r="C112" s="2111"/>
      <c r="D112" s="1470" t="s">
        <v>1929</v>
      </c>
      <c r="E112" s="1471" t="s">
        <v>162</v>
      </c>
      <c r="F112" s="1471" t="s">
        <v>131</v>
      </c>
      <c r="G112" s="1471" t="s">
        <v>1766</v>
      </c>
      <c r="H112" s="1511">
        <f>-5550000+5150000+400000</f>
        <v>0</v>
      </c>
      <c r="I112" s="1512"/>
      <c r="J112" s="1511"/>
      <c r="K112" s="1511"/>
      <c r="L112" s="1511"/>
      <c r="M112" s="1511"/>
      <c r="N112" s="1511"/>
      <c r="O112" s="1512"/>
      <c r="P112" s="1513"/>
      <c r="Q112" s="1514"/>
      <c r="R112" s="1512"/>
      <c r="S112" s="1511"/>
      <c r="T112" s="1511"/>
      <c r="U112" s="1512"/>
      <c r="V112" s="1512"/>
      <c r="W112" s="1512"/>
      <c r="X112" s="1513"/>
    </row>
    <row r="113" spans="1:24" ht="30.75" customHeight="1" x14ac:dyDescent="0.2">
      <c r="A113" s="1504" t="s">
        <v>275</v>
      </c>
      <c r="B113" s="1503" t="s">
        <v>288</v>
      </c>
      <c r="C113" s="1502" t="s">
        <v>3117</v>
      </c>
      <c r="D113" s="1470" t="s">
        <v>1929</v>
      </c>
      <c r="E113" s="1471" t="s">
        <v>162</v>
      </c>
      <c r="F113" s="1471" t="s">
        <v>90</v>
      </c>
      <c r="G113" s="1471" t="s">
        <v>1766</v>
      </c>
      <c r="H113" s="1511"/>
      <c r="I113" s="1512"/>
      <c r="J113" s="1511"/>
      <c r="K113" s="1511"/>
      <c r="L113" s="1511"/>
      <c r="M113" s="1511">
        <f>-44000+44000</f>
        <v>0</v>
      </c>
      <c r="N113" s="1511"/>
      <c r="O113" s="1512"/>
      <c r="P113" s="1513"/>
      <c r="Q113" s="1514"/>
      <c r="R113" s="1512"/>
      <c r="S113" s="1511"/>
      <c r="T113" s="1511"/>
      <c r="U113" s="1512"/>
      <c r="V113" s="1512"/>
      <c r="W113" s="1512"/>
      <c r="X113" s="1513"/>
    </row>
    <row r="114" spans="1:24" ht="43.5" customHeight="1" x14ac:dyDescent="0.2">
      <c r="A114" s="1504" t="s">
        <v>276</v>
      </c>
      <c r="B114" s="1503" t="s">
        <v>289</v>
      </c>
      <c r="C114" s="1502" t="s">
        <v>3118</v>
      </c>
      <c r="D114" s="1470" t="s">
        <v>1929</v>
      </c>
      <c r="E114" s="1471" t="s">
        <v>162</v>
      </c>
      <c r="F114" s="1471" t="s">
        <v>90</v>
      </c>
      <c r="G114" s="1471" t="s">
        <v>1766</v>
      </c>
      <c r="H114" s="1511"/>
      <c r="I114" s="1512"/>
      <c r="J114" s="1511">
        <f>-100000+100000</f>
        <v>0</v>
      </c>
      <c r="K114" s="1511"/>
      <c r="L114" s="1511"/>
      <c r="M114" s="1511"/>
      <c r="N114" s="1511"/>
      <c r="O114" s="1512"/>
      <c r="P114" s="1513"/>
      <c r="Q114" s="1514"/>
      <c r="R114" s="1512"/>
      <c r="S114" s="1511"/>
      <c r="T114" s="1511"/>
      <c r="U114" s="1512"/>
      <c r="V114" s="1512"/>
      <c r="W114" s="1512"/>
      <c r="X114" s="1513"/>
    </row>
    <row r="115" spans="1:24" ht="30.75" customHeight="1" x14ac:dyDescent="0.2">
      <c r="A115" s="1504" t="s">
        <v>277</v>
      </c>
      <c r="B115" s="1503" t="s">
        <v>290</v>
      </c>
      <c r="C115" s="1502" t="s">
        <v>3119</v>
      </c>
      <c r="D115" s="1470" t="s">
        <v>1929</v>
      </c>
      <c r="E115" s="1471" t="s">
        <v>162</v>
      </c>
      <c r="F115" s="1471" t="s">
        <v>131</v>
      </c>
      <c r="G115" s="1471" t="s">
        <v>1766</v>
      </c>
      <c r="H115" s="1511"/>
      <c r="I115" s="1512"/>
      <c r="J115" s="1511">
        <f>-50000+50000</f>
        <v>0</v>
      </c>
      <c r="K115" s="1511"/>
      <c r="L115" s="1511"/>
      <c r="M115" s="1511"/>
      <c r="N115" s="1511"/>
      <c r="O115" s="1512"/>
      <c r="P115" s="1513"/>
      <c r="Q115" s="1514"/>
      <c r="R115" s="1512"/>
      <c r="S115" s="1511"/>
      <c r="T115" s="1511"/>
      <c r="U115" s="1512"/>
      <c r="V115" s="1512"/>
      <c r="W115" s="1512"/>
      <c r="X115" s="1513"/>
    </row>
    <row r="116" spans="1:24" ht="29.25" customHeight="1" x14ac:dyDescent="0.2">
      <c r="A116" s="2114" t="s">
        <v>278</v>
      </c>
      <c r="B116" s="2112" t="s">
        <v>291</v>
      </c>
      <c r="C116" s="2110" t="s">
        <v>3231</v>
      </c>
      <c r="D116" s="1470" t="s">
        <v>1929</v>
      </c>
      <c r="E116" s="1471" t="s">
        <v>1297</v>
      </c>
      <c r="F116" s="1471" t="s">
        <v>127</v>
      </c>
      <c r="G116" s="1471" t="s">
        <v>1754</v>
      </c>
      <c r="H116" s="1511"/>
      <c r="I116" s="1512"/>
      <c r="J116" s="1511"/>
      <c r="K116" s="1511"/>
      <c r="L116" s="1511"/>
      <c r="M116" s="1511"/>
      <c r="N116" s="1511"/>
      <c r="O116" s="1512"/>
      <c r="P116" s="1513"/>
      <c r="Q116" s="1514"/>
      <c r="R116" s="1512"/>
      <c r="S116" s="1511"/>
      <c r="T116" s="1511"/>
      <c r="U116" s="1512"/>
      <c r="V116" s="1512"/>
      <c r="W116" s="1512"/>
      <c r="X116" s="1513">
        <v>250000</v>
      </c>
    </row>
    <row r="117" spans="1:24" ht="29.25" customHeight="1" x14ac:dyDescent="0.2">
      <c r="A117" s="2115"/>
      <c r="B117" s="2113"/>
      <c r="C117" s="2111"/>
      <c r="D117" s="978" t="s">
        <v>1929</v>
      </c>
      <c r="E117" s="1000" t="s">
        <v>162</v>
      </c>
      <c r="F117" s="1000" t="s">
        <v>151</v>
      </c>
      <c r="G117" s="1000" t="s">
        <v>1754</v>
      </c>
      <c r="H117" s="1077"/>
      <c r="I117" s="1078"/>
      <c r="J117" s="1077">
        <f>196850+53150</f>
        <v>250000</v>
      </c>
      <c r="K117" s="1077"/>
      <c r="L117" s="1077"/>
      <c r="M117" s="1077"/>
      <c r="N117" s="1077"/>
      <c r="O117" s="1078"/>
      <c r="P117" s="1079"/>
      <c r="Q117" s="1080"/>
      <c r="R117" s="1078"/>
      <c r="S117" s="1077"/>
      <c r="T117" s="1077"/>
      <c r="U117" s="1078"/>
      <c r="V117" s="1078"/>
      <c r="W117" s="1078"/>
      <c r="X117" s="1079"/>
    </row>
    <row r="118" spans="1:24" ht="21" customHeight="1" x14ac:dyDescent="0.2">
      <c r="A118" s="2114" t="s">
        <v>282</v>
      </c>
      <c r="B118" s="2112" t="s">
        <v>292</v>
      </c>
      <c r="C118" s="2110" t="s">
        <v>3241</v>
      </c>
      <c r="D118" s="978" t="s">
        <v>1929</v>
      </c>
      <c r="E118" s="1000" t="s">
        <v>162</v>
      </c>
      <c r="F118" s="1000" t="s">
        <v>90</v>
      </c>
      <c r="G118" s="1000" t="s">
        <v>1766</v>
      </c>
      <c r="H118" s="1077">
        <f>-240000+240000</f>
        <v>0</v>
      </c>
      <c r="I118" s="1078"/>
      <c r="J118" s="1077"/>
      <c r="K118" s="1077"/>
      <c r="L118" s="1077"/>
      <c r="M118" s="1077"/>
      <c r="N118" s="1077"/>
      <c r="O118" s="1078"/>
      <c r="P118" s="1079"/>
      <c r="Q118" s="1080"/>
      <c r="R118" s="1078"/>
      <c r="S118" s="1077"/>
      <c r="T118" s="1077"/>
      <c r="U118" s="1078"/>
      <c r="V118" s="1078"/>
      <c r="W118" s="1078"/>
      <c r="X118" s="1079"/>
    </row>
    <row r="119" spans="1:24" ht="21" customHeight="1" x14ac:dyDescent="0.2">
      <c r="A119" s="2115"/>
      <c r="B119" s="2113"/>
      <c r="C119" s="2111"/>
      <c r="D119" s="978" t="s">
        <v>1929</v>
      </c>
      <c r="E119" s="1000" t="s">
        <v>162</v>
      </c>
      <c r="F119" s="1000" t="s">
        <v>131</v>
      </c>
      <c r="G119" s="1000" t="s">
        <v>1766</v>
      </c>
      <c r="H119" s="1077">
        <f>-1030000+30000+1000000</f>
        <v>0</v>
      </c>
      <c r="I119" s="1078"/>
      <c r="J119" s="1077"/>
      <c r="K119" s="1077"/>
      <c r="L119" s="1077"/>
      <c r="M119" s="1077"/>
      <c r="N119" s="1077"/>
      <c r="O119" s="1078"/>
      <c r="P119" s="1079"/>
      <c r="Q119" s="1080"/>
      <c r="R119" s="1078"/>
      <c r="S119" s="1077"/>
      <c r="T119" s="1077"/>
      <c r="U119" s="1078"/>
      <c r="V119" s="1078"/>
      <c r="W119" s="1078"/>
      <c r="X119" s="1079"/>
    </row>
    <row r="120" spans="1:24" ht="42.75" customHeight="1" x14ac:dyDescent="0.2">
      <c r="A120" s="1423" t="s">
        <v>283</v>
      </c>
      <c r="B120" s="1422" t="s">
        <v>293</v>
      </c>
      <c r="C120" s="1424" t="s">
        <v>3281</v>
      </c>
      <c r="D120" s="978" t="s">
        <v>1929</v>
      </c>
      <c r="E120" s="1000" t="s">
        <v>162</v>
      </c>
      <c r="F120" s="1000" t="s">
        <v>90</v>
      </c>
      <c r="G120" s="1000" t="s">
        <v>1766</v>
      </c>
      <c r="H120" s="1077"/>
      <c r="I120" s="1078"/>
      <c r="J120" s="1077">
        <f>-197038-53201</f>
        <v>-250239</v>
      </c>
      <c r="K120" s="1077"/>
      <c r="L120" s="1077"/>
      <c r="M120" s="1077">
        <f>191503+5535+53201</f>
        <v>250239</v>
      </c>
      <c r="N120" s="1077"/>
      <c r="O120" s="1078"/>
      <c r="P120" s="1079"/>
      <c r="Q120" s="1080"/>
      <c r="R120" s="1078"/>
      <c r="S120" s="1077"/>
      <c r="T120" s="1077"/>
      <c r="U120" s="1078"/>
      <c r="V120" s="1078"/>
      <c r="W120" s="1078"/>
      <c r="X120" s="1079"/>
    </row>
    <row r="121" spans="1:24" ht="33" customHeight="1" x14ac:dyDescent="0.2">
      <c r="A121" s="1414" t="s">
        <v>284</v>
      </c>
      <c r="B121" s="1415" t="s">
        <v>294</v>
      </c>
      <c r="C121" s="1416" t="s">
        <v>3370</v>
      </c>
      <c r="D121" s="978" t="s">
        <v>1929</v>
      </c>
      <c r="E121" s="1000" t="s">
        <v>162</v>
      </c>
      <c r="F121" s="1000" t="s">
        <v>131</v>
      </c>
      <c r="G121" s="1000" t="s">
        <v>1766</v>
      </c>
      <c r="H121" s="1077"/>
      <c r="I121" s="1078"/>
      <c r="J121" s="1077">
        <f>-5740-1550</f>
        <v>-7290</v>
      </c>
      <c r="K121" s="1077"/>
      <c r="L121" s="1077"/>
      <c r="M121" s="1077">
        <f>5740+1550</f>
        <v>7290</v>
      </c>
      <c r="N121" s="1077"/>
      <c r="O121" s="1078"/>
      <c r="P121" s="1079"/>
      <c r="Q121" s="1080"/>
      <c r="R121" s="1078"/>
      <c r="S121" s="1077"/>
      <c r="T121" s="1077"/>
      <c r="U121" s="1078"/>
      <c r="V121" s="1078"/>
      <c r="W121" s="1078"/>
      <c r="X121" s="1079"/>
    </row>
    <row r="122" spans="1:24" ht="33" customHeight="1" x14ac:dyDescent="0.2">
      <c r="A122" s="1423" t="s">
        <v>285</v>
      </c>
      <c r="B122" s="1422" t="s">
        <v>295</v>
      </c>
      <c r="C122" s="1424" t="s">
        <v>3292</v>
      </c>
      <c r="D122" s="978" t="s">
        <v>1929</v>
      </c>
      <c r="E122" s="1000" t="s">
        <v>162</v>
      </c>
      <c r="F122" s="1000" t="s">
        <v>131</v>
      </c>
      <c r="G122" s="1000" t="s">
        <v>1754</v>
      </c>
      <c r="H122" s="1077"/>
      <c r="I122" s="1078"/>
      <c r="J122" s="1077">
        <v>783</v>
      </c>
      <c r="K122" s="1077"/>
      <c r="L122" s="1077"/>
      <c r="M122" s="1077"/>
      <c r="N122" s="1077"/>
      <c r="O122" s="1078"/>
      <c r="P122" s="1079"/>
      <c r="Q122" s="1080"/>
      <c r="R122" s="1078"/>
      <c r="S122" s="1077"/>
      <c r="T122" s="1077">
        <v>783</v>
      </c>
      <c r="U122" s="1078"/>
      <c r="V122" s="1078"/>
      <c r="W122" s="1078"/>
      <c r="X122" s="1079"/>
    </row>
    <row r="123" spans="1:24" ht="22.5" customHeight="1" x14ac:dyDescent="0.2">
      <c r="A123" s="2114" t="s">
        <v>286</v>
      </c>
      <c r="B123" s="2112" t="s">
        <v>296</v>
      </c>
      <c r="C123" s="2110" t="s">
        <v>3374</v>
      </c>
      <c r="D123" s="978" t="s">
        <v>1929</v>
      </c>
      <c r="E123" s="1000" t="s">
        <v>162</v>
      </c>
      <c r="F123" s="1000" t="s">
        <v>90</v>
      </c>
      <c r="G123" s="1000" t="s">
        <v>1766</v>
      </c>
      <c r="H123" s="1077">
        <f>-210000+210000</f>
        <v>0</v>
      </c>
      <c r="I123" s="1078"/>
      <c r="J123" s="1077"/>
      <c r="K123" s="1077"/>
      <c r="L123" s="1077"/>
      <c r="M123" s="1077"/>
      <c r="N123" s="1077"/>
      <c r="O123" s="1078"/>
      <c r="P123" s="1079"/>
      <c r="Q123" s="1080"/>
      <c r="R123" s="1078"/>
      <c r="S123" s="1077"/>
      <c r="T123" s="1077"/>
      <c r="U123" s="1078"/>
      <c r="V123" s="1078"/>
      <c r="W123" s="1078"/>
      <c r="X123" s="1079"/>
    </row>
    <row r="124" spans="1:24" ht="22.5" customHeight="1" x14ac:dyDescent="0.2">
      <c r="A124" s="2115"/>
      <c r="B124" s="2113"/>
      <c r="C124" s="2111"/>
      <c r="D124" s="978" t="s">
        <v>1929</v>
      </c>
      <c r="E124" s="1000" t="s">
        <v>162</v>
      </c>
      <c r="F124" s="1000" t="s">
        <v>131</v>
      </c>
      <c r="G124" s="1000" t="s">
        <v>1766</v>
      </c>
      <c r="H124" s="1077">
        <f>-510000+110000+400000</f>
        <v>0</v>
      </c>
      <c r="I124" s="1078"/>
      <c r="J124" s="1077"/>
      <c r="K124" s="1077"/>
      <c r="L124" s="1077"/>
      <c r="M124" s="1077"/>
      <c r="N124" s="1077"/>
      <c r="O124" s="1078"/>
      <c r="P124" s="1079"/>
      <c r="Q124" s="1080"/>
      <c r="R124" s="1078"/>
      <c r="S124" s="1077"/>
      <c r="T124" s="1077"/>
      <c r="U124" s="1078"/>
      <c r="V124" s="1078"/>
      <c r="W124" s="1078"/>
      <c r="X124" s="1079"/>
    </row>
    <row r="125" spans="1:24" ht="21.75" customHeight="1" x14ac:dyDescent="0.2">
      <c r="A125" s="2114" t="s">
        <v>287</v>
      </c>
      <c r="B125" s="2112" t="s">
        <v>194</v>
      </c>
      <c r="C125" s="2110" t="s">
        <v>3424</v>
      </c>
      <c r="D125" s="978" t="s">
        <v>1929</v>
      </c>
      <c r="E125" s="1000" t="s">
        <v>1297</v>
      </c>
      <c r="F125" s="1000" t="s">
        <v>127</v>
      </c>
      <c r="G125" s="1000" t="s">
        <v>1754</v>
      </c>
      <c r="H125" s="1077"/>
      <c r="I125" s="1078"/>
      <c r="J125" s="1077"/>
      <c r="K125" s="1077"/>
      <c r="L125" s="1077"/>
      <c r="M125" s="1077"/>
      <c r="N125" s="1077"/>
      <c r="O125" s="1078"/>
      <c r="P125" s="1079"/>
      <c r="Q125" s="1080"/>
      <c r="R125" s="1078"/>
      <c r="S125" s="1077"/>
      <c r="T125" s="1077"/>
      <c r="U125" s="1078"/>
      <c r="V125" s="1078"/>
      <c r="W125" s="1078"/>
      <c r="X125" s="1079">
        <v>200000</v>
      </c>
    </row>
    <row r="126" spans="1:24" ht="21.75" customHeight="1" x14ac:dyDescent="0.2">
      <c r="A126" s="2115"/>
      <c r="B126" s="2113"/>
      <c r="C126" s="2111"/>
      <c r="D126" s="978" t="s">
        <v>1929</v>
      </c>
      <c r="E126" s="1000" t="s">
        <v>162</v>
      </c>
      <c r="F126" s="1000" t="s">
        <v>90</v>
      </c>
      <c r="G126" s="1000" t="s">
        <v>1754</v>
      </c>
      <c r="H126" s="1077">
        <v>200000</v>
      </c>
      <c r="I126" s="1078"/>
      <c r="J126" s="1077"/>
      <c r="K126" s="1077"/>
      <c r="L126" s="1077"/>
      <c r="M126" s="1077"/>
      <c r="N126" s="1077"/>
      <c r="O126" s="1078"/>
      <c r="P126" s="1079"/>
      <c r="Q126" s="1080"/>
      <c r="R126" s="1078"/>
      <c r="S126" s="1077"/>
      <c r="T126" s="1077"/>
      <c r="U126" s="1078"/>
      <c r="V126" s="1078"/>
      <c r="W126" s="1078"/>
      <c r="X126" s="1079"/>
    </row>
    <row r="127" spans="1:24" ht="33" customHeight="1" x14ac:dyDescent="0.2">
      <c r="A127" s="1423" t="s">
        <v>288</v>
      </c>
      <c r="B127" s="1422" t="s">
        <v>195</v>
      </c>
      <c r="C127" s="1424" t="s">
        <v>3455</v>
      </c>
      <c r="D127" s="978" t="s">
        <v>1929</v>
      </c>
      <c r="E127" s="1000" t="s">
        <v>162</v>
      </c>
      <c r="F127" s="1000" t="s">
        <v>90</v>
      </c>
      <c r="G127" s="1000" t="s">
        <v>1766</v>
      </c>
      <c r="H127" s="1077"/>
      <c r="I127" s="1078"/>
      <c r="J127" s="1077">
        <f>-40000+20000+20000</f>
        <v>0</v>
      </c>
      <c r="K127" s="1077"/>
      <c r="L127" s="1077"/>
      <c r="M127" s="1077"/>
      <c r="N127" s="1077"/>
      <c r="O127" s="1078"/>
      <c r="P127" s="1079"/>
      <c r="Q127" s="1080"/>
      <c r="R127" s="1078"/>
      <c r="S127" s="1077"/>
      <c r="T127" s="1077"/>
      <c r="U127" s="1078"/>
      <c r="V127" s="1078"/>
      <c r="W127" s="1078"/>
      <c r="X127" s="1079"/>
    </row>
    <row r="128" spans="1:24" ht="42.75" customHeight="1" x14ac:dyDescent="0.2">
      <c r="A128" s="1440" t="s">
        <v>289</v>
      </c>
      <c r="B128" s="1439" t="s">
        <v>196</v>
      </c>
      <c r="C128" s="1438" t="s">
        <v>3456</v>
      </c>
      <c r="D128" s="978" t="s">
        <v>1929</v>
      </c>
      <c r="E128" s="1000" t="s">
        <v>162</v>
      </c>
      <c r="F128" s="1000" t="s">
        <v>90</v>
      </c>
      <c r="G128" s="1000" t="s">
        <v>1766</v>
      </c>
      <c r="H128" s="1077"/>
      <c r="I128" s="1078"/>
      <c r="J128" s="1077">
        <f>-50000+20000+30000</f>
        <v>0</v>
      </c>
      <c r="K128" s="1077"/>
      <c r="L128" s="1077"/>
      <c r="M128" s="1077"/>
      <c r="N128" s="1077"/>
      <c r="O128" s="1078"/>
      <c r="P128" s="1079"/>
      <c r="Q128" s="1080"/>
      <c r="R128" s="1078"/>
      <c r="S128" s="1077"/>
      <c r="T128" s="1077"/>
      <c r="U128" s="1078"/>
      <c r="V128" s="1078"/>
      <c r="W128" s="1078"/>
      <c r="X128" s="1079"/>
    </row>
    <row r="129" spans="1:24" ht="33" customHeight="1" x14ac:dyDescent="0.2">
      <c r="A129" s="1440" t="s">
        <v>290</v>
      </c>
      <c r="B129" s="1439" t="s">
        <v>197</v>
      </c>
      <c r="C129" s="1438" t="s">
        <v>3477</v>
      </c>
      <c r="D129" s="978" t="s">
        <v>1929</v>
      </c>
      <c r="E129" s="1000" t="s">
        <v>162</v>
      </c>
      <c r="F129" s="1000" t="s">
        <v>90</v>
      </c>
      <c r="G129" s="1000" t="s">
        <v>1766</v>
      </c>
      <c r="H129" s="1077"/>
      <c r="I129" s="1078"/>
      <c r="J129" s="1077">
        <f>-50000-13000</f>
        <v>-63000</v>
      </c>
      <c r="K129" s="1077"/>
      <c r="L129" s="1077"/>
      <c r="M129" s="1077">
        <f>50000+13000</f>
        <v>63000</v>
      </c>
      <c r="N129" s="1077"/>
      <c r="O129" s="1078"/>
      <c r="P129" s="1079"/>
      <c r="Q129" s="1080"/>
      <c r="R129" s="1078"/>
      <c r="S129" s="1077"/>
      <c r="T129" s="1077"/>
      <c r="U129" s="1078"/>
      <c r="V129" s="1078"/>
      <c r="W129" s="1078"/>
      <c r="X129" s="1079"/>
    </row>
    <row r="130" spans="1:24" ht="33.75" customHeight="1" x14ac:dyDescent="0.2">
      <c r="A130" s="1440" t="s">
        <v>291</v>
      </c>
      <c r="B130" s="1439" t="s">
        <v>198</v>
      </c>
      <c r="C130" s="1523" t="s">
        <v>3528</v>
      </c>
      <c r="D130" s="978" t="s">
        <v>1929</v>
      </c>
      <c r="E130" s="1000" t="s">
        <v>162</v>
      </c>
      <c r="F130" s="1000" t="s">
        <v>131</v>
      </c>
      <c r="G130" s="1000" t="s">
        <v>1766</v>
      </c>
      <c r="H130" s="1077">
        <f>-200000+200000</f>
        <v>0</v>
      </c>
      <c r="I130" s="1078"/>
      <c r="J130" s="1077"/>
      <c r="K130" s="1077"/>
      <c r="L130" s="1077"/>
      <c r="M130" s="1077"/>
      <c r="N130" s="1077"/>
      <c r="O130" s="1078"/>
      <c r="P130" s="1079"/>
      <c r="Q130" s="1080"/>
      <c r="R130" s="1078"/>
      <c r="S130" s="1077"/>
      <c r="T130" s="1077"/>
      <c r="U130" s="1078"/>
      <c r="V130" s="1078"/>
      <c r="W130" s="1078"/>
      <c r="X130" s="1079"/>
    </row>
    <row r="131" spans="1:24" ht="31.5" customHeight="1" x14ac:dyDescent="0.2">
      <c r="A131" s="1440" t="s">
        <v>292</v>
      </c>
      <c r="B131" s="1439" t="s">
        <v>199</v>
      </c>
      <c r="C131" s="1523" t="s">
        <v>3537</v>
      </c>
      <c r="D131" s="978" t="s">
        <v>1929</v>
      </c>
      <c r="E131" s="1000" t="s">
        <v>162</v>
      </c>
      <c r="F131" s="1000" t="s">
        <v>90</v>
      </c>
      <c r="G131" s="1000" t="s">
        <v>1752</v>
      </c>
      <c r="H131" s="1077"/>
      <c r="I131" s="1078"/>
      <c r="J131" s="1077">
        <v>-14</v>
      </c>
      <c r="K131" s="1077"/>
      <c r="L131" s="1077"/>
      <c r="M131" s="1077"/>
      <c r="N131" s="1077"/>
      <c r="O131" s="1078"/>
      <c r="P131" s="1079"/>
      <c r="Q131" s="1080"/>
      <c r="R131" s="1078"/>
      <c r="S131" s="1077"/>
      <c r="T131" s="1077">
        <v>-14</v>
      </c>
      <c r="U131" s="1078"/>
      <c r="V131" s="1078"/>
      <c r="W131" s="1078"/>
      <c r="X131" s="1079"/>
    </row>
    <row r="132" spans="1:24" ht="18" customHeight="1" x14ac:dyDescent="0.2">
      <c r="A132" s="1419"/>
      <c r="B132" s="1421"/>
      <c r="C132" s="1505"/>
      <c r="D132" s="978"/>
      <c r="E132" s="1000"/>
      <c r="F132" s="1000"/>
      <c r="G132" s="1000"/>
      <c r="H132" s="1077"/>
      <c r="I132" s="1078"/>
      <c r="J132" s="1077"/>
      <c r="K132" s="1077"/>
      <c r="L132" s="1077"/>
      <c r="M132" s="1077"/>
      <c r="N132" s="1077"/>
      <c r="O132" s="1078"/>
      <c r="P132" s="1079"/>
      <c r="Q132" s="1080"/>
      <c r="R132" s="1078"/>
      <c r="S132" s="1077"/>
      <c r="T132" s="1077"/>
      <c r="U132" s="1078"/>
      <c r="V132" s="1078"/>
      <c r="W132" s="1078"/>
      <c r="X132" s="1079"/>
    </row>
    <row r="133" spans="1:24" ht="18.75" x14ac:dyDescent="0.3">
      <c r="A133" s="2116" t="s">
        <v>1663</v>
      </c>
      <c r="B133" s="2117"/>
      <c r="C133" s="2117"/>
      <c r="D133" s="956"/>
      <c r="E133" s="956"/>
      <c r="F133" s="956"/>
      <c r="G133" s="956"/>
      <c r="H133" s="1595">
        <f t="shared" ref="H133:X133" si="3">SUM(H108:H132)+H88</f>
        <v>5329237</v>
      </c>
      <c r="I133" s="1595">
        <f t="shared" si="3"/>
        <v>607750</v>
      </c>
      <c r="J133" s="1595">
        <f t="shared" si="3"/>
        <v>10869815</v>
      </c>
      <c r="K133" s="1595">
        <f t="shared" si="3"/>
        <v>0</v>
      </c>
      <c r="L133" s="1595">
        <f t="shared" si="3"/>
        <v>5378111</v>
      </c>
      <c r="M133" s="1595">
        <f t="shared" si="3"/>
        <v>2298542</v>
      </c>
      <c r="N133" s="1595">
        <f t="shared" si="3"/>
        <v>0</v>
      </c>
      <c r="O133" s="1595">
        <f t="shared" si="3"/>
        <v>0</v>
      </c>
      <c r="P133" s="1596">
        <f t="shared" si="3"/>
        <v>0</v>
      </c>
      <c r="Q133" s="1597">
        <f t="shared" si="3"/>
        <v>0</v>
      </c>
      <c r="R133" s="1595">
        <f t="shared" si="3"/>
        <v>0</v>
      </c>
      <c r="S133" s="1595">
        <f t="shared" si="3"/>
        <v>0</v>
      </c>
      <c r="T133" s="1595">
        <f t="shared" si="3"/>
        <v>255620</v>
      </c>
      <c r="U133" s="1595">
        <f t="shared" si="3"/>
        <v>0</v>
      </c>
      <c r="V133" s="1595">
        <f t="shared" si="3"/>
        <v>0</v>
      </c>
      <c r="W133" s="1595">
        <f t="shared" si="3"/>
        <v>0</v>
      </c>
      <c r="X133" s="1596">
        <f t="shared" si="3"/>
        <v>24227835</v>
      </c>
    </row>
    <row r="134" spans="1:24" ht="18.75" customHeight="1" x14ac:dyDescent="0.25">
      <c r="A134" s="314"/>
      <c r="B134" s="314"/>
      <c r="C134" s="314"/>
      <c r="D134" s="314"/>
      <c r="E134" s="314"/>
      <c r="F134" s="314"/>
      <c r="G134" s="314"/>
      <c r="H134" s="968">
        <f>'2.9. sz. Szivárvány Ó.'!S9-'2.9. sz. Szivárvány Ó.'!R9</f>
        <v>5329237</v>
      </c>
      <c r="I134" s="968">
        <f>'2.9. sz. Szivárvány Ó.'!S10-'2.9. sz. Szivárvány Ó.'!R10</f>
        <v>607750</v>
      </c>
      <c r="J134" s="968">
        <f>'2.9. sz. Szivárvány Ó.'!S11-'2.9. sz. Szivárvány Ó.'!R11</f>
        <v>10869815</v>
      </c>
      <c r="K134" s="968">
        <f>'2.9. sz. Szivárvány Ó.'!S12-'2.9. sz. Szivárvány Ó.'!R12</f>
        <v>0</v>
      </c>
      <c r="L134" s="968">
        <f>'2.9. sz. Szivárvány Ó.'!S13-'2.9. sz. Szivárvány Ó.'!R13</f>
        <v>5378111</v>
      </c>
      <c r="M134" s="968">
        <f>'2.9. sz. Szivárvány Ó.'!S17-'2.9. sz. Szivárvány Ó.'!R17</f>
        <v>2298542</v>
      </c>
      <c r="N134" s="968">
        <f>'2.9. sz. Szivárvány Ó.'!S18-'2.9. sz. Szivárvány Ó.'!R18</f>
        <v>0</v>
      </c>
      <c r="O134" s="968">
        <f>'2.9. sz. Szivárvány Ó.'!S19-'2.9. sz. Szivárvány Ó.'!R19</f>
        <v>0</v>
      </c>
      <c r="P134" s="968">
        <f>'2.9. sz. Szivárvány Ó.'!S22-'2.9. sz. Szivárvány Ó.'!R22</f>
        <v>0</v>
      </c>
      <c r="Q134" s="968">
        <f>'2.9. sz. Szivárvány Ó.'!S31-'2.9. sz. Szivárvány Ó.'!R31</f>
        <v>0</v>
      </c>
      <c r="R134" s="968">
        <f>'2.9. sz. Szivárvány Ó.'!S32-'2.9. sz. Szivárvány Ó.'!R32</f>
        <v>0</v>
      </c>
      <c r="S134" s="968">
        <f>'2.9. sz. Szivárvány Ó.'!S33-'2.9. sz. Szivárvány Ó.'!R33</f>
        <v>0</v>
      </c>
      <c r="T134" s="968">
        <f>'2.9. sz. Szivárvány Ó.'!S34-'2.9. sz. Szivárvány Ó.'!R34</f>
        <v>255620</v>
      </c>
      <c r="U134" s="968">
        <f>'2.9. sz. Szivárvány Ó.'!S35-'2.9. sz. Szivárvány Ó.'!R35</f>
        <v>0</v>
      </c>
      <c r="V134" s="968">
        <f>'2.9. sz. Szivárvány Ó.'!S36-'2.9. sz. Szivárvány Ó.'!R36</f>
        <v>0</v>
      </c>
      <c r="W134" s="968">
        <f>'2.9. sz. Szivárvány Ó.'!S37-'2.9. sz. Szivárvány Ó.'!R37</f>
        <v>0</v>
      </c>
      <c r="X134" s="968">
        <f>'2.9. sz. Szivárvány Ó.'!S39-'2.9. sz. Szivárvány Ó.'!R39</f>
        <v>24227835</v>
      </c>
    </row>
    <row r="135" spans="1:24" ht="19.5" customHeight="1" x14ac:dyDescent="0.25">
      <c r="A135" s="314"/>
      <c r="B135" s="314"/>
      <c r="C135" s="314"/>
      <c r="D135" s="314"/>
      <c r="E135" s="314"/>
      <c r="F135" s="314"/>
      <c r="G135" s="314"/>
      <c r="H135" s="995">
        <f t="shared" ref="H135:M135" si="4">+H134-H133</f>
        <v>0</v>
      </c>
      <c r="I135" s="995">
        <f t="shared" si="4"/>
        <v>0</v>
      </c>
      <c r="J135" s="995">
        <f t="shared" si="4"/>
        <v>0</v>
      </c>
      <c r="K135" s="995">
        <f t="shared" si="4"/>
        <v>0</v>
      </c>
      <c r="L135" s="995">
        <f t="shared" si="4"/>
        <v>0</v>
      </c>
      <c r="M135" s="995">
        <f t="shared" si="4"/>
        <v>0</v>
      </c>
      <c r="N135" s="995">
        <f t="shared" ref="N135:X135" si="5">+N134-N133</f>
        <v>0</v>
      </c>
      <c r="O135" s="995">
        <f t="shared" si="5"/>
        <v>0</v>
      </c>
      <c r="P135" s="995">
        <f t="shared" si="5"/>
        <v>0</v>
      </c>
      <c r="Q135" s="995">
        <f t="shared" si="5"/>
        <v>0</v>
      </c>
      <c r="R135" s="995">
        <f t="shared" si="5"/>
        <v>0</v>
      </c>
      <c r="S135" s="995">
        <f t="shared" si="5"/>
        <v>0</v>
      </c>
      <c r="T135" s="995">
        <f t="shared" si="5"/>
        <v>0</v>
      </c>
      <c r="U135" s="995">
        <f t="shared" si="5"/>
        <v>0</v>
      </c>
      <c r="V135" s="995">
        <f t="shared" si="5"/>
        <v>0</v>
      </c>
      <c r="W135" s="995">
        <f t="shared" si="5"/>
        <v>0</v>
      </c>
      <c r="X135" s="995">
        <f t="shared" si="5"/>
        <v>0</v>
      </c>
    </row>
    <row r="136" spans="1:24" x14ac:dyDescent="0.2">
      <c r="A136" s="314"/>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row>
    <row r="137" spans="1:24" x14ac:dyDescent="0.2">
      <c r="A137" s="314"/>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row>
    <row r="138" spans="1:24" ht="21.75" customHeight="1" x14ac:dyDescent="0.2">
      <c r="A138" s="314"/>
      <c r="B138" s="314"/>
      <c r="C138" s="314"/>
      <c r="D138" s="314"/>
      <c r="E138" s="314"/>
      <c r="F138" s="314"/>
      <c r="G138" s="314"/>
      <c r="H138" s="314"/>
      <c r="I138" s="2042" t="s">
        <v>1664</v>
      </c>
      <c r="J138" s="2042"/>
      <c r="K138" s="2042"/>
      <c r="L138" s="2042">
        <v>321449261</v>
      </c>
      <c r="M138" s="2042"/>
      <c r="N138" s="996"/>
      <c r="O138" s="996"/>
      <c r="P138" s="996"/>
      <c r="Q138" s="996"/>
      <c r="R138" s="2042" t="s">
        <v>1665</v>
      </c>
      <c r="S138" s="2042"/>
      <c r="T138" s="2042"/>
      <c r="U138" s="2042">
        <v>321449261</v>
      </c>
      <c r="V138" s="2042"/>
      <c r="W138" s="314"/>
      <c r="X138" s="314"/>
    </row>
    <row r="139" spans="1:24" ht="21.75" customHeight="1" x14ac:dyDescent="0.2">
      <c r="A139" s="314"/>
      <c r="B139" s="314"/>
      <c r="C139" s="314"/>
      <c r="D139" s="314"/>
      <c r="E139" s="314"/>
      <c r="F139" s="314"/>
      <c r="G139" s="314"/>
      <c r="H139" s="314"/>
      <c r="I139" s="2042" t="s">
        <v>1666</v>
      </c>
      <c r="J139" s="2042"/>
      <c r="K139" s="2042"/>
      <c r="L139" s="2042">
        <f>SUM(H133:P133)</f>
        <v>24483455</v>
      </c>
      <c r="M139" s="2042"/>
      <c r="N139" s="996"/>
      <c r="O139" s="996"/>
      <c r="P139" s="996"/>
      <c r="Q139" s="996"/>
      <c r="R139" s="2042" t="s">
        <v>1666</v>
      </c>
      <c r="S139" s="2042"/>
      <c r="T139" s="2042"/>
      <c r="U139" s="2042">
        <f>SUM(Q133:X133)</f>
        <v>24483455</v>
      </c>
      <c r="V139" s="2042"/>
      <c r="W139" s="314"/>
      <c r="X139" s="314"/>
    </row>
    <row r="140" spans="1:24" ht="22.5" customHeight="1" x14ac:dyDescent="0.2">
      <c r="A140" s="314"/>
      <c r="B140" s="314"/>
      <c r="C140" s="314"/>
      <c r="D140" s="314"/>
      <c r="E140" s="314"/>
      <c r="F140" s="314"/>
      <c r="G140" s="314"/>
      <c r="H140" s="314"/>
      <c r="I140" s="2042" t="s">
        <v>1512</v>
      </c>
      <c r="J140" s="2042"/>
      <c r="K140" s="2042"/>
      <c r="L140" s="2042">
        <f>+L138+L139</f>
        <v>345932716</v>
      </c>
      <c r="M140" s="2042"/>
      <c r="N140" s="996"/>
      <c r="O140" s="996"/>
      <c r="P140" s="996"/>
      <c r="Q140" s="996"/>
      <c r="R140" s="2042" t="s">
        <v>1512</v>
      </c>
      <c r="S140" s="2042"/>
      <c r="T140" s="2042"/>
      <c r="U140" s="2042">
        <f>+U138+U139</f>
        <v>345932716</v>
      </c>
      <c r="V140" s="2042"/>
      <c r="W140" s="314"/>
      <c r="X140" s="314"/>
    </row>
    <row r="141" spans="1:24" x14ac:dyDescent="0.2">
      <c r="A141" s="314"/>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row>
    <row r="142" spans="1:24" x14ac:dyDescent="0.2">
      <c r="A142" s="314"/>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row>
    <row r="143" spans="1:24" x14ac:dyDescent="0.2">
      <c r="A143" s="314"/>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row>
    <row r="144" spans="1:24" x14ac:dyDescent="0.2">
      <c r="A144" s="314"/>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row>
    <row r="145" spans="1:24" x14ac:dyDescent="0.2">
      <c r="A145" s="314"/>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row>
    <row r="146" spans="1:24" x14ac:dyDescent="0.2">
      <c r="A146" s="314"/>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row>
    <row r="147" spans="1:24" x14ac:dyDescent="0.2">
      <c r="A147" s="314"/>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row>
  </sheetData>
  <mergeCells count="150">
    <mergeCell ref="C109:C110"/>
    <mergeCell ref="B109:B110"/>
    <mergeCell ref="A109:A110"/>
    <mergeCell ref="C81:C82"/>
    <mergeCell ref="B81:B82"/>
    <mergeCell ref="A81:A82"/>
    <mergeCell ref="I94:K94"/>
    <mergeCell ref="L94:M94"/>
    <mergeCell ref="R94:T94"/>
    <mergeCell ref="C84:C85"/>
    <mergeCell ref="B84:B85"/>
    <mergeCell ref="A84:A85"/>
    <mergeCell ref="A101:X101"/>
    <mergeCell ref="A103:X103"/>
    <mergeCell ref="A106:A107"/>
    <mergeCell ref="B106:B107"/>
    <mergeCell ref="C106:C107"/>
    <mergeCell ref="D106:D107"/>
    <mergeCell ref="E106:E107"/>
    <mergeCell ref="F106:F107"/>
    <mergeCell ref="G106:G107"/>
    <mergeCell ref="H106:O106"/>
    <mergeCell ref="Q106:X106"/>
    <mergeCell ref="U94:V94"/>
    <mergeCell ref="I95:K95"/>
    <mergeCell ref="L95:M95"/>
    <mergeCell ref="R95:T95"/>
    <mergeCell ref="U95:V95"/>
    <mergeCell ref="A88:C88"/>
    <mergeCell ref="I93:K93"/>
    <mergeCell ref="L93:M93"/>
    <mergeCell ref="R93:T93"/>
    <mergeCell ref="U93:V93"/>
    <mergeCell ref="A74:X74"/>
    <mergeCell ref="A76:X76"/>
    <mergeCell ref="A79:A80"/>
    <mergeCell ref="B79:B80"/>
    <mergeCell ref="C79:C80"/>
    <mergeCell ref="D79:D80"/>
    <mergeCell ref="E79:E80"/>
    <mergeCell ref="F79:F80"/>
    <mergeCell ref="G79:G80"/>
    <mergeCell ref="H79:O79"/>
    <mergeCell ref="Q79:X79"/>
    <mergeCell ref="L69:M69"/>
    <mergeCell ref="C53:C54"/>
    <mergeCell ref="B53:B54"/>
    <mergeCell ref="A53:A54"/>
    <mergeCell ref="C55:C56"/>
    <mergeCell ref="B55:B56"/>
    <mergeCell ref="A55:A56"/>
    <mergeCell ref="C58:C59"/>
    <mergeCell ref="B58:B59"/>
    <mergeCell ref="A58:A59"/>
    <mergeCell ref="R69:T69"/>
    <mergeCell ref="U69:V69"/>
    <mergeCell ref="C36:C37"/>
    <mergeCell ref="C38:C39"/>
    <mergeCell ref="C40:C42"/>
    <mergeCell ref="L67:M67"/>
    <mergeCell ref="R67:T67"/>
    <mergeCell ref="U67:V67"/>
    <mergeCell ref="I68:K68"/>
    <mergeCell ref="L68:M68"/>
    <mergeCell ref="R68:T68"/>
    <mergeCell ref="U68:V68"/>
    <mergeCell ref="A62:C62"/>
    <mergeCell ref="I67:K67"/>
    <mergeCell ref="B36:B37"/>
    <mergeCell ref="A36:A37"/>
    <mergeCell ref="B38:B39"/>
    <mergeCell ref="A38:A39"/>
    <mergeCell ref="B40:B42"/>
    <mergeCell ref="A40:A42"/>
    <mergeCell ref="C45:C46"/>
    <mergeCell ref="B45:B46"/>
    <mergeCell ref="A45:A46"/>
    <mergeCell ref="I69:K69"/>
    <mergeCell ref="C13:C14"/>
    <mergeCell ref="B13:B14"/>
    <mergeCell ref="A13:A14"/>
    <mergeCell ref="C8:C9"/>
    <mergeCell ref="B8:B9"/>
    <mergeCell ref="A8:A9"/>
    <mergeCell ref="C10:C11"/>
    <mergeCell ref="B10:B11"/>
    <mergeCell ref="A10:A11"/>
    <mergeCell ref="A1:X1"/>
    <mergeCell ref="A3:X3"/>
    <mergeCell ref="A5:A6"/>
    <mergeCell ref="B5:B6"/>
    <mergeCell ref="C5:C6"/>
    <mergeCell ref="D5:D6"/>
    <mergeCell ref="E5:E6"/>
    <mergeCell ref="F5:F6"/>
    <mergeCell ref="G5:G6"/>
    <mergeCell ref="H5:O5"/>
    <mergeCell ref="Q5:X5"/>
    <mergeCell ref="A29:X29"/>
    <mergeCell ref="A31:X31"/>
    <mergeCell ref="A34:A35"/>
    <mergeCell ref="B34:B35"/>
    <mergeCell ref="C34:C35"/>
    <mergeCell ref="D34:D35"/>
    <mergeCell ref="E34:E35"/>
    <mergeCell ref="F34:F35"/>
    <mergeCell ref="G34:G35"/>
    <mergeCell ref="H34:O34"/>
    <mergeCell ref="Q34:X34"/>
    <mergeCell ref="I22:K22"/>
    <mergeCell ref="L22:M22"/>
    <mergeCell ref="R22:T22"/>
    <mergeCell ref="U22:V22"/>
    <mergeCell ref="A16:C16"/>
    <mergeCell ref="I20:K20"/>
    <mergeCell ref="L20:M20"/>
    <mergeCell ref="R20:T20"/>
    <mergeCell ref="U20:V20"/>
    <mergeCell ref="I21:K21"/>
    <mergeCell ref="L21:M21"/>
    <mergeCell ref="R21:T21"/>
    <mergeCell ref="U21:V21"/>
    <mergeCell ref="R140:T140"/>
    <mergeCell ref="U140:V140"/>
    <mergeCell ref="A133:C133"/>
    <mergeCell ref="I138:K138"/>
    <mergeCell ref="L138:M138"/>
    <mergeCell ref="R138:T138"/>
    <mergeCell ref="U138:V138"/>
    <mergeCell ref="I139:K139"/>
    <mergeCell ref="L139:M139"/>
    <mergeCell ref="R139:T139"/>
    <mergeCell ref="U139:V139"/>
    <mergeCell ref="C125:C126"/>
    <mergeCell ref="B125:B126"/>
    <mergeCell ref="A125:A126"/>
    <mergeCell ref="A123:A124"/>
    <mergeCell ref="C111:C112"/>
    <mergeCell ref="B111:B112"/>
    <mergeCell ref="A111:A112"/>
    <mergeCell ref="I140:K140"/>
    <mergeCell ref="L140:M140"/>
    <mergeCell ref="C116:C117"/>
    <mergeCell ref="B116:B117"/>
    <mergeCell ref="A116:A117"/>
    <mergeCell ref="C118:C119"/>
    <mergeCell ref="B118:B119"/>
    <mergeCell ref="A118:A119"/>
    <mergeCell ref="C123:C124"/>
    <mergeCell ref="B123:B124"/>
  </mergeCells>
  <printOptions horizontalCentered="1" verticalCentered="1"/>
  <pageMargins left="0.11811023622047245" right="0.11811023622047245" top="0.35433070866141736" bottom="0.35433070866141736" header="0.31496062992125984" footer="0.31496062992125984"/>
  <pageSetup paperSize="9" scale="49" orientation="landscape" r:id="rId1"/>
  <headerFooter>
    <oddHeader>&amp;R&amp;A</oddHeader>
    <oddFooter>&amp;C&amp;P/&amp;N</oddFooter>
  </headerFooter>
  <rowBreaks count="6" manualBreakCount="6">
    <brk id="22" max="23" man="1"/>
    <brk id="69" max="23" man="1"/>
    <brk id="95" max="23" man="1"/>
    <brk id="126" max="23" man="1"/>
    <brk id="140" max="23" man="1"/>
    <brk id="144"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67"/>
  <sheetViews>
    <sheetView view="pageBreakPreview" topLeftCell="A127" zoomScale="90" zoomScaleNormal="100" zoomScaleSheetLayoutView="90" workbookViewId="0">
      <selection activeCell="L136" sqref="L136"/>
    </sheetView>
  </sheetViews>
  <sheetFormatPr defaultRowHeight="12.75" x14ac:dyDescent="0.2"/>
  <cols>
    <col min="1" max="2" width="5.85546875" customWidth="1"/>
    <col min="3" max="3" width="38.5703125" customWidth="1"/>
    <col min="4" max="4" width="6.28515625" customWidth="1"/>
    <col min="5" max="5" width="7.28515625" customWidth="1"/>
    <col min="6" max="7" width="5.5703125" customWidth="1"/>
    <col min="8" max="8" width="14.5703125" customWidth="1"/>
    <col min="9" max="9" width="14.7109375" customWidth="1"/>
    <col min="10" max="10" width="13.28515625" customWidth="1"/>
    <col min="11" max="11" width="10.85546875" customWidth="1"/>
    <col min="12" max="12" width="12.85546875" customWidth="1"/>
    <col min="13" max="13" width="11.85546875" customWidth="1"/>
    <col min="14" max="14" width="10.85546875" customWidth="1"/>
    <col min="15" max="15" width="11.7109375" customWidth="1"/>
    <col min="16" max="16" width="11.5703125" customWidth="1"/>
    <col min="17" max="17" width="13.42578125" customWidth="1"/>
    <col min="18" max="18" width="13.5703125" customWidth="1"/>
    <col min="19" max="19" width="11.42578125" customWidth="1"/>
    <col min="20" max="20" width="12" customWidth="1"/>
    <col min="21" max="21" width="11.28515625" customWidth="1"/>
    <col min="22" max="22" width="12.5703125" customWidth="1"/>
    <col min="23" max="23" width="12.42578125" customWidth="1"/>
    <col min="24" max="24" width="14.140625" customWidth="1"/>
    <col min="257" max="258" width="5.85546875" customWidth="1"/>
    <col min="259" max="259" width="38.5703125" customWidth="1"/>
    <col min="260" max="260" width="6.28515625" customWidth="1"/>
    <col min="261" max="261" width="7.28515625" customWidth="1"/>
    <col min="262" max="263" width="5.5703125" customWidth="1"/>
    <col min="264" max="264" width="14.5703125" customWidth="1"/>
    <col min="265" max="265" width="14.7109375" customWidth="1"/>
    <col min="266" max="266" width="13.28515625" customWidth="1"/>
    <col min="267" max="267" width="10.85546875" customWidth="1"/>
    <col min="268" max="268" width="11.7109375" customWidth="1"/>
    <col min="269" max="269" width="11.85546875" customWidth="1"/>
    <col min="270" max="270" width="10.85546875" customWidth="1"/>
    <col min="271" max="271" width="11.7109375" customWidth="1"/>
    <col min="272" max="272" width="11.5703125" customWidth="1"/>
    <col min="273" max="273" width="13.42578125" customWidth="1"/>
    <col min="274" max="274" width="13.5703125" customWidth="1"/>
    <col min="275" max="275" width="11.42578125" customWidth="1"/>
    <col min="276" max="276" width="12" customWidth="1"/>
    <col min="277" max="277" width="11.28515625" customWidth="1"/>
    <col min="278" max="278" width="12.5703125" customWidth="1"/>
    <col min="279" max="279" width="12.42578125" customWidth="1"/>
    <col min="280" max="280" width="14.140625" customWidth="1"/>
    <col min="513" max="514" width="5.85546875" customWidth="1"/>
    <col min="515" max="515" width="38.5703125" customWidth="1"/>
    <col min="516" max="516" width="6.28515625" customWidth="1"/>
    <col min="517" max="517" width="7.28515625" customWidth="1"/>
    <col min="518" max="519" width="5.5703125" customWidth="1"/>
    <col min="520" max="520" width="14.5703125" customWidth="1"/>
    <col min="521" max="521" width="14.7109375" customWidth="1"/>
    <col min="522" max="522" width="13.28515625" customWidth="1"/>
    <col min="523" max="523" width="10.85546875" customWidth="1"/>
    <col min="524" max="524" width="11.7109375" customWidth="1"/>
    <col min="525" max="525" width="11.85546875" customWidth="1"/>
    <col min="526" max="526" width="10.85546875" customWidth="1"/>
    <col min="527" max="527" width="11.7109375" customWidth="1"/>
    <col min="528" max="528" width="11.5703125" customWidth="1"/>
    <col min="529" max="529" width="13.42578125" customWidth="1"/>
    <col min="530" max="530" width="13.5703125" customWidth="1"/>
    <col min="531" max="531" width="11.42578125" customWidth="1"/>
    <col min="532" max="532" width="12" customWidth="1"/>
    <col min="533" max="533" width="11.28515625" customWidth="1"/>
    <col min="534" max="534" width="12.5703125" customWidth="1"/>
    <col min="535" max="535" width="12.42578125" customWidth="1"/>
    <col min="536" max="536" width="14.140625" customWidth="1"/>
    <col min="769" max="770" width="5.85546875" customWidth="1"/>
    <col min="771" max="771" width="38.5703125" customWidth="1"/>
    <col min="772" max="772" width="6.28515625" customWidth="1"/>
    <col min="773" max="773" width="7.28515625" customWidth="1"/>
    <col min="774" max="775" width="5.5703125" customWidth="1"/>
    <col min="776" max="776" width="14.5703125" customWidth="1"/>
    <col min="777" max="777" width="14.7109375" customWidth="1"/>
    <col min="778" max="778" width="13.28515625" customWidth="1"/>
    <col min="779" max="779" width="10.85546875" customWidth="1"/>
    <col min="780" max="780" width="11.7109375" customWidth="1"/>
    <col min="781" max="781" width="11.85546875" customWidth="1"/>
    <col min="782" max="782" width="10.85546875" customWidth="1"/>
    <col min="783" max="783" width="11.7109375" customWidth="1"/>
    <col min="784" max="784" width="11.5703125" customWidth="1"/>
    <col min="785" max="785" width="13.42578125" customWidth="1"/>
    <col min="786" max="786" width="13.5703125" customWidth="1"/>
    <col min="787" max="787" width="11.42578125" customWidth="1"/>
    <col min="788" max="788" width="12" customWidth="1"/>
    <col min="789" max="789" width="11.28515625" customWidth="1"/>
    <col min="790" max="790" width="12.5703125" customWidth="1"/>
    <col min="791" max="791" width="12.42578125" customWidth="1"/>
    <col min="792" max="792" width="14.140625" customWidth="1"/>
    <col min="1025" max="1026" width="5.85546875" customWidth="1"/>
    <col min="1027" max="1027" width="38.5703125" customWidth="1"/>
    <col min="1028" max="1028" width="6.28515625" customWidth="1"/>
    <col min="1029" max="1029" width="7.28515625" customWidth="1"/>
    <col min="1030" max="1031" width="5.5703125" customWidth="1"/>
    <col min="1032" max="1032" width="14.5703125" customWidth="1"/>
    <col min="1033" max="1033" width="14.7109375" customWidth="1"/>
    <col min="1034" max="1034" width="13.28515625" customWidth="1"/>
    <col min="1035" max="1035" width="10.85546875" customWidth="1"/>
    <col min="1036" max="1036" width="11.7109375" customWidth="1"/>
    <col min="1037" max="1037" width="11.85546875" customWidth="1"/>
    <col min="1038" max="1038" width="10.85546875" customWidth="1"/>
    <col min="1039" max="1039" width="11.7109375" customWidth="1"/>
    <col min="1040" max="1040" width="11.5703125" customWidth="1"/>
    <col min="1041" max="1041" width="13.42578125" customWidth="1"/>
    <col min="1042" max="1042" width="13.5703125" customWidth="1"/>
    <col min="1043" max="1043" width="11.42578125" customWidth="1"/>
    <col min="1044" max="1044" width="12" customWidth="1"/>
    <col min="1045" max="1045" width="11.28515625" customWidth="1"/>
    <col min="1046" max="1046" width="12.5703125" customWidth="1"/>
    <col min="1047" max="1047" width="12.42578125" customWidth="1"/>
    <col min="1048" max="1048" width="14.140625" customWidth="1"/>
    <col min="1281" max="1282" width="5.85546875" customWidth="1"/>
    <col min="1283" max="1283" width="38.5703125" customWidth="1"/>
    <col min="1284" max="1284" width="6.28515625" customWidth="1"/>
    <col min="1285" max="1285" width="7.28515625" customWidth="1"/>
    <col min="1286" max="1287" width="5.5703125" customWidth="1"/>
    <col min="1288" max="1288" width="14.5703125" customWidth="1"/>
    <col min="1289" max="1289" width="14.7109375" customWidth="1"/>
    <col min="1290" max="1290" width="13.28515625" customWidth="1"/>
    <col min="1291" max="1291" width="10.85546875" customWidth="1"/>
    <col min="1292" max="1292" width="11.7109375" customWidth="1"/>
    <col min="1293" max="1293" width="11.85546875" customWidth="1"/>
    <col min="1294" max="1294" width="10.85546875" customWidth="1"/>
    <col min="1295" max="1295" width="11.7109375" customWidth="1"/>
    <col min="1296" max="1296" width="11.5703125" customWidth="1"/>
    <col min="1297" max="1297" width="13.42578125" customWidth="1"/>
    <col min="1298" max="1298" width="13.5703125" customWidth="1"/>
    <col min="1299" max="1299" width="11.42578125" customWidth="1"/>
    <col min="1300" max="1300" width="12" customWidth="1"/>
    <col min="1301" max="1301" width="11.28515625" customWidth="1"/>
    <col min="1302" max="1302" width="12.5703125" customWidth="1"/>
    <col min="1303" max="1303" width="12.42578125" customWidth="1"/>
    <col min="1304" max="1304" width="14.140625" customWidth="1"/>
    <col min="1537" max="1538" width="5.85546875" customWidth="1"/>
    <col min="1539" max="1539" width="38.5703125" customWidth="1"/>
    <col min="1540" max="1540" width="6.28515625" customWidth="1"/>
    <col min="1541" max="1541" width="7.28515625" customWidth="1"/>
    <col min="1542" max="1543" width="5.5703125" customWidth="1"/>
    <col min="1544" max="1544" width="14.5703125" customWidth="1"/>
    <col min="1545" max="1545" width="14.7109375" customWidth="1"/>
    <col min="1546" max="1546" width="13.28515625" customWidth="1"/>
    <col min="1547" max="1547" width="10.85546875" customWidth="1"/>
    <col min="1548" max="1548" width="11.7109375" customWidth="1"/>
    <col min="1549" max="1549" width="11.85546875" customWidth="1"/>
    <col min="1550" max="1550" width="10.85546875" customWidth="1"/>
    <col min="1551" max="1551" width="11.7109375" customWidth="1"/>
    <col min="1552" max="1552" width="11.5703125" customWidth="1"/>
    <col min="1553" max="1553" width="13.42578125" customWidth="1"/>
    <col min="1554" max="1554" width="13.5703125" customWidth="1"/>
    <col min="1555" max="1555" width="11.42578125" customWidth="1"/>
    <col min="1556" max="1556" width="12" customWidth="1"/>
    <col min="1557" max="1557" width="11.28515625" customWidth="1"/>
    <col min="1558" max="1558" width="12.5703125" customWidth="1"/>
    <col min="1559" max="1559" width="12.42578125" customWidth="1"/>
    <col min="1560" max="1560" width="14.140625" customWidth="1"/>
    <col min="1793" max="1794" width="5.85546875" customWidth="1"/>
    <col min="1795" max="1795" width="38.5703125" customWidth="1"/>
    <col min="1796" max="1796" width="6.28515625" customWidth="1"/>
    <col min="1797" max="1797" width="7.28515625" customWidth="1"/>
    <col min="1798" max="1799" width="5.5703125" customWidth="1"/>
    <col min="1800" max="1800" width="14.5703125" customWidth="1"/>
    <col min="1801" max="1801" width="14.7109375" customWidth="1"/>
    <col min="1802" max="1802" width="13.28515625" customWidth="1"/>
    <col min="1803" max="1803" width="10.85546875" customWidth="1"/>
    <col min="1804" max="1804" width="11.7109375" customWidth="1"/>
    <col min="1805" max="1805" width="11.85546875" customWidth="1"/>
    <col min="1806" max="1806" width="10.85546875" customWidth="1"/>
    <col min="1807" max="1807" width="11.7109375" customWidth="1"/>
    <col min="1808" max="1808" width="11.5703125" customWidth="1"/>
    <col min="1809" max="1809" width="13.42578125" customWidth="1"/>
    <col min="1810" max="1810" width="13.5703125" customWidth="1"/>
    <col min="1811" max="1811" width="11.42578125" customWidth="1"/>
    <col min="1812" max="1812" width="12" customWidth="1"/>
    <col min="1813" max="1813" width="11.28515625" customWidth="1"/>
    <col min="1814" max="1814" width="12.5703125" customWidth="1"/>
    <col min="1815" max="1815" width="12.42578125" customWidth="1"/>
    <col min="1816" max="1816" width="14.140625" customWidth="1"/>
    <col min="2049" max="2050" width="5.85546875" customWidth="1"/>
    <col min="2051" max="2051" width="38.5703125" customWidth="1"/>
    <col min="2052" max="2052" width="6.28515625" customWidth="1"/>
    <col min="2053" max="2053" width="7.28515625" customWidth="1"/>
    <col min="2054" max="2055" width="5.5703125" customWidth="1"/>
    <col min="2056" max="2056" width="14.5703125" customWidth="1"/>
    <col min="2057" max="2057" width="14.7109375" customWidth="1"/>
    <col min="2058" max="2058" width="13.28515625" customWidth="1"/>
    <col min="2059" max="2059" width="10.85546875" customWidth="1"/>
    <col min="2060" max="2060" width="11.7109375" customWidth="1"/>
    <col min="2061" max="2061" width="11.85546875" customWidth="1"/>
    <col min="2062" max="2062" width="10.85546875" customWidth="1"/>
    <col min="2063" max="2063" width="11.7109375" customWidth="1"/>
    <col min="2064" max="2064" width="11.5703125" customWidth="1"/>
    <col min="2065" max="2065" width="13.42578125" customWidth="1"/>
    <col min="2066" max="2066" width="13.5703125" customWidth="1"/>
    <col min="2067" max="2067" width="11.42578125" customWidth="1"/>
    <col min="2068" max="2068" width="12" customWidth="1"/>
    <col min="2069" max="2069" width="11.28515625" customWidth="1"/>
    <col min="2070" max="2070" width="12.5703125" customWidth="1"/>
    <col min="2071" max="2071" width="12.42578125" customWidth="1"/>
    <col min="2072" max="2072" width="14.140625" customWidth="1"/>
    <col min="2305" max="2306" width="5.85546875" customWidth="1"/>
    <col min="2307" max="2307" width="38.5703125" customWidth="1"/>
    <col min="2308" max="2308" width="6.28515625" customWidth="1"/>
    <col min="2309" max="2309" width="7.28515625" customWidth="1"/>
    <col min="2310" max="2311" width="5.5703125" customWidth="1"/>
    <col min="2312" max="2312" width="14.5703125" customWidth="1"/>
    <col min="2313" max="2313" width="14.7109375" customWidth="1"/>
    <col min="2314" max="2314" width="13.28515625" customWidth="1"/>
    <col min="2315" max="2315" width="10.85546875" customWidth="1"/>
    <col min="2316" max="2316" width="11.7109375" customWidth="1"/>
    <col min="2317" max="2317" width="11.85546875" customWidth="1"/>
    <col min="2318" max="2318" width="10.85546875" customWidth="1"/>
    <col min="2319" max="2319" width="11.7109375" customWidth="1"/>
    <col min="2320" max="2320" width="11.5703125" customWidth="1"/>
    <col min="2321" max="2321" width="13.42578125" customWidth="1"/>
    <col min="2322" max="2322" width="13.5703125" customWidth="1"/>
    <col min="2323" max="2323" width="11.42578125" customWidth="1"/>
    <col min="2324" max="2324" width="12" customWidth="1"/>
    <col min="2325" max="2325" width="11.28515625" customWidth="1"/>
    <col min="2326" max="2326" width="12.5703125" customWidth="1"/>
    <col min="2327" max="2327" width="12.42578125" customWidth="1"/>
    <col min="2328" max="2328" width="14.140625" customWidth="1"/>
    <col min="2561" max="2562" width="5.85546875" customWidth="1"/>
    <col min="2563" max="2563" width="38.5703125" customWidth="1"/>
    <col min="2564" max="2564" width="6.28515625" customWidth="1"/>
    <col min="2565" max="2565" width="7.28515625" customWidth="1"/>
    <col min="2566" max="2567" width="5.5703125" customWidth="1"/>
    <col min="2568" max="2568" width="14.5703125" customWidth="1"/>
    <col min="2569" max="2569" width="14.7109375" customWidth="1"/>
    <col min="2570" max="2570" width="13.28515625" customWidth="1"/>
    <col min="2571" max="2571" width="10.85546875" customWidth="1"/>
    <col min="2572" max="2572" width="11.7109375" customWidth="1"/>
    <col min="2573" max="2573" width="11.85546875" customWidth="1"/>
    <col min="2574" max="2574" width="10.85546875" customWidth="1"/>
    <col min="2575" max="2575" width="11.7109375" customWidth="1"/>
    <col min="2576" max="2576" width="11.5703125" customWidth="1"/>
    <col min="2577" max="2577" width="13.42578125" customWidth="1"/>
    <col min="2578" max="2578" width="13.5703125" customWidth="1"/>
    <col min="2579" max="2579" width="11.42578125" customWidth="1"/>
    <col min="2580" max="2580" width="12" customWidth="1"/>
    <col min="2581" max="2581" width="11.28515625" customWidth="1"/>
    <col min="2582" max="2582" width="12.5703125" customWidth="1"/>
    <col min="2583" max="2583" width="12.42578125" customWidth="1"/>
    <col min="2584" max="2584" width="14.140625" customWidth="1"/>
    <col min="2817" max="2818" width="5.85546875" customWidth="1"/>
    <col min="2819" max="2819" width="38.5703125" customWidth="1"/>
    <col min="2820" max="2820" width="6.28515625" customWidth="1"/>
    <col min="2821" max="2821" width="7.28515625" customWidth="1"/>
    <col min="2822" max="2823" width="5.5703125" customWidth="1"/>
    <col min="2824" max="2824" width="14.5703125" customWidth="1"/>
    <col min="2825" max="2825" width="14.7109375" customWidth="1"/>
    <col min="2826" max="2826" width="13.28515625" customWidth="1"/>
    <col min="2827" max="2827" width="10.85546875" customWidth="1"/>
    <col min="2828" max="2828" width="11.7109375" customWidth="1"/>
    <col min="2829" max="2829" width="11.85546875" customWidth="1"/>
    <col min="2830" max="2830" width="10.85546875" customWidth="1"/>
    <col min="2831" max="2831" width="11.7109375" customWidth="1"/>
    <col min="2832" max="2832" width="11.5703125" customWidth="1"/>
    <col min="2833" max="2833" width="13.42578125" customWidth="1"/>
    <col min="2834" max="2834" width="13.5703125" customWidth="1"/>
    <col min="2835" max="2835" width="11.42578125" customWidth="1"/>
    <col min="2836" max="2836" width="12" customWidth="1"/>
    <col min="2837" max="2837" width="11.28515625" customWidth="1"/>
    <col min="2838" max="2838" width="12.5703125" customWidth="1"/>
    <col min="2839" max="2839" width="12.42578125" customWidth="1"/>
    <col min="2840" max="2840" width="14.140625" customWidth="1"/>
    <col min="3073" max="3074" width="5.85546875" customWidth="1"/>
    <col min="3075" max="3075" width="38.5703125" customWidth="1"/>
    <col min="3076" max="3076" width="6.28515625" customWidth="1"/>
    <col min="3077" max="3077" width="7.28515625" customWidth="1"/>
    <col min="3078" max="3079" width="5.5703125" customWidth="1"/>
    <col min="3080" max="3080" width="14.5703125" customWidth="1"/>
    <col min="3081" max="3081" width="14.7109375" customWidth="1"/>
    <col min="3082" max="3082" width="13.28515625" customWidth="1"/>
    <col min="3083" max="3083" width="10.85546875" customWidth="1"/>
    <col min="3084" max="3084" width="11.7109375" customWidth="1"/>
    <col min="3085" max="3085" width="11.85546875" customWidth="1"/>
    <col min="3086" max="3086" width="10.85546875" customWidth="1"/>
    <col min="3087" max="3087" width="11.7109375" customWidth="1"/>
    <col min="3088" max="3088" width="11.5703125" customWidth="1"/>
    <col min="3089" max="3089" width="13.42578125" customWidth="1"/>
    <col min="3090" max="3090" width="13.5703125" customWidth="1"/>
    <col min="3091" max="3091" width="11.42578125" customWidth="1"/>
    <col min="3092" max="3092" width="12" customWidth="1"/>
    <col min="3093" max="3093" width="11.28515625" customWidth="1"/>
    <col min="3094" max="3094" width="12.5703125" customWidth="1"/>
    <col min="3095" max="3095" width="12.42578125" customWidth="1"/>
    <col min="3096" max="3096" width="14.140625" customWidth="1"/>
    <col min="3329" max="3330" width="5.85546875" customWidth="1"/>
    <col min="3331" max="3331" width="38.5703125" customWidth="1"/>
    <col min="3332" max="3332" width="6.28515625" customWidth="1"/>
    <col min="3333" max="3333" width="7.28515625" customWidth="1"/>
    <col min="3334" max="3335" width="5.5703125" customWidth="1"/>
    <col min="3336" max="3336" width="14.5703125" customWidth="1"/>
    <col min="3337" max="3337" width="14.7109375" customWidth="1"/>
    <col min="3338" max="3338" width="13.28515625" customWidth="1"/>
    <col min="3339" max="3339" width="10.85546875" customWidth="1"/>
    <col min="3340" max="3340" width="11.7109375" customWidth="1"/>
    <col min="3341" max="3341" width="11.85546875" customWidth="1"/>
    <col min="3342" max="3342" width="10.85546875" customWidth="1"/>
    <col min="3343" max="3343" width="11.7109375" customWidth="1"/>
    <col min="3344" max="3344" width="11.5703125" customWidth="1"/>
    <col min="3345" max="3345" width="13.42578125" customWidth="1"/>
    <col min="3346" max="3346" width="13.5703125" customWidth="1"/>
    <col min="3347" max="3347" width="11.42578125" customWidth="1"/>
    <col min="3348" max="3348" width="12" customWidth="1"/>
    <col min="3349" max="3349" width="11.28515625" customWidth="1"/>
    <col min="3350" max="3350" width="12.5703125" customWidth="1"/>
    <col min="3351" max="3351" width="12.42578125" customWidth="1"/>
    <col min="3352" max="3352" width="14.140625" customWidth="1"/>
    <col min="3585" max="3586" width="5.85546875" customWidth="1"/>
    <col min="3587" max="3587" width="38.5703125" customWidth="1"/>
    <col min="3588" max="3588" width="6.28515625" customWidth="1"/>
    <col min="3589" max="3589" width="7.28515625" customWidth="1"/>
    <col min="3590" max="3591" width="5.5703125" customWidth="1"/>
    <col min="3592" max="3592" width="14.5703125" customWidth="1"/>
    <col min="3593" max="3593" width="14.7109375" customWidth="1"/>
    <col min="3594" max="3594" width="13.28515625" customWidth="1"/>
    <col min="3595" max="3595" width="10.85546875" customWidth="1"/>
    <col min="3596" max="3596" width="11.7109375" customWidth="1"/>
    <col min="3597" max="3597" width="11.85546875" customWidth="1"/>
    <col min="3598" max="3598" width="10.85546875" customWidth="1"/>
    <col min="3599" max="3599" width="11.7109375" customWidth="1"/>
    <col min="3600" max="3600" width="11.5703125" customWidth="1"/>
    <col min="3601" max="3601" width="13.42578125" customWidth="1"/>
    <col min="3602" max="3602" width="13.5703125" customWidth="1"/>
    <col min="3603" max="3603" width="11.42578125" customWidth="1"/>
    <col min="3604" max="3604" width="12" customWidth="1"/>
    <col min="3605" max="3605" width="11.28515625" customWidth="1"/>
    <col min="3606" max="3606" width="12.5703125" customWidth="1"/>
    <col min="3607" max="3607" width="12.42578125" customWidth="1"/>
    <col min="3608" max="3608" width="14.140625" customWidth="1"/>
    <col min="3841" max="3842" width="5.85546875" customWidth="1"/>
    <col min="3843" max="3843" width="38.5703125" customWidth="1"/>
    <col min="3844" max="3844" width="6.28515625" customWidth="1"/>
    <col min="3845" max="3845" width="7.28515625" customWidth="1"/>
    <col min="3846" max="3847" width="5.5703125" customWidth="1"/>
    <col min="3848" max="3848" width="14.5703125" customWidth="1"/>
    <col min="3849" max="3849" width="14.7109375" customWidth="1"/>
    <col min="3850" max="3850" width="13.28515625" customWidth="1"/>
    <col min="3851" max="3851" width="10.85546875" customWidth="1"/>
    <col min="3852" max="3852" width="11.7109375" customWidth="1"/>
    <col min="3853" max="3853" width="11.85546875" customWidth="1"/>
    <col min="3854" max="3854" width="10.85546875" customWidth="1"/>
    <col min="3855" max="3855" width="11.7109375" customWidth="1"/>
    <col min="3856" max="3856" width="11.5703125" customWidth="1"/>
    <col min="3857" max="3857" width="13.42578125" customWidth="1"/>
    <col min="3858" max="3858" width="13.5703125" customWidth="1"/>
    <col min="3859" max="3859" width="11.42578125" customWidth="1"/>
    <col min="3860" max="3860" width="12" customWidth="1"/>
    <col min="3861" max="3861" width="11.28515625" customWidth="1"/>
    <col min="3862" max="3862" width="12.5703125" customWidth="1"/>
    <col min="3863" max="3863" width="12.42578125" customWidth="1"/>
    <col min="3864" max="3864" width="14.140625" customWidth="1"/>
    <col min="4097" max="4098" width="5.85546875" customWidth="1"/>
    <col min="4099" max="4099" width="38.5703125" customWidth="1"/>
    <col min="4100" max="4100" width="6.28515625" customWidth="1"/>
    <col min="4101" max="4101" width="7.28515625" customWidth="1"/>
    <col min="4102" max="4103" width="5.5703125" customWidth="1"/>
    <col min="4104" max="4104" width="14.5703125" customWidth="1"/>
    <col min="4105" max="4105" width="14.7109375" customWidth="1"/>
    <col min="4106" max="4106" width="13.28515625" customWidth="1"/>
    <col min="4107" max="4107" width="10.85546875" customWidth="1"/>
    <col min="4108" max="4108" width="11.7109375" customWidth="1"/>
    <col min="4109" max="4109" width="11.85546875" customWidth="1"/>
    <col min="4110" max="4110" width="10.85546875" customWidth="1"/>
    <col min="4111" max="4111" width="11.7109375" customWidth="1"/>
    <col min="4112" max="4112" width="11.5703125" customWidth="1"/>
    <col min="4113" max="4113" width="13.42578125" customWidth="1"/>
    <col min="4114" max="4114" width="13.5703125" customWidth="1"/>
    <col min="4115" max="4115" width="11.42578125" customWidth="1"/>
    <col min="4116" max="4116" width="12" customWidth="1"/>
    <col min="4117" max="4117" width="11.28515625" customWidth="1"/>
    <col min="4118" max="4118" width="12.5703125" customWidth="1"/>
    <col min="4119" max="4119" width="12.42578125" customWidth="1"/>
    <col min="4120" max="4120" width="14.140625" customWidth="1"/>
    <col min="4353" max="4354" width="5.85546875" customWidth="1"/>
    <col min="4355" max="4355" width="38.5703125" customWidth="1"/>
    <col min="4356" max="4356" width="6.28515625" customWidth="1"/>
    <col min="4357" max="4357" width="7.28515625" customWidth="1"/>
    <col min="4358" max="4359" width="5.5703125" customWidth="1"/>
    <col min="4360" max="4360" width="14.5703125" customWidth="1"/>
    <col min="4361" max="4361" width="14.7109375" customWidth="1"/>
    <col min="4362" max="4362" width="13.28515625" customWidth="1"/>
    <col min="4363" max="4363" width="10.85546875" customWidth="1"/>
    <col min="4364" max="4364" width="11.7109375" customWidth="1"/>
    <col min="4365" max="4365" width="11.85546875" customWidth="1"/>
    <col min="4366" max="4366" width="10.85546875" customWidth="1"/>
    <col min="4367" max="4367" width="11.7109375" customWidth="1"/>
    <col min="4368" max="4368" width="11.5703125" customWidth="1"/>
    <col min="4369" max="4369" width="13.42578125" customWidth="1"/>
    <col min="4370" max="4370" width="13.5703125" customWidth="1"/>
    <col min="4371" max="4371" width="11.42578125" customWidth="1"/>
    <col min="4372" max="4372" width="12" customWidth="1"/>
    <col min="4373" max="4373" width="11.28515625" customWidth="1"/>
    <col min="4374" max="4374" width="12.5703125" customWidth="1"/>
    <col min="4375" max="4375" width="12.42578125" customWidth="1"/>
    <col min="4376" max="4376" width="14.140625" customWidth="1"/>
    <col min="4609" max="4610" width="5.85546875" customWidth="1"/>
    <col min="4611" max="4611" width="38.5703125" customWidth="1"/>
    <col min="4612" max="4612" width="6.28515625" customWidth="1"/>
    <col min="4613" max="4613" width="7.28515625" customWidth="1"/>
    <col min="4614" max="4615" width="5.5703125" customWidth="1"/>
    <col min="4616" max="4616" width="14.5703125" customWidth="1"/>
    <col min="4617" max="4617" width="14.7109375" customWidth="1"/>
    <col min="4618" max="4618" width="13.28515625" customWidth="1"/>
    <col min="4619" max="4619" width="10.85546875" customWidth="1"/>
    <col min="4620" max="4620" width="11.7109375" customWidth="1"/>
    <col min="4621" max="4621" width="11.85546875" customWidth="1"/>
    <col min="4622" max="4622" width="10.85546875" customWidth="1"/>
    <col min="4623" max="4623" width="11.7109375" customWidth="1"/>
    <col min="4624" max="4624" width="11.5703125" customWidth="1"/>
    <col min="4625" max="4625" width="13.42578125" customWidth="1"/>
    <col min="4626" max="4626" width="13.5703125" customWidth="1"/>
    <col min="4627" max="4627" width="11.42578125" customWidth="1"/>
    <col min="4628" max="4628" width="12" customWidth="1"/>
    <col min="4629" max="4629" width="11.28515625" customWidth="1"/>
    <col min="4630" max="4630" width="12.5703125" customWidth="1"/>
    <col min="4631" max="4631" width="12.42578125" customWidth="1"/>
    <col min="4632" max="4632" width="14.140625" customWidth="1"/>
    <col min="4865" max="4866" width="5.85546875" customWidth="1"/>
    <col min="4867" max="4867" width="38.5703125" customWidth="1"/>
    <col min="4868" max="4868" width="6.28515625" customWidth="1"/>
    <col min="4869" max="4869" width="7.28515625" customWidth="1"/>
    <col min="4870" max="4871" width="5.5703125" customWidth="1"/>
    <col min="4872" max="4872" width="14.5703125" customWidth="1"/>
    <col min="4873" max="4873" width="14.7109375" customWidth="1"/>
    <col min="4874" max="4874" width="13.28515625" customWidth="1"/>
    <col min="4875" max="4875" width="10.85546875" customWidth="1"/>
    <col min="4876" max="4876" width="11.7109375" customWidth="1"/>
    <col min="4877" max="4877" width="11.85546875" customWidth="1"/>
    <col min="4878" max="4878" width="10.85546875" customWidth="1"/>
    <col min="4879" max="4879" width="11.7109375" customWidth="1"/>
    <col min="4880" max="4880" width="11.5703125" customWidth="1"/>
    <col min="4881" max="4881" width="13.42578125" customWidth="1"/>
    <col min="4882" max="4882" width="13.5703125" customWidth="1"/>
    <col min="4883" max="4883" width="11.42578125" customWidth="1"/>
    <col min="4884" max="4884" width="12" customWidth="1"/>
    <col min="4885" max="4885" width="11.28515625" customWidth="1"/>
    <col min="4886" max="4886" width="12.5703125" customWidth="1"/>
    <col min="4887" max="4887" width="12.42578125" customWidth="1"/>
    <col min="4888" max="4888" width="14.140625" customWidth="1"/>
    <col min="5121" max="5122" width="5.85546875" customWidth="1"/>
    <col min="5123" max="5123" width="38.5703125" customWidth="1"/>
    <col min="5124" max="5124" width="6.28515625" customWidth="1"/>
    <col min="5125" max="5125" width="7.28515625" customWidth="1"/>
    <col min="5126" max="5127" width="5.5703125" customWidth="1"/>
    <col min="5128" max="5128" width="14.5703125" customWidth="1"/>
    <col min="5129" max="5129" width="14.7109375" customWidth="1"/>
    <col min="5130" max="5130" width="13.28515625" customWidth="1"/>
    <col min="5131" max="5131" width="10.85546875" customWidth="1"/>
    <col min="5132" max="5132" width="11.7109375" customWidth="1"/>
    <col min="5133" max="5133" width="11.85546875" customWidth="1"/>
    <col min="5134" max="5134" width="10.85546875" customWidth="1"/>
    <col min="5135" max="5135" width="11.7109375" customWidth="1"/>
    <col min="5136" max="5136" width="11.5703125" customWidth="1"/>
    <col min="5137" max="5137" width="13.42578125" customWidth="1"/>
    <col min="5138" max="5138" width="13.5703125" customWidth="1"/>
    <col min="5139" max="5139" width="11.42578125" customWidth="1"/>
    <col min="5140" max="5140" width="12" customWidth="1"/>
    <col min="5141" max="5141" width="11.28515625" customWidth="1"/>
    <col min="5142" max="5142" width="12.5703125" customWidth="1"/>
    <col min="5143" max="5143" width="12.42578125" customWidth="1"/>
    <col min="5144" max="5144" width="14.140625" customWidth="1"/>
    <col min="5377" max="5378" width="5.85546875" customWidth="1"/>
    <col min="5379" max="5379" width="38.5703125" customWidth="1"/>
    <col min="5380" max="5380" width="6.28515625" customWidth="1"/>
    <col min="5381" max="5381" width="7.28515625" customWidth="1"/>
    <col min="5382" max="5383" width="5.5703125" customWidth="1"/>
    <col min="5384" max="5384" width="14.5703125" customWidth="1"/>
    <col min="5385" max="5385" width="14.7109375" customWidth="1"/>
    <col min="5386" max="5386" width="13.28515625" customWidth="1"/>
    <col min="5387" max="5387" width="10.85546875" customWidth="1"/>
    <col min="5388" max="5388" width="11.7109375" customWidth="1"/>
    <col min="5389" max="5389" width="11.85546875" customWidth="1"/>
    <col min="5390" max="5390" width="10.85546875" customWidth="1"/>
    <col min="5391" max="5391" width="11.7109375" customWidth="1"/>
    <col min="5392" max="5392" width="11.5703125" customWidth="1"/>
    <col min="5393" max="5393" width="13.42578125" customWidth="1"/>
    <col min="5394" max="5394" width="13.5703125" customWidth="1"/>
    <col min="5395" max="5395" width="11.42578125" customWidth="1"/>
    <col min="5396" max="5396" width="12" customWidth="1"/>
    <col min="5397" max="5397" width="11.28515625" customWidth="1"/>
    <col min="5398" max="5398" width="12.5703125" customWidth="1"/>
    <col min="5399" max="5399" width="12.42578125" customWidth="1"/>
    <col min="5400" max="5400" width="14.140625" customWidth="1"/>
    <col min="5633" max="5634" width="5.85546875" customWidth="1"/>
    <col min="5635" max="5635" width="38.5703125" customWidth="1"/>
    <col min="5636" max="5636" width="6.28515625" customWidth="1"/>
    <col min="5637" max="5637" width="7.28515625" customWidth="1"/>
    <col min="5638" max="5639" width="5.5703125" customWidth="1"/>
    <col min="5640" max="5640" width="14.5703125" customWidth="1"/>
    <col min="5641" max="5641" width="14.7109375" customWidth="1"/>
    <col min="5642" max="5642" width="13.28515625" customWidth="1"/>
    <col min="5643" max="5643" width="10.85546875" customWidth="1"/>
    <col min="5644" max="5644" width="11.7109375" customWidth="1"/>
    <col min="5645" max="5645" width="11.85546875" customWidth="1"/>
    <col min="5646" max="5646" width="10.85546875" customWidth="1"/>
    <col min="5647" max="5647" width="11.7109375" customWidth="1"/>
    <col min="5648" max="5648" width="11.5703125" customWidth="1"/>
    <col min="5649" max="5649" width="13.42578125" customWidth="1"/>
    <col min="5650" max="5650" width="13.5703125" customWidth="1"/>
    <col min="5651" max="5651" width="11.42578125" customWidth="1"/>
    <col min="5652" max="5652" width="12" customWidth="1"/>
    <col min="5653" max="5653" width="11.28515625" customWidth="1"/>
    <col min="5654" max="5654" width="12.5703125" customWidth="1"/>
    <col min="5655" max="5655" width="12.42578125" customWidth="1"/>
    <col min="5656" max="5656" width="14.140625" customWidth="1"/>
    <col min="5889" max="5890" width="5.85546875" customWidth="1"/>
    <col min="5891" max="5891" width="38.5703125" customWidth="1"/>
    <col min="5892" max="5892" width="6.28515625" customWidth="1"/>
    <col min="5893" max="5893" width="7.28515625" customWidth="1"/>
    <col min="5894" max="5895" width="5.5703125" customWidth="1"/>
    <col min="5896" max="5896" width="14.5703125" customWidth="1"/>
    <col min="5897" max="5897" width="14.7109375" customWidth="1"/>
    <col min="5898" max="5898" width="13.28515625" customWidth="1"/>
    <col min="5899" max="5899" width="10.85546875" customWidth="1"/>
    <col min="5900" max="5900" width="11.7109375" customWidth="1"/>
    <col min="5901" max="5901" width="11.85546875" customWidth="1"/>
    <col min="5902" max="5902" width="10.85546875" customWidth="1"/>
    <col min="5903" max="5903" width="11.7109375" customWidth="1"/>
    <col min="5904" max="5904" width="11.5703125" customWidth="1"/>
    <col min="5905" max="5905" width="13.42578125" customWidth="1"/>
    <col min="5906" max="5906" width="13.5703125" customWidth="1"/>
    <col min="5907" max="5907" width="11.42578125" customWidth="1"/>
    <col min="5908" max="5908" width="12" customWidth="1"/>
    <col min="5909" max="5909" width="11.28515625" customWidth="1"/>
    <col min="5910" max="5910" width="12.5703125" customWidth="1"/>
    <col min="5911" max="5911" width="12.42578125" customWidth="1"/>
    <col min="5912" max="5912" width="14.140625" customWidth="1"/>
    <col min="6145" max="6146" width="5.85546875" customWidth="1"/>
    <col min="6147" max="6147" width="38.5703125" customWidth="1"/>
    <col min="6148" max="6148" width="6.28515625" customWidth="1"/>
    <col min="6149" max="6149" width="7.28515625" customWidth="1"/>
    <col min="6150" max="6151" width="5.5703125" customWidth="1"/>
    <col min="6152" max="6152" width="14.5703125" customWidth="1"/>
    <col min="6153" max="6153" width="14.7109375" customWidth="1"/>
    <col min="6154" max="6154" width="13.28515625" customWidth="1"/>
    <col min="6155" max="6155" width="10.85546875" customWidth="1"/>
    <col min="6156" max="6156" width="11.7109375" customWidth="1"/>
    <col min="6157" max="6157" width="11.85546875" customWidth="1"/>
    <col min="6158" max="6158" width="10.85546875" customWidth="1"/>
    <col min="6159" max="6159" width="11.7109375" customWidth="1"/>
    <col min="6160" max="6160" width="11.5703125" customWidth="1"/>
    <col min="6161" max="6161" width="13.42578125" customWidth="1"/>
    <col min="6162" max="6162" width="13.5703125" customWidth="1"/>
    <col min="6163" max="6163" width="11.42578125" customWidth="1"/>
    <col min="6164" max="6164" width="12" customWidth="1"/>
    <col min="6165" max="6165" width="11.28515625" customWidth="1"/>
    <col min="6166" max="6166" width="12.5703125" customWidth="1"/>
    <col min="6167" max="6167" width="12.42578125" customWidth="1"/>
    <col min="6168" max="6168" width="14.140625" customWidth="1"/>
    <col min="6401" max="6402" width="5.85546875" customWidth="1"/>
    <col min="6403" max="6403" width="38.5703125" customWidth="1"/>
    <col min="6404" max="6404" width="6.28515625" customWidth="1"/>
    <col min="6405" max="6405" width="7.28515625" customWidth="1"/>
    <col min="6406" max="6407" width="5.5703125" customWidth="1"/>
    <col min="6408" max="6408" width="14.5703125" customWidth="1"/>
    <col min="6409" max="6409" width="14.7109375" customWidth="1"/>
    <col min="6410" max="6410" width="13.28515625" customWidth="1"/>
    <col min="6411" max="6411" width="10.85546875" customWidth="1"/>
    <col min="6412" max="6412" width="11.7109375" customWidth="1"/>
    <col min="6413" max="6413" width="11.85546875" customWidth="1"/>
    <col min="6414" max="6414" width="10.85546875" customWidth="1"/>
    <col min="6415" max="6415" width="11.7109375" customWidth="1"/>
    <col min="6416" max="6416" width="11.5703125" customWidth="1"/>
    <col min="6417" max="6417" width="13.42578125" customWidth="1"/>
    <col min="6418" max="6418" width="13.5703125" customWidth="1"/>
    <col min="6419" max="6419" width="11.42578125" customWidth="1"/>
    <col min="6420" max="6420" width="12" customWidth="1"/>
    <col min="6421" max="6421" width="11.28515625" customWidth="1"/>
    <col min="6422" max="6422" width="12.5703125" customWidth="1"/>
    <col min="6423" max="6423" width="12.42578125" customWidth="1"/>
    <col min="6424" max="6424" width="14.140625" customWidth="1"/>
    <col min="6657" max="6658" width="5.85546875" customWidth="1"/>
    <col min="6659" max="6659" width="38.5703125" customWidth="1"/>
    <col min="6660" max="6660" width="6.28515625" customWidth="1"/>
    <col min="6661" max="6661" width="7.28515625" customWidth="1"/>
    <col min="6662" max="6663" width="5.5703125" customWidth="1"/>
    <col min="6664" max="6664" width="14.5703125" customWidth="1"/>
    <col min="6665" max="6665" width="14.7109375" customWidth="1"/>
    <col min="6666" max="6666" width="13.28515625" customWidth="1"/>
    <col min="6667" max="6667" width="10.85546875" customWidth="1"/>
    <col min="6668" max="6668" width="11.7109375" customWidth="1"/>
    <col min="6669" max="6669" width="11.85546875" customWidth="1"/>
    <col min="6670" max="6670" width="10.85546875" customWidth="1"/>
    <col min="6671" max="6671" width="11.7109375" customWidth="1"/>
    <col min="6672" max="6672" width="11.5703125" customWidth="1"/>
    <col min="6673" max="6673" width="13.42578125" customWidth="1"/>
    <col min="6674" max="6674" width="13.5703125" customWidth="1"/>
    <col min="6675" max="6675" width="11.42578125" customWidth="1"/>
    <col min="6676" max="6676" width="12" customWidth="1"/>
    <col min="6677" max="6677" width="11.28515625" customWidth="1"/>
    <col min="6678" max="6678" width="12.5703125" customWidth="1"/>
    <col min="6679" max="6679" width="12.42578125" customWidth="1"/>
    <col min="6680" max="6680" width="14.140625" customWidth="1"/>
    <col min="6913" max="6914" width="5.85546875" customWidth="1"/>
    <col min="6915" max="6915" width="38.5703125" customWidth="1"/>
    <col min="6916" max="6916" width="6.28515625" customWidth="1"/>
    <col min="6917" max="6917" width="7.28515625" customWidth="1"/>
    <col min="6918" max="6919" width="5.5703125" customWidth="1"/>
    <col min="6920" max="6920" width="14.5703125" customWidth="1"/>
    <col min="6921" max="6921" width="14.7109375" customWidth="1"/>
    <col min="6922" max="6922" width="13.28515625" customWidth="1"/>
    <col min="6923" max="6923" width="10.85546875" customWidth="1"/>
    <col min="6924" max="6924" width="11.7109375" customWidth="1"/>
    <col min="6925" max="6925" width="11.85546875" customWidth="1"/>
    <col min="6926" max="6926" width="10.85546875" customWidth="1"/>
    <col min="6927" max="6927" width="11.7109375" customWidth="1"/>
    <col min="6928" max="6928" width="11.5703125" customWidth="1"/>
    <col min="6929" max="6929" width="13.42578125" customWidth="1"/>
    <col min="6930" max="6930" width="13.5703125" customWidth="1"/>
    <col min="6931" max="6931" width="11.42578125" customWidth="1"/>
    <col min="6932" max="6932" width="12" customWidth="1"/>
    <col min="6933" max="6933" width="11.28515625" customWidth="1"/>
    <col min="6934" max="6934" width="12.5703125" customWidth="1"/>
    <col min="6935" max="6935" width="12.42578125" customWidth="1"/>
    <col min="6936" max="6936" width="14.140625" customWidth="1"/>
    <col min="7169" max="7170" width="5.85546875" customWidth="1"/>
    <col min="7171" max="7171" width="38.5703125" customWidth="1"/>
    <col min="7172" max="7172" width="6.28515625" customWidth="1"/>
    <col min="7173" max="7173" width="7.28515625" customWidth="1"/>
    <col min="7174" max="7175" width="5.5703125" customWidth="1"/>
    <col min="7176" max="7176" width="14.5703125" customWidth="1"/>
    <col min="7177" max="7177" width="14.7109375" customWidth="1"/>
    <col min="7178" max="7178" width="13.28515625" customWidth="1"/>
    <col min="7179" max="7179" width="10.85546875" customWidth="1"/>
    <col min="7180" max="7180" width="11.7109375" customWidth="1"/>
    <col min="7181" max="7181" width="11.85546875" customWidth="1"/>
    <col min="7182" max="7182" width="10.85546875" customWidth="1"/>
    <col min="7183" max="7183" width="11.7109375" customWidth="1"/>
    <col min="7184" max="7184" width="11.5703125" customWidth="1"/>
    <col min="7185" max="7185" width="13.42578125" customWidth="1"/>
    <col min="7186" max="7186" width="13.5703125" customWidth="1"/>
    <col min="7187" max="7187" width="11.42578125" customWidth="1"/>
    <col min="7188" max="7188" width="12" customWidth="1"/>
    <col min="7189" max="7189" width="11.28515625" customWidth="1"/>
    <col min="7190" max="7190" width="12.5703125" customWidth="1"/>
    <col min="7191" max="7191" width="12.42578125" customWidth="1"/>
    <col min="7192" max="7192" width="14.140625" customWidth="1"/>
    <col min="7425" max="7426" width="5.85546875" customWidth="1"/>
    <col min="7427" max="7427" width="38.5703125" customWidth="1"/>
    <col min="7428" max="7428" width="6.28515625" customWidth="1"/>
    <col min="7429" max="7429" width="7.28515625" customWidth="1"/>
    <col min="7430" max="7431" width="5.5703125" customWidth="1"/>
    <col min="7432" max="7432" width="14.5703125" customWidth="1"/>
    <col min="7433" max="7433" width="14.7109375" customWidth="1"/>
    <col min="7434" max="7434" width="13.28515625" customWidth="1"/>
    <col min="7435" max="7435" width="10.85546875" customWidth="1"/>
    <col min="7436" max="7436" width="11.7109375" customWidth="1"/>
    <col min="7437" max="7437" width="11.85546875" customWidth="1"/>
    <col min="7438" max="7438" width="10.85546875" customWidth="1"/>
    <col min="7439" max="7439" width="11.7109375" customWidth="1"/>
    <col min="7440" max="7440" width="11.5703125" customWidth="1"/>
    <col min="7441" max="7441" width="13.42578125" customWidth="1"/>
    <col min="7442" max="7442" width="13.5703125" customWidth="1"/>
    <col min="7443" max="7443" width="11.42578125" customWidth="1"/>
    <col min="7444" max="7444" width="12" customWidth="1"/>
    <col min="7445" max="7445" width="11.28515625" customWidth="1"/>
    <col min="7446" max="7446" width="12.5703125" customWidth="1"/>
    <col min="7447" max="7447" width="12.42578125" customWidth="1"/>
    <col min="7448" max="7448" width="14.140625" customWidth="1"/>
    <col min="7681" max="7682" width="5.85546875" customWidth="1"/>
    <col min="7683" max="7683" width="38.5703125" customWidth="1"/>
    <col min="7684" max="7684" width="6.28515625" customWidth="1"/>
    <col min="7685" max="7685" width="7.28515625" customWidth="1"/>
    <col min="7686" max="7687" width="5.5703125" customWidth="1"/>
    <col min="7688" max="7688" width="14.5703125" customWidth="1"/>
    <col min="7689" max="7689" width="14.7109375" customWidth="1"/>
    <col min="7690" max="7690" width="13.28515625" customWidth="1"/>
    <col min="7691" max="7691" width="10.85546875" customWidth="1"/>
    <col min="7692" max="7692" width="11.7109375" customWidth="1"/>
    <col min="7693" max="7693" width="11.85546875" customWidth="1"/>
    <col min="7694" max="7694" width="10.85546875" customWidth="1"/>
    <col min="7695" max="7695" width="11.7109375" customWidth="1"/>
    <col min="7696" max="7696" width="11.5703125" customWidth="1"/>
    <col min="7697" max="7697" width="13.42578125" customWidth="1"/>
    <col min="7698" max="7698" width="13.5703125" customWidth="1"/>
    <col min="7699" max="7699" width="11.42578125" customWidth="1"/>
    <col min="7700" max="7700" width="12" customWidth="1"/>
    <col min="7701" max="7701" width="11.28515625" customWidth="1"/>
    <col min="7702" max="7702" width="12.5703125" customWidth="1"/>
    <col min="7703" max="7703" width="12.42578125" customWidth="1"/>
    <col min="7704" max="7704" width="14.140625" customWidth="1"/>
    <col min="7937" max="7938" width="5.85546875" customWidth="1"/>
    <col min="7939" max="7939" width="38.5703125" customWidth="1"/>
    <col min="7940" max="7940" width="6.28515625" customWidth="1"/>
    <col min="7941" max="7941" width="7.28515625" customWidth="1"/>
    <col min="7942" max="7943" width="5.5703125" customWidth="1"/>
    <col min="7944" max="7944" width="14.5703125" customWidth="1"/>
    <col min="7945" max="7945" width="14.7109375" customWidth="1"/>
    <col min="7946" max="7946" width="13.28515625" customWidth="1"/>
    <col min="7947" max="7947" width="10.85546875" customWidth="1"/>
    <col min="7948" max="7948" width="11.7109375" customWidth="1"/>
    <col min="7949" max="7949" width="11.85546875" customWidth="1"/>
    <col min="7950" max="7950" width="10.85546875" customWidth="1"/>
    <col min="7951" max="7951" width="11.7109375" customWidth="1"/>
    <col min="7952" max="7952" width="11.5703125" customWidth="1"/>
    <col min="7953" max="7953" width="13.42578125" customWidth="1"/>
    <col min="7954" max="7954" width="13.5703125" customWidth="1"/>
    <col min="7955" max="7955" width="11.42578125" customWidth="1"/>
    <col min="7956" max="7956" width="12" customWidth="1"/>
    <col min="7957" max="7957" width="11.28515625" customWidth="1"/>
    <col min="7958" max="7958" width="12.5703125" customWidth="1"/>
    <col min="7959" max="7959" width="12.42578125" customWidth="1"/>
    <col min="7960" max="7960" width="14.140625" customWidth="1"/>
    <col min="8193" max="8194" width="5.85546875" customWidth="1"/>
    <col min="8195" max="8195" width="38.5703125" customWidth="1"/>
    <col min="8196" max="8196" width="6.28515625" customWidth="1"/>
    <col min="8197" max="8197" width="7.28515625" customWidth="1"/>
    <col min="8198" max="8199" width="5.5703125" customWidth="1"/>
    <col min="8200" max="8200" width="14.5703125" customWidth="1"/>
    <col min="8201" max="8201" width="14.7109375" customWidth="1"/>
    <col min="8202" max="8202" width="13.28515625" customWidth="1"/>
    <col min="8203" max="8203" width="10.85546875" customWidth="1"/>
    <col min="8204" max="8204" width="11.7109375" customWidth="1"/>
    <col min="8205" max="8205" width="11.85546875" customWidth="1"/>
    <col min="8206" max="8206" width="10.85546875" customWidth="1"/>
    <col min="8207" max="8207" width="11.7109375" customWidth="1"/>
    <col min="8208" max="8208" width="11.5703125" customWidth="1"/>
    <col min="8209" max="8209" width="13.42578125" customWidth="1"/>
    <col min="8210" max="8210" width="13.5703125" customWidth="1"/>
    <col min="8211" max="8211" width="11.42578125" customWidth="1"/>
    <col min="8212" max="8212" width="12" customWidth="1"/>
    <col min="8213" max="8213" width="11.28515625" customWidth="1"/>
    <col min="8214" max="8214" width="12.5703125" customWidth="1"/>
    <col min="8215" max="8215" width="12.42578125" customWidth="1"/>
    <col min="8216" max="8216" width="14.140625" customWidth="1"/>
    <col min="8449" max="8450" width="5.85546875" customWidth="1"/>
    <col min="8451" max="8451" width="38.5703125" customWidth="1"/>
    <col min="8452" max="8452" width="6.28515625" customWidth="1"/>
    <col min="8453" max="8453" width="7.28515625" customWidth="1"/>
    <col min="8454" max="8455" width="5.5703125" customWidth="1"/>
    <col min="8456" max="8456" width="14.5703125" customWidth="1"/>
    <col min="8457" max="8457" width="14.7109375" customWidth="1"/>
    <col min="8458" max="8458" width="13.28515625" customWidth="1"/>
    <col min="8459" max="8459" width="10.85546875" customWidth="1"/>
    <col min="8460" max="8460" width="11.7109375" customWidth="1"/>
    <col min="8461" max="8461" width="11.85546875" customWidth="1"/>
    <col min="8462" max="8462" width="10.85546875" customWidth="1"/>
    <col min="8463" max="8463" width="11.7109375" customWidth="1"/>
    <col min="8464" max="8464" width="11.5703125" customWidth="1"/>
    <col min="8465" max="8465" width="13.42578125" customWidth="1"/>
    <col min="8466" max="8466" width="13.5703125" customWidth="1"/>
    <col min="8467" max="8467" width="11.42578125" customWidth="1"/>
    <col min="8468" max="8468" width="12" customWidth="1"/>
    <col min="8469" max="8469" width="11.28515625" customWidth="1"/>
    <col min="8470" max="8470" width="12.5703125" customWidth="1"/>
    <col min="8471" max="8471" width="12.42578125" customWidth="1"/>
    <col min="8472" max="8472" width="14.140625" customWidth="1"/>
    <col min="8705" max="8706" width="5.85546875" customWidth="1"/>
    <col min="8707" max="8707" width="38.5703125" customWidth="1"/>
    <col min="8708" max="8708" width="6.28515625" customWidth="1"/>
    <col min="8709" max="8709" width="7.28515625" customWidth="1"/>
    <col min="8710" max="8711" width="5.5703125" customWidth="1"/>
    <col min="8712" max="8712" width="14.5703125" customWidth="1"/>
    <col min="8713" max="8713" width="14.7109375" customWidth="1"/>
    <col min="8714" max="8714" width="13.28515625" customWidth="1"/>
    <col min="8715" max="8715" width="10.85546875" customWidth="1"/>
    <col min="8716" max="8716" width="11.7109375" customWidth="1"/>
    <col min="8717" max="8717" width="11.85546875" customWidth="1"/>
    <col min="8718" max="8718" width="10.85546875" customWidth="1"/>
    <col min="8719" max="8719" width="11.7109375" customWidth="1"/>
    <col min="8720" max="8720" width="11.5703125" customWidth="1"/>
    <col min="8721" max="8721" width="13.42578125" customWidth="1"/>
    <col min="8722" max="8722" width="13.5703125" customWidth="1"/>
    <col min="8723" max="8723" width="11.42578125" customWidth="1"/>
    <col min="8724" max="8724" width="12" customWidth="1"/>
    <col min="8725" max="8725" width="11.28515625" customWidth="1"/>
    <col min="8726" max="8726" width="12.5703125" customWidth="1"/>
    <col min="8727" max="8727" width="12.42578125" customWidth="1"/>
    <col min="8728" max="8728" width="14.140625" customWidth="1"/>
    <col min="8961" max="8962" width="5.85546875" customWidth="1"/>
    <col min="8963" max="8963" width="38.5703125" customWidth="1"/>
    <col min="8964" max="8964" width="6.28515625" customWidth="1"/>
    <col min="8965" max="8965" width="7.28515625" customWidth="1"/>
    <col min="8966" max="8967" width="5.5703125" customWidth="1"/>
    <col min="8968" max="8968" width="14.5703125" customWidth="1"/>
    <col min="8969" max="8969" width="14.7109375" customWidth="1"/>
    <col min="8970" max="8970" width="13.28515625" customWidth="1"/>
    <col min="8971" max="8971" width="10.85546875" customWidth="1"/>
    <col min="8972" max="8972" width="11.7109375" customWidth="1"/>
    <col min="8973" max="8973" width="11.85546875" customWidth="1"/>
    <col min="8974" max="8974" width="10.85546875" customWidth="1"/>
    <col min="8975" max="8975" width="11.7109375" customWidth="1"/>
    <col min="8976" max="8976" width="11.5703125" customWidth="1"/>
    <col min="8977" max="8977" width="13.42578125" customWidth="1"/>
    <col min="8978" max="8978" width="13.5703125" customWidth="1"/>
    <col min="8979" max="8979" width="11.42578125" customWidth="1"/>
    <col min="8980" max="8980" width="12" customWidth="1"/>
    <col min="8981" max="8981" width="11.28515625" customWidth="1"/>
    <col min="8982" max="8982" width="12.5703125" customWidth="1"/>
    <col min="8983" max="8983" width="12.42578125" customWidth="1"/>
    <col min="8984" max="8984" width="14.140625" customWidth="1"/>
    <col min="9217" max="9218" width="5.85546875" customWidth="1"/>
    <col min="9219" max="9219" width="38.5703125" customWidth="1"/>
    <col min="9220" max="9220" width="6.28515625" customWidth="1"/>
    <col min="9221" max="9221" width="7.28515625" customWidth="1"/>
    <col min="9222" max="9223" width="5.5703125" customWidth="1"/>
    <col min="9224" max="9224" width="14.5703125" customWidth="1"/>
    <col min="9225" max="9225" width="14.7109375" customWidth="1"/>
    <col min="9226" max="9226" width="13.28515625" customWidth="1"/>
    <col min="9227" max="9227" width="10.85546875" customWidth="1"/>
    <col min="9228" max="9228" width="11.7109375" customWidth="1"/>
    <col min="9229" max="9229" width="11.85546875" customWidth="1"/>
    <col min="9230" max="9230" width="10.85546875" customWidth="1"/>
    <col min="9231" max="9231" width="11.7109375" customWidth="1"/>
    <col min="9232" max="9232" width="11.5703125" customWidth="1"/>
    <col min="9233" max="9233" width="13.42578125" customWidth="1"/>
    <col min="9234" max="9234" width="13.5703125" customWidth="1"/>
    <col min="9235" max="9235" width="11.42578125" customWidth="1"/>
    <col min="9236" max="9236" width="12" customWidth="1"/>
    <col min="9237" max="9237" width="11.28515625" customWidth="1"/>
    <col min="9238" max="9238" width="12.5703125" customWidth="1"/>
    <col min="9239" max="9239" width="12.42578125" customWidth="1"/>
    <col min="9240" max="9240" width="14.140625" customWidth="1"/>
    <col min="9473" max="9474" width="5.85546875" customWidth="1"/>
    <col min="9475" max="9475" width="38.5703125" customWidth="1"/>
    <col min="9476" max="9476" width="6.28515625" customWidth="1"/>
    <col min="9477" max="9477" width="7.28515625" customWidth="1"/>
    <col min="9478" max="9479" width="5.5703125" customWidth="1"/>
    <col min="9480" max="9480" width="14.5703125" customWidth="1"/>
    <col min="9481" max="9481" width="14.7109375" customWidth="1"/>
    <col min="9482" max="9482" width="13.28515625" customWidth="1"/>
    <col min="9483" max="9483" width="10.85546875" customWidth="1"/>
    <col min="9484" max="9484" width="11.7109375" customWidth="1"/>
    <col min="9485" max="9485" width="11.85546875" customWidth="1"/>
    <col min="9486" max="9486" width="10.85546875" customWidth="1"/>
    <col min="9487" max="9487" width="11.7109375" customWidth="1"/>
    <col min="9488" max="9488" width="11.5703125" customWidth="1"/>
    <col min="9489" max="9489" width="13.42578125" customWidth="1"/>
    <col min="9490" max="9490" width="13.5703125" customWidth="1"/>
    <col min="9491" max="9491" width="11.42578125" customWidth="1"/>
    <col min="9492" max="9492" width="12" customWidth="1"/>
    <col min="9493" max="9493" width="11.28515625" customWidth="1"/>
    <col min="9494" max="9494" width="12.5703125" customWidth="1"/>
    <col min="9495" max="9495" width="12.42578125" customWidth="1"/>
    <col min="9496" max="9496" width="14.140625" customWidth="1"/>
    <col min="9729" max="9730" width="5.85546875" customWidth="1"/>
    <col min="9731" max="9731" width="38.5703125" customWidth="1"/>
    <col min="9732" max="9732" width="6.28515625" customWidth="1"/>
    <col min="9733" max="9733" width="7.28515625" customWidth="1"/>
    <col min="9734" max="9735" width="5.5703125" customWidth="1"/>
    <col min="9736" max="9736" width="14.5703125" customWidth="1"/>
    <col min="9737" max="9737" width="14.7109375" customWidth="1"/>
    <col min="9738" max="9738" width="13.28515625" customWidth="1"/>
    <col min="9739" max="9739" width="10.85546875" customWidth="1"/>
    <col min="9740" max="9740" width="11.7109375" customWidth="1"/>
    <col min="9741" max="9741" width="11.85546875" customWidth="1"/>
    <col min="9742" max="9742" width="10.85546875" customWidth="1"/>
    <col min="9743" max="9743" width="11.7109375" customWidth="1"/>
    <col min="9744" max="9744" width="11.5703125" customWidth="1"/>
    <col min="9745" max="9745" width="13.42578125" customWidth="1"/>
    <col min="9746" max="9746" width="13.5703125" customWidth="1"/>
    <col min="9747" max="9747" width="11.42578125" customWidth="1"/>
    <col min="9748" max="9748" width="12" customWidth="1"/>
    <col min="9749" max="9749" width="11.28515625" customWidth="1"/>
    <col min="9750" max="9750" width="12.5703125" customWidth="1"/>
    <col min="9751" max="9751" width="12.42578125" customWidth="1"/>
    <col min="9752" max="9752" width="14.140625" customWidth="1"/>
    <col min="9985" max="9986" width="5.85546875" customWidth="1"/>
    <col min="9987" max="9987" width="38.5703125" customWidth="1"/>
    <col min="9988" max="9988" width="6.28515625" customWidth="1"/>
    <col min="9989" max="9989" width="7.28515625" customWidth="1"/>
    <col min="9990" max="9991" width="5.5703125" customWidth="1"/>
    <col min="9992" max="9992" width="14.5703125" customWidth="1"/>
    <col min="9993" max="9993" width="14.7109375" customWidth="1"/>
    <col min="9994" max="9994" width="13.28515625" customWidth="1"/>
    <col min="9995" max="9995" width="10.85546875" customWidth="1"/>
    <col min="9996" max="9996" width="11.7109375" customWidth="1"/>
    <col min="9997" max="9997" width="11.85546875" customWidth="1"/>
    <col min="9998" max="9998" width="10.85546875" customWidth="1"/>
    <col min="9999" max="9999" width="11.7109375" customWidth="1"/>
    <col min="10000" max="10000" width="11.5703125" customWidth="1"/>
    <col min="10001" max="10001" width="13.42578125" customWidth="1"/>
    <col min="10002" max="10002" width="13.5703125" customWidth="1"/>
    <col min="10003" max="10003" width="11.42578125" customWidth="1"/>
    <col min="10004" max="10004" width="12" customWidth="1"/>
    <col min="10005" max="10005" width="11.28515625" customWidth="1"/>
    <col min="10006" max="10006" width="12.5703125" customWidth="1"/>
    <col min="10007" max="10007" width="12.42578125" customWidth="1"/>
    <col min="10008" max="10008" width="14.140625" customWidth="1"/>
    <col min="10241" max="10242" width="5.85546875" customWidth="1"/>
    <col min="10243" max="10243" width="38.5703125" customWidth="1"/>
    <col min="10244" max="10244" width="6.28515625" customWidth="1"/>
    <col min="10245" max="10245" width="7.28515625" customWidth="1"/>
    <col min="10246" max="10247" width="5.5703125" customWidth="1"/>
    <col min="10248" max="10248" width="14.5703125" customWidth="1"/>
    <col min="10249" max="10249" width="14.7109375" customWidth="1"/>
    <col min="10250" max="10250" width="13.28515625" customWidth="1"/>
    <col min="10251" max="10251" width="10.85546875" customWidth="1"/>
    <col min="10252" max="10252" width="11.7109375" customWidth="1"/>
    <col min="10253" max="10253" width="11.85546875" customWidth="1"/>
    <col min="10254" max="10254" width="10.85546875" customWidth="1"/>
    <col min="10255" max="10255" width="11.7109375" customWidth="1"/>
    <col min="10256" max="10256" width="11.5703125" customWidth="1"/>
    <col min="10257" max="10257" width="13.42578125" customWidth="1"/>
    <col min="10258" max="10258" width="13.5703125" customWidth="1"/>
    <col min="10259" max="10259" width="11.42578125" customWidth="1"/>
    <col min="10260" max="10260" width="12" customWidth="1"/>
    <col min="10261" max="10261" width="11.28515625" customWidth="1"/>
    <col min="10262" max="10262" width="12.5703125" customWidth="1"/>
    <col min="10263" max="10263" width="12.42578125" customWidth="1"/>
    <col min="10264" max="10264" width="14.140625" customWidth="1"/>
    <col min="10497" max="10498" width="5.85546875" customWidth="1"/>
    <col min="10499" max="10499" width="38.5703125" customWidth="1"/>
    <col min="10500" max="10500" width="6.28515625" customWidth="1"/>
    <col min="10501" max="10501" width="7.28515625" customWidth="1"/>
    <col min="10502" max="10503" width="5.5703125" customWidth="1"/>
    <col min="10504" max="10504" width="14.5703125" customWidth="1"/>
    <col min="10505" max="10505" width="14.7109375" customWidth="1"/>
    <col min="10506" max="10506" width="13.28515625" customWidth="1"/>
    <col min="10507" max="10507" width="10.85546875" customWidth="1"/>
    <col min="10508" max="10508" width="11.7109375" customWidth="1"/>
    <col min="10509" max="10509" width="11.85546875" customWidth="1"/>
    <col min="10510" max="10510" width="10.85546875" customWidth="1"/>
    <col min="10511" max="10511" width="11.7109375" customWidth="1"/>
    <col min="10512" max="10512" width="11.5703125" customWidth="1"/>
    <col min="10513" max="10513" width="13.42578125" customWidth="1"/>
    <col min="10514" max="10514" width="13.5703125" customWidth="1"/>
    <col min="10515" max="10515" width="11.42578125" customWidth="1"/>
    <col min="10516" max="10516" width="12" customWidth="1"/>
    <col min="10517" max="10517" width="11.28515625" customWidth="1"/>
    <col min="10518" max="10518" width="12.5703125" customWidth="1"/>
    <col min="10519" max="10519" width="12.42578125" customWidth="1"/>
    <col min="10520" max="10520" width="14.140625" customWidth="1"/>
    <col min="10753" max="10754" width="5.85546875" customWidth="1"/>
    <col min="10755" max="10755" width="38.5703125" customWidth="1"/>
    <col min="10756" max="10756" width="6.28515625" customWidth="1"/>
    <col min="10757" max="10757" width="7.28515625" customWidth="1"/>
    <col min="10758" max="10759" width="5.5703125" customWidth="1"/>
    <col min="10760" max="10760" width="14.5703125" customWidth="1"/>
    <col min="10761" max="10761" width="14.7109375" customWidth="1"/>
    <col min="10762" max="10762" width="13.28515625" customWidth="1"/>
    <col min="10763" max="10763" width="10.85546875" customWidth="1"/>
    <col min="10764" max="10764" width="11.7109375" customWidth="1"/>
    <col min="10765" max="10765" width="11.85546875" customWidth="1"/>
    <col min="10766" max="10766" width="10.85546875" customWidth="1"/>
    <col min="10767" max="10767" width="11.7109375" customWidth="1"/>
    <col min="10768" max="10768" width="11.5703125" customWidth="1"/>
    <col min="10769" max="10769" width="13.42578125" customWidth="1"/>
    <col min="10770" max="10770" width="13.5703125" customWidth="1"/>
    <col min="10771" max="10771" width="11.42578125" customWidth="1"/>
    <col min="10772" max="10772" width="12" customWidth="1"/>
    <col min="10773" max="10773" width="11.28515625" customWidth="1"/>
    <col min="10774" max="10774" width="12.5703125" customWidth="1"/>
    <col min="10775" max="10775" width="12.42578125" customWidth="1"/>
    <col min="10776" max="10776" width="14.140625" customWidth="1"/>
    <col min="11009" max="11010" width="5.85546875" customWidth="1"/>
    <col min="11011" max="11011" width="38.5703125" customWidth="1"/>
    <col min="11012" max="11012" width="6.28515625" customWidth="1"/>
    <col min="11013" max="11013" width="7.28515625" customWidth="1"/>
    <col min="11014" max="11015" width="5.5703125" customWidth="1"/>
    <col min="11016" max="11016" width="14.5703125" customWidth="1"/>
    <col min="11017" max="11017" width="14.7109375" customWidth="1"/>
    <col min="11018" max="11018" width="13.28515625" customWidth="1"/>
    <col min="11019" max="11019" width="10.85546875" customWidth="1"/>
    <col min="11020" max="11020" width="11.7109375" customWidth="1"/>
    <col min="11021" max="11021" width="11.85546875" customWidth="1"/>
    <col min="11022" max="11022" width="10.85546875" customWidth="1"/>
    <col min="11023" max="11023" width="11.7109375" customWidth="1"/>
    <col min="11024" max="11024" width="11.5703125" customWidth="1"/>
    <col min="11025" max="11025" width="13.42578125" customWidth="1"/>
    <col min="11026" max="11026" width="13.5703125" customWidth="1"/>
    <col min="11027" max="11027" width="11.42578125" customWidth="1"/>
    <col min="11028" max="11028" width="12" customWidth="1"/>
    <col min="11029" max="11029" width="11.28515625" customWidth="1"/>
    <col min="11030" max="11030" width="12.5703125" customWidth="1"/>
    <col min="11031" max="11031" width="12.42578125" customWidth="1"/>
    <col min="11032" max="11032" width="14.140625" customWidth="1"/>
    <col min="11265" max="11266" width="5.85546875" customWidth="1"/>
    <col min="11267" max="11267" width="38.5703125" customWidth="1"/>
    <col min="11268" max="11268" width="6.28515625" customWidth="1"/>
    <col min="11269" max="11269" width="7.28515625" customWidth="1"/>
    <col min="11270" max="11271" width="5.5703125" customWidth="1"/>
    <col min="11272" max="11272" width="14.5703125" customWidth="1"/>
    <col min="11273" max="11273" width="14.7109375" customWidth="1"/>
    <col min="11274" max="11274" width="13.28515625" customWidth="1"/>
    <col min="11275" max="11275" width="10.85546875" customWidth="1"/>
    <col min="11276" max="11276" width="11.7109375" customWidth="1"/>
    <col min="11277" max="11277" width="11.85546875" customWidth="1"/>
    <col min="11278" max="11278" width="10.85546875" customWidth="1"/>
    <col min="11279" max="11279" width="11.7109375" customWidth="1"/>
    <col min="11280" max="11280" width="11.5703125" customWidth="1"/>
    <col min="11281" max="11281" width="13.42578125" customWidth="1"/>
    <col min="11282" max="11282" width="13.5703125" customWidth="1"/>
    <col min="11283" max="11283" width="11.42578125" customWidth="1"/>
    <col min="11284" max="11284" width="12" customWidth="1"/>
    <col min="11285" max="11285" width="11.28515625" customWidth="1"/>
    <col min="11286" max="11286" width="12.5703125" customWidth="1"/>
    <col min="11287" max="11287" width="12.42578125" customWidth="1"/>
    <col min="11288" max="11288" width="14.140625" customWidth="1"/>
    <col min="11521" max="11522" width="5.85546875" customWidth="1"/>
    <col min="11523" max="11523" width="38.5703125" customWidth="1"/>
    <col min="11524" max="11524" width="6.28515625" customWidth="1"/>
    <col min="11525" max="11525" width="7.28515625" customWidth="1"/>
    <col min="11526" max="11527" width="5.5703125" customWidth="1"/>
    <col min="11528" max="11528" width="14.5703125" customWidth="1"/>
    <col min="11529" max="11529" width="14.7109375" customWidth="1"/>
    <col min="11530" max="11530" width="13.28515625" customWidth="1"/>
    <col min="11531" max="11531" width="10.85546875" customWidth="1"/>
    <col min="11532" max="11532" width="11.7109375" customWidth="1"/>
    <col min="11533" max="11533" width="11.85546875" customWidth="1"/>
    <col min="11534" max="11534" width="10.85546875" customWidth="1"/>
    <col min="11535" max="11535" width="11.7109375" customWidth="1"/>
    <col min="11536" max="11536" width="11.5703125" customWidth="1"/>
    <col min="11537" max="11537" width="13.42578125" customWidth="1"/>
    <col min="11538" max="11538" width="13.5703125" customWidth="1"/>
    <col min="11539" max="11539" width="11.42578125" customWidth="1"/>
    <col min="11540" max="11540" width="12" customWidth="1"/>
    <col min="11541" max="11541" width="11.28515625" customWidth="1"/>
    <col min="11542" max="11542" width="12.5703125" customWidth="1"/>
    <col min="11543" max="11543" width="12.42578125" customWidth="1"/>
    <col min="11544" max="11544" width="14.140625" customWidth="1"/>
    <col min="11777" max="11778" width="5.85546875" customWidth="1"/>
    <col min="11779" max="11779" width="38.5703125" customWidth="1"/>
    <col min="11780" max="11780" width="6.28515625" customWidth="1"/>
    <col min="11781" max="11781" width="7.28515625" customWidth="1"/>
    <col min="11782" max="11783" width="5.5703125" customWidth="1"/>
    <col min="11784" max="11784" width="14.5703125" customWidth="1"/>
    <col min="11785" max="11785" width="14.7109375" customWidth="1"/>
    <col min="11786" max="11786" width="13.28515625" customWidth="1"/>
    <col min="11787" max="11787" width="10.85546875" customWidth="1"/>
    <col min="11788" max="11788" width="11.7109375" customWidth="1"/>
    <col min="11789" max="11789" width="11.85546875" customWidth="1"/>
    <col min="11790" max="11790" width="10.85546875" customWidth="1"/>
    <col min="11791" max="11791" width="11.7109375" customWidth="1"/>
    <col min="11792" max="11792" width="11.5703125" customWidth="1"/>
    <col min="11793" max="11793" width="13.42578125" customWidth="1"/>
    <col min="11794" max="11794" width="13.5703125" customWidth="1"/>
    <col min="11795" max="11795" width="11.42578125" customWidth="1"/>
    <col min="11796" max="11796" width="12" customWidth="1"/>
    <col min="11797" max="11797" width="11.28515625" customWidth="1"/>
    <col min="11798" max="11798" width="12.5703125" customWidth="1"/>
    <col min="11799" max="11799" width="12.42578125" customWidth="1"/>
    <col min="11800" max="11800" width="14.140625" customWidth="1"/>
    <col min="12033" max="12034" width="5.85546875" customWidth="1"/>
    <col min="12035" max="12035" width="38.5703125" customWidth="1"/>
    <col min="12036" max="12036" width="6.28515625" customWidth="1"/>
    <col min="12037" max="12037" width="7.28515625" customWidth="1"/>
    <col min="12038" max="12039" width="5.5703125" customWidth="1"/>
    <col min="12040" max="12040" width="14.5703125" customWidth="1"/>
    <col min="12041" max="12041" width="14.7109375" customWidth="1"/>
    <col min="12042" max="12042" width="13.28515625" customWidth="1"/>
    <col min="12043" max="12043" width="10.85546875" customWidth="1"/>
    <col min="12044" max="12044" width="11.7109375" customWidth="1"/>
    <col min="12045" max="12045" width="11.85546875" customWidth="1"/>
    <col min="12046" max="12046" width="10.85546875" customWidth="1"/>
    <col min="12047" max="12047" width="11.7109375" customWidth="1"/>
    <col min="12048" max="12048" width="11.5703125" customWidth="1"/>
    <col min="12049" max="12049" width="13.42578125" customWidth="1"/>
    <col min="12050" max="12050" width="13.5703125" customWidth="1"/>
    <col min="12051" max="12051" width="11.42578125" customWidth="1"/>
    <col min="12052" max="12052" width="12" customWidth="1"/>
    <col min="12053" max="12053" width="11.28515625" customWidth="1"/>
    <col min="12054" max="12054" width="12.5703125" customWidth="1"/>
    <col min="12055" max="12055" width="12.42578125" customWidth="1"/>
    <col min="12056" max="12056" width="14.140625" customWidth="1"/>
    <col min="12289" max="12290" width="5.85546875" customWidth="1"/>
    <col min="12291" max="12291" width="38.5703125" customWidth="1"/>
    <col min="12292" max="12292" width="6.28515625" customWidth="1"/>
    <col min="12293" max="12293" width="7.28515625" customWidth="1"/>
    <col min="12294" max="12295" width="5.5703125" customWidth="1"/>
    <col min="12296" max="12296" width="14.5703125" customWidth="1"/>
    <col min="12297" max="12297" width="14.7109375" customWidth="1"/>
    <col min="12298" max="12298" width="13.28515625" customWidth="1"/>
    <col min="12299" max="12299" width="10.85546875" customWidth="1"/>
    <col min="12300" max="12300" width="11.7109375" customWidth="1"/>
    <col min="12301" max="12301" width="11.85546875" customWidth="1"/>
    <col min="12302" max="12302" width="10.85546875" customWidth="1"/>
    <col min="12303" max="12303" width="11.7109375" customWidth="1"/>
    <col min="12304" max="12304" width="11.5703125" customWidth="1"/>
    <col min="12305" max="12305" width="13.42578125" customWidth="1"/>
    <col min="12306" max="12306" width="13.5703125" customWidth="1"/>
    <col min="12307" max="12307" width="11.42578125" customWidth="1"/>
    <col min="12308" max="12308" width="12" customWidth="1"/>
    <col min="12309" max="12309" width="11.28515625" customWidth="1"/>
    <col min="12310" max="12310" width="12.5703125" customWidth="1"/>
    <col min="12311" max="12311" width="12.42578125" customWidth="1"/>
    <col min="12312" max="12312" width="14.140625" customWidth="1"/>
    <col min="12545" max="12546" width="5.85546875" customWidth="1"/>
    <col min="12547" max="12547" width="38.5703125" customWidth="1"/>
    <col min="12548" max="12548" width="6.28515625" customWidth="1"/>
    <col min="12549" max="12549" width="7.28515625" customWidth="1"/>
    <col min="12550" max="12551" width="5.5703125" customWidth="1"/>
    <col min="12552" max="12552" width="14.5703125" customWidth="1"/>
    <col min="12553" max="12553" width="14.7109375" customWidth="1"/>
    <col min="12554" max="12554" width="13.28515625" customWidth="1"/>
    <col min="12555" max="12555" width="10.85546875" customWidth="1"/>
    <col min="12556" max="12556" width="11.7109375" customWidth="1"/>
    <col min="12557" max="12557" width="11.85546875" customWidth="1"/>
    <col min="12558" max="12558" width="10.85546875" customWidth="1"/>
    <col min="12559" max="12559" width="11.7109375" customWidth="1"/>
    <col min="12560" max="12560" width="11.5703125" customWidth="1"/>
    <col min="12561" max="12561" width="13.42578125" customWidth="1"/>
    <col min="12562" max="12562" width="13.5703125" customWidth="1"/>
    <col min="12563" max="12563" width="11.42578125" customWidth="1"/>
    <col min="12564" max="12564" width="12" customWidth="1"/>
    <col min="12565" max="12565" width="11.28515625" customWidth="1"/>
    <col min="12566" max="12566" width="12.5703125" customWidth="1"/>
    <col min="12567" max="12567" width="12.42578125" customWidth="1"/>
    <col min="12568" max="12568" width="14.140625" customWidth="1"/>
    <col min="12801" max="12802" width="5.85546875" customWidth="1"/>
    <col min="12803" max="12803" width="38.5703125" customWidth="1"/>
    <col min="12804" max="12804" width="6.28515625" customWidth="1"/>
    <col min="12805" max="12805" width="7.28515625" customWidth="1"/>
    <col min="12806" max="12807" width="5.5703125" customWidth="1"/>
    <col min="12808" max="12808" width="14.5703125" customWidth="1"/>
    <col min="12809" max="12809" width="14.7109375" customWidth="1"/>
    <col min="12810" max="12810" width="13.28515625" customWidth="1"/>
    <col min="12811" max="12811" width="10.85546875" customWidth="1"/>
    <col min="12812" max="12812" width="11.7109375" customWidth="1"/>
    <col min="12813" max="12813" width="11.85546875" customWidth="1"/>
    <col min="12814" max="12814" width="10.85546875" customWidth="1"/>
    <col min="12815" max="12815" width="11.7109375" customWidth="1"/>
    <col min="12816" max="12816" width="11.5703125" customWidth="1"/>
    <col min="12817" max="12817" width="13.42578125" customWidth="1"/>
    <col min="12818" max="12818" width="13.5703125" customWidth="1"/>
    <col min="12819" max="12819" width="11.42578125" customWidth="1"/>
    <col min="12820" max="12820" width="12" customWidth="1"/>
    <col min="12821" max="12821" width="11.28515625" customWidth="1"/>
    <col min="12822" max="12822" width="12.5703125" customWidth="1"/>
    <col min="12823" max="12823" width="12.42578125" customWidth="1"/>
    <col min="12824" max="12824" width="14.140625" customWidth="1"/>
    <col min="13057" max="13058" width="5.85546875" customWidth="1"/>
    <col min="13059" max="13059" width="38.5703125" customWidth="1"/>
    <col min="13060" max="13060" width="6.28515625" customWidth="1"/>
    <col min="13061" max="13061" width="7.28515625" customWidth="1"/>
    <col min="13062" max="13063" width="5.5703125" customWidth="1"/>
    <col min="13064" max="13064" width="14.5703125" customWidth="1"/>
    <col min="13065" max="13065" width="14.7109375" customWidth="1"/>
    <col min="13066" max="13066" width="13.28515625" customWidth="1"/>
    <col min="13067" max="13067" width="10.85546875" customWidth="1"/>
    <col min="13068" max="13068" width="11.7109375" customWidth="1"/>
    <col min="13069" max="13069" width="11.85546875" customWidth="1"/>
    <col min="13070" max="13070" width="10.85546875" customWidth="1"/>
    <col min="13071" max="13071" width="11.7109375" customWidth="1"/>
    <col min="13072" max="13072" width="11.5703125" customWidth="1"/>
    <col min="13073" max="13073" width="13.42578125" customWidth="1"/>
    <col min="13074" max="13074" width="13.5703125" customWidth="1"/>
    <col min="13075" max="13075" width="11.42578125" customWidth="1"/>
    <col min="13076" max="13076" width="12" customWidth="1"/>
    <col min="13077" max="13077" width="11.28515625" customWidth="1"/>
    <col min="13078" max="13078" width="12.5703125" customWidth="1"/>
    <col min="13079" max="13079" width="12.42578125" customWidth="1"/>
    <col min="13080" max="13080" width="14.140625" customWidth="1"/>
    <col min="13313" max="13314" width="5.85546875" customWidth="1"/>
    <col min="13315" max="13315" width="38.5703125" customWidth="1"/>
    <col min="13316" max="13316" width="6.28515625" customWidth="1"/>
    <col min="13317" max="13317" width="7.28515625" customWidth="1"/>
    <col min="13318" max="13319" width="5.5703125" customWidth="1"/>
    <col min="13320" max="13320" width="14.5703125" customWidth="1"/>
    <col min="13321" max="13321" width="14.7109375" customWidth="1"/>
    <col min="13322" max="13322" width="13.28515625" customWidth="1"/>
    <col min="13323" max="13323" width="10.85546875" customWidth="1"/>
    <col min="13324" max="13324" width="11.7109375" customWidth="1"/>
    <col min="13325" max="13325" width="11.85546875" customWidth="1"/>
    <col min="13326" max="13326" width="10.85546875" customWidth="1"/>
    <col min="13327" max="13327" width="11.7109375" customWidth="1"/>
    <col min="13328" max="13328" width="11.5703125" customWidth="1"/>
    <col min="13329" max="13329" width="13.42578125" customWidth="1"/>
    <col min="13330" max="13330" width="13.5703125" customWidth="1"/>
    <col min="13331" max="13331" width="11.42578125" customWidth="1"/>
    <col min="13332" max="13332" width="12" customWidth="1"/>
    <col min="13333" max="13333" width="11.28515625" customWidth="1"/>
    <col min="13334" max="13334" width="12.5703125" customWidth="1"/>
    <col min="13335" max="13335" width="12.42578125" customWidth="1"/>
    <col min="13336" max="13336" width="14.140625" customWidth="1"/>
    <col min="13569" max="13570" width="5.85546875" customWidth="1"/>
    <col min="13571" max="13571" width="38.5703125" customWidth="1"/>
    <col min="13572" max="13572" width="6.28515625" customWidth="1"/>
    <col min="13573" max="13573" width="7.28515625" customWidth="1"/>
    <col min="13574" max="13575" width="5.5703125" customWidth="1"/>
    <col min="13576" max="13576" width="14.5703125" customWidth="1"/>
    <col min="13577" max="13577" width="14.7109375" customWidth="1"/>
    <col min="13578" max="13578" width="13.28515625" customWidth="1"/>
    <col min="13579" max="13579" width="10.85546875" customWidth="1"/>
    <col min="13580" max="13580" width="11.7109375" customWidth="1"/>
    <col min="13581" max="13581" width="11.85546875" customWidth="1"/>
    <col min="13582" max="13582" width="10.85546875" customWidth="1"/>
    <col min="13583" max="13583" width="11.7109375" customWidth="1"/>
    <col min="13584" max="13584" width="11.5703125" customWidth="1"/>
    <col min="13585" max="13585" width="13.42578125" customWidth="1"/>
    <col min="13586" max="13586" width="13.5703125" customWidth="1"/>
    <col min="13587" max="13587" width="11.42578125" customWidth="1"/>
    <col min="13588" max="13588" width="12" customWidth="1"/>
    <col min="13589" max="13589" width="11.28515625" customWidth="1"/>
    <col min="13590" max="13590" width="12.5703125" customWidth="1"/>
    <col min="13591" max="13591" width="12.42578125" customWidth="1"/>
    <col min="13592" max="13592" width="14.140625" customWidth="1"/>
    <col min="13825" max="13826" width="5.85546875" customWidth="1"/>
    <col min="13827" max="13827" width="38.5703125" customWidth="1"/>
    <col min="13828" max="13828" width="6.28515625" customWidth="1"/>
    <col min="13829" max="13829" width="7.28515625" customWidth="1"/>
    <col min="13830" max="13831" width="5.5703125" customWidth="1"/>
    <col min="13832" max="13832" width="14.5703125" customWidth="1"/>
    <col min="13833" max="13833" width="14.7109375" customWidth="1"/>
    <col min="13834" max="13834" width="13.28515625" customWidth="1"/>
    <col min="13835" max="13835" width="10.85546875" customWidth="1"/>
    <col min="13836" max="13836" width="11.7109375" customWidth="1"/>
    <col min="13837" max="13837" width="11.85546875" customWidth="1"/>
    <col min="13838" max="13838" width="10.85546875" customWidth="1"/>
    <col min="13839" max="13839" width="11.7109375" customWidth="1"/>
    <col min="13840" max="13840" width="11.5703125" customWidth="1"/>
    <col min="13841" max="13841" width="13.42578125" customWidth="1"/>
    <col min="13842" max="13842" width="13.5703125" customWidth="1"/>
    <col min="13843" max="13843" width="11.42578125" customWidth="1"/>
    <col min="13844" max="13844" width="12" customWidth="1"/>
    <col min="13845" max="13845" width="11.28515625" customWidth="1"/>
    <col min="13846" max="13846" width="12.5703125" customWidth="1"/>
    <col min="13847" max="13847" width="12.42578125" customWidth="1"/>
    <col min="13848" max="13848" width="14.140625" customWidth="1"/>
    <col min="14081" max="14082" width="5.85546875" customWidth="1"/>
    <col min="14083" max="14083" width="38.5703125" customWidth="1"/>
    <col min="14084" max="14084" width="6.28515625" customWidth="1"/>
    <col min="14085" max="14085" width="7.28515625" customWidth="1"/>
    <col min="14086" max="14087" width="5.5703125" customWidth="1"/>
    <col min="14088" max="14088" width="14.5703125" customWidth="1"/>
    <col min="14089" max="14089" width="14.7109375" customWidth="1"/>
    <col min="14090" max="14090" width="13.28515625" customWidth="1"/>
    <col min="14091" max="14091" width="10.85546875" customWidth="1"/>
    <col min="14092" max="14092" width="11.7109375" customWidth="1"/>
    <col min="14093" max="14093" width="11.85546875" customWidth="1"/>
    <col min="14094" max="14094" width="10.85546875" customWidth="1"/>
    <col min="14095" max="14095" width="11.7109375" customWidth="1"/>
    <col min="14096" max="14096" width="11.5703125" customWidth="1"/>
    <col min="14097" max="14097" width="13.42578125" customWidth="1"/>
    <col min="14098" max="14098" width="13.5703125" customWidth="1"/>
    <col min="14099" max="14099" width="11.42578125" customWidth="1"/>
    <col min="14100" max="14100" width="12" customWidth="1"/>
    <col min="14101" max="14101" width="11.28515625" customWidth="1"/>
    <col min="14102" max="14102" width="12.5703125" customWidth="1"/>
    <col min="14103" max="14103" width="12.42578125" customWidth="1"/>
    <col min="14104" max="14104" width="14.140625" customWidth="1"/>
    <col min="14337" max="14338" width="5.85546875" customWidth="1"/>
    <col min="14339" max="14339" width="38.5703125" customWidth="1"/>
    <col min="14340" max="14340" width="6.28515625" customWidth="1"/>
    <col min="14341" max="14341" width="7.28515625" customWidth="1"/>
    <col min="14342" max="14343" width="5.5703125" customWidth="1"/>
    <col min="14344" max="14344" width="14.5703125" customWidth="1"/>
    <col min="14345" max="14345" width="14.7109375" customWidth="1"/>
    <col min="14346" max="14346" width="13.28515625" customWidth="1"/>
    <col min="14347" max="14347" width="10.85546875" customWidth="1"/>
    <col min="14348" max="14348" width="11.7109375" customWidth="1"/>
    <col min="14349" max="14349" width="11.85546875" customWidth="1"/>
    <col min="14350" max="14350" width="10.85546875" customWidth="1"/>
    <col min="14351" max="14351" width="11.7109375" customWidth="1"/>
    <col min="14352" max="14352" width="11.5703125" customWidth="1"/>
    <col min="14353" max="14353" width="13.42578125" customWidth="1"/>
    <col min="14354" max="14354" width="13.5703125" customWidth="1"/>
    <col min="14355" max="14355" width="11.42578125" customWidth="1"/>
    <col min="14356" max="14356" width="12" customWidth="1"/>
    <col min="14357" max="14357" width="11.28515625" customWidth="1"/>
    <col min="14358" max="14358" width="12.5703125" customWidth="1"/>
    <col min="14359" max="14359" width="12.42578125" customWidth="1"/>
    <col min="14360" max="14360" width="14.140625" customWidth="1"/>
    <col min="14593" max="14594" width="5.85546875" customWidth="1"/>
    <col min="14595" max="14595" width="38.5703125" customWidth="1"/>
    <col min="14596" max="14596" width="6.28515625" customWidth="1"/>
    <col min="14597" max="14597" width="7.28515625" customWidth="1"/>
    <col min="14598" max="14599" width="5.5703125" customWidth="1"/>
    <col min="14600" max="14600" width="14.5703125" customWidth="1"/>
    <col min="14601" max="14601" width="14.7109375" customWidth="1"/>
    <col min="14602" max="14602" width="13.28515625" customWidth="1"/>
    <col min="14603" max="14603" width="10.85546875" customWidth="1"/>
    <col min="14604" max="14604" width="11.7109375" customWidth="1"/>
    <col min="14605" max="14605" width="11.85546875" customWidth="1"/>
    <col min="14606" max="14606" width="10.85546875" customWidth="1"/>
    <col min="14607" max="14607" width="11.7109375" customWidth="1"/>
    <col min="14608" max="14608" width="11.5703125" customWidth="1"/>
    <col min="14609" max="14609" width="13.42578125" customWidth="1"/>
    <col min="14610" max="14610" width="13.5703125" customWidth="1"/>
    <col min="14611" max="14611" width="11.42578125" customWidth="1"/>
    <col min="14612" max="14612" width="12" customWidth="1"/>
    <col min="14613" max="14613" width="11.28515625" customWidth="1"/>
    <col min="14614" max="14614" width="12.5703125" customWidth="1"/>
    <col min="14615" max="14615" width="12.42578125" customWidth="1"/>
    <col min="14616" max="14616" width="14.140625" customWidth="1"/>
    <col min="14849" max="14850" width="5.85546875" customWidth="1"/>
    <col min="14851" max="14851" width="38.5703125" customWidth="1"/>
    <col min="14852" max="14852" width="6.28515625" customWidth="1"/>
    <col min="14853" max="14853" width="7.28515625" customWidth="1"/>
    <col min="14854" max="14855" width="5.5703125" customWidth="1"/>
    <col min="14856" max="14856" width="14.5703125" customWidth="1"/>
    <col min="14857" max="14857" width="14.7109375" customWidth="1"/>
    <col min="14858" max="14858" width="13.28515625" customWidth="1"/>
    <col min="14859" max="14859" width="10.85546875" customWidth="1"/>
    <col min="14860" max="14860" width="11.7109375" customWidth="1"/>
    <col min="14861" max="14861" width="11.85546875" customWidth="1"/>
    <col min="14862" max="14862" width="10.85546875" customWidth="1"/>
    <col min="14863" max="14863" width="11.7109375" customWidth="1"/>
    <col min="14864" max="14864" width="11.5703125" customWidth="1"/>
    <col min="14865" max="14865" width="13.42578125" customWidth="1"/>
    <col min="14866" max="14866" width="13.5703125" customWidth="1"/>
    <col min="14867" max="14867" width="11.42578125" customWidth="1"/>
    <col min="14868" max="14868" width="12" customWidth="1"/>
    <col min="14869" max="14869" width="11.28515625" customWidth="1"/>
    <col min="14870" max="14870" width="12.5703125" customWidth="1"/>
    <col min="14871" max="14871" width="12.42578125" customWidth="1"/>
    <col min="14872" max="14872" width="14.140625" customWidth="1"/>
    <col min="15105" max="15106" width="5.85546875" customWidth="1"/>
    <col min="15107" max="15107" width="38.5703125" customWidth="1"/>
    <col min="15108" max="15108" width="6.28515625" customWidth="1"/>
    <col min="15109" max="15109" width="7.28515625" customWidth="1"/>
    <col min="15110" max="15111" width="5.5703125" customWidth="1"/>
    <col min="15112" max="15112" width="14.5703125" customWidth="1"/>
    <col min="15113" max="15113" width="14.7109375" customWidth="1"/>
    <col min="15114" max="15114" width="13.28515625" customWidth="1"/>
    <col min="15115" max="15115" width="10.85546875" customWidth="1"/>
    <col min="15116" max="15116" width="11.7109375" customWidth="1"/>
    <col min="15117" max="15117" width="11.85546875" customWidth="1"/>
    <col min="15118" max="15118" width="10.85546875" customWidth="1"/>
    <col min="15119" max="15119" width="11.7109375" customWidth="1"/>
    <col min="15120" max="15120" width="11.5703125" customWidth="1"/>
    <col min="15121" max="15121" width="13.42578125" customWidth="1"/>
    <col min="15122" max="15122" width="13.5703125" customWidth="1"/>
    <col min="15123" max="15123" width="11.42578125" customWidth="1"/>
    <col min="15124" max="15124" width="12" customWidth="1"/>
    <col min="15125" max="15125" width="11.28515625" customWidth="1"/>
    <col min="15126" max="15126" width="12.5703125" customWidth="1"/>
    <col min="15127" max="15127" width="12.42578125" customWidth="1"/>
    <col min="15128" max="15128" width="14.140625" customWidth="1"/>
    <col min="15361" max="15362" width="5.85546875" customWidth="1"/>
    <col min="15363" max="15363" width="38.5703125" customWidth="1"/>
    <col min="15364" max="15364" width="6.28515625" customWidth="1"/>
    <col min="15365" max="15365" width="7.28515625" customWidth="1"/>
    <col min="15366" max="15367" width="5.5703125" customWidth="1"/>
    <col min="15368" max="15368" width="14.5703125" customWidth="1"/>
    <col min="15369" max="15369" width="14.7109375" customWidth="1"/>
    <col min="15370" max="15370" width="13.28515625" customWidth="1"/>
    <col min="15371" max="15371" width="10.85546875" customWidth="1"/>
    <col min="15372" max="15372" width="11.7109375" customWidth="1"/>
    <col min="15373" max="15373" width="11.85546875" customWidth="1"/>
    <col min="15374" max="15374" width="10.85546875" customWidth="1"/>
    <col min="15375" max="15375" width="11.7109375" customWidth="1"/>
    <col min="15376" max="15376" width="11.5703125" customWidth="1"/>
    <col min="15377" max="15377" width="13.42578125" customWidth="1"/>
    <col min="15378" max="15378" width="13.5703125" customWidth="1"/>
    <col min="15379" max="15379" width="11.42578125" customWidth="1"/>
    <col min="15380" max="15380" width="12" customWidth="1"/>
    <col min="15381" max="15381" width="11.28515625" customWidth="1"/>
    <col min="15382" max="15382" width="12.5703125" customWidth="1"/>
    <col min="15383" max="15383" width="12.42578125" customWidth="1"/>
    <col min="15384" max="15384" width="14.140625" customWidth="1"/>
    <col min="15617" max="15618" width="5.85546875" customWidth="1"/>
    <col min="15619" max="15619" width="38.5703125" customWidth="1"/>
    <col min="15620" max="15620" width="6.28515625" customWidth="1"/>
    <col min="15621" max="15621" width="7.28515625" customWidth="1"/>
    <col min="15622" max="15623" width="5.5703125" customWidth="1"/>
    <col min="15624" max="15624" width="14.5703125" customWidth="1"/>
    <col min="15625" max="15625" width="14.7109375" customWidth="1"/>
    <col min="15626" max="15626" width="13.28515625" customWidth="1"/>
    <col min="15627" max="15627" width="10.85546875" customWidth="1"/>
    <col min="15628" max="15628" width="11.7109375" customWidth="1"/>
    <col min="15629" max="15629" width="11.85546875" customWidth="1"/>
    <col min="15630" max="15630" width="10.85546875" customWidth="1"/>
    <col min="15631" max="15631" width="11.7109375" customWidth="1"/>
    <col min="15632" max="15632" width="11.5703125" customWidth="1"/>
    <col min="15633" max="15633" width="13.42578125" customWidth="1"/>
    <col min="15634" max="15634" width="13.5703125" customWidth="1"/>
    <col min="15635" max="15635" width="11.42578125" customWidth="1"/>
    <col min="15636" max="15636" width="12" customWidth="1"/>
    <col min="15637" max="15637" width="11.28515625" customWidth="1"/>
    <col min="15638" max="15638" width="12.5703125" customWidth="1"/>
    <col min="15639" max="15639" width="12.42578125" customWidth="1"/>
    <col min="15640" max="15640" width="14.140625" customWidth="1"/>
    <col min="15873" max="15874" width="5.85546875" customWidth="1"/>
    <col min="15875" max="15875" width="38.5703125" customWidth="1"/>
    <col min="15876" max="15876" width="6.28515625" customWidth="1"/>
    <col min="15877" max="15877" width="7.28515625" customWidth="1"/>
    <col min="15878" max="15879" width="5.5703125" customWidth="1"/>
    <col min="15880" max="15880" width="14.5703125" customWidth="1"/>
    <col min="15881" max="15881" width="14.7109375" customWidth="1"/>
    <col min="15882" max="15882" width="13.28515625" customWidth="1"/>
    <col min="15883" max="15883" width="10.85546875" customWidth="1"/>
    <col min="15884" max="15884" width="11.7109375" customWidth="1"/>
    <col min="15885" max="15885" width="11.85546875" customWidth="1"/>
    <col min="15886" max="15886" width="10.85546875" customWidth="1"/>
    <col min="15887" max="15887" width="11.7109375" customWidth="1"/>
    <col min="15888" max="15888" width="11.5703125" customWidth="1"/>
    <col min="15889" max="15889" width="13.42578125" customWidth="1"/>
    <col min="15890" max="15890" width="13.5703125" customWidth="1"/>
    <col min="15891" max="15891" width="11.42578125" customWidth="1"/>
    <col min="15892" max="15892" width="12" customWidth="1"/>
    <col min="15893" max="15893" width="11.28515625" customWidth="1"/>
    <col min="15894" max="15894" width="12.5703125" customWidth="1"/>
    <col min="15895" max="15895" width="12.42578125" customWidth="1"/>
    <col min="15896" max="15896" width="14.140625" customWidth="1"/>
    <col min="16129" max="16130" width="5.85546875" customWidth="1"/>
    <col min="16131" max="16131" width="38.5703125" customWidth="1"/>
    <col min="16132" max="16132" width="6.28515625" customWidth="1"/>
    <col min="16133" max="16133" width="7.28515625" customWidth="1"/>
    <col min="16134" max="16135" width="5.5703125" customWidth="1"/>
    <col min="16136" max="16136" width="14.5703125" customWidth="1"/>
    <col min="16137" max="16137" width="14.7109375" customWidth="1"/>
    <col min="16138" max="16138" width="13.28515625" customWidth="1"/>
    <col min="16139" max="16139" width="10.85546875" customWidth="1"/>
    <col min="16140" max="16140" width="11.7109375" customWidth="1"/>
    <col min="16141" max="16141" width="11.85546875" customWidth="1"/>
    <col min="16142" max="16142" width="10.85546875" customWidth="1"/>
    <col min="16143" max="16143" width="11.7109375" customWidth="1"/>
    <col min="16144" max="16144" width="11.5703125" customWidth="1"/>
    <col min="16145" max="16145" width="13.42578125" customWidth="1"/>
    <col min="16146" max="16146" width="13.5703125" customWidth="1"/>
    <col min="16147" max="16147" width="11.42578125" customWidth="1"/>
    <col min="16148" max="16148" width="12" customWidth="1"/>
    <col min="16149" max="16149" width="11.28515625" customWidth="1"/>
    <col min="16150" max="16150" width="12.5703125" customWidth="1"/>
    <col min="16151" max="16151" width="12.42578125" customWidth="1"/>
    <col min="16152" max="16152" width="14.140625" customWidth="1"/>
  </cols>
  <sheetData>
    <row r="1" spans="1:24" ht="27.75"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2010"/>
      <c r="U1" s="2010"/>
      <c r="V1" s="2010"/>
      <c r="W1" s="2010"/>
      <c r="X1" s="2010"/>
    </row>
    <row r="2" spans="1:24" ht="15" x14ac:dyDescent="0.25">
      <c r="A2" s="1069"/>
      <c r="B2" s="1069"/>
      <c r="C2" s="1070"/>
      <c r="D2" s="1071"/>
      <c r="E2" s="1071"/>
      <c r="F2" s="1071"/>
      <c r="G2" s="1071"/>
      <c r="H2" s="1071"/>
      <c r="I2" s="1071"/>
      <c r="J2" s="1071"/>
      <c r="K2" s="1071"/>
      <c r="L2" s="1071"/>
      <c r="M2" s="1071"/>
      <c r="N2" s="1071"/>
      <c r="O2" s="1071"/>
      <c r="P2" s="1071"/>
      <c r="Q2" s="1071"/>
      <c r="R2" s="1071"/>
      <c r="S2" s="1071"/>
      <c r="T2" s="1071"/>
      <c r="U2" s="1071"/>
      <c r="V2" s="1071"/>
      <c r="W2" s="1071"/>
      <c r="X2" s="1071"/>
    </row>
    <row r="3" spans="1:24" ht="15" x14ac:dyDescent="0.25">
      <c r="A3" s="2118" t="s">
        <v>1723</v>
      </c>
      <c r="B3" s="2118"/>
      <c r="C3" s="2118"/>
      <c r="D3" s="2118"/>
      <c r="E3" s="2118"/>
      <c r="F3" s="2118"/>
      <c r="G3" s="2118"/>
      <c r="H3" s="2118"/>
      <c r="I3" s="2118"/>
      <c r="J3" s="2118"/>
      <c r="K3" s="2118"/>
      <c r="L3" s="2118"/>
      <c r="M3" s="2118"/>
      <c r="N3" s="2118"/>
      <c r="O3" s="2118"/>
      <c r="P3" s="2118"/>
      <c r="Q3" s="2118"/>
      <c r="R3" s="2118"/>
      <c r="S3" s="2118"/>
      <c r="T3" s="2118"/>
      <c r="U3" s="2118"/>
      <c r="V3" s="2118"/>
      <c r="W3" s="2118"/>
      <c r="X3" s="2118"/>
    </row>
    <row r="4" spans="1:24" ht="15" x14ac:dyDescent="0.25">
      <c r="A4" s="964"/>
      <c r="B4" s="964"/>
      <c r="C4" s="965"/>
      <c r="D4" s="937"/>
      <c r="E4" s="937"/>
      <c r="F4" s="937"/>
      <c r="G4" s="937"/>
      <c r="H4" s="937"/>
      <c r="I4" s="937"/>
      <c r="J4" s="937"/>
      <c r="K4" s="937"/>
      <c r="L4" s="937"/>
      <c r="M4" s="937"/>
      <c r="N4" s="937"/>
      <c r="O4" s="937"/>
      <c r="P4" s="937"/>
      <c r="Q4" s="1072"/>
      <c r="R4" s="937"/>
      <c r="S4" s="937"/>
      <c r="T4" s="937"/>
      <c r="U4" s="937"/>
      <c r="V4" s="937"/>
      <c r="W4" s="937"/>
      <c r="X4" s="937"/>
    </row>
    <row r="5" spans="1:24" ht="15" x14ac:dyDescent="0.25">
      <c r="A5" s="2005" t="s">
        <v>37</v>
      </c>
      <c r="B5" s="1773" t="s">
        <v>1640</v>
      </c>
      <c r="C5" s="2008" t="s">
        <v>2</v>
      </c>
      <c r="D5" s="1997" t="s">
        <v>1641</v>
      </c>
      <c r="E5" s="1997" t="s">
        <v>116</v>
      </c>
      <c r="F5" s="1997" t="s">
        <v>1642</v>
      </c>
      <c r="G5" s="1997" t="s">
        <v>1643</v>
      </c>
      <c r="H5" s="1999" t="s">
        <v>1644</v>
      </c>
      <c r="I5" s="1999"/>
      <c r="J5" s="1999"/>
      <c r="K5" s="1999"/>
      <c r="L5" s="1999"/>
      <c r="M5" s="1999"/>
      <c r="N5" s="1999"/>
      <c r="O5" s="2000"/>
      <c r="P5" s="940"/>
      <c r="Q5" s="2027" t="s">
        <v>1645</v>
      </c>
      <c r="R5" s="1999"/>
      <c r="S5" s="1999"/>
      <c r="T5" s="1999"/>
      <c r="U5" s="1999"/>
      <c r="V5" s="1999"/>
      <c r="W5" s="1999"/>
      <c r="X5" s="2012"/>
    </row>
    <row r="6" spans="1:24" ht="85.5" customHeight="1" x14ac:dyDescent="0.2">
      <c r="A6" s="2006"/>
      <c r="B6" s="1774"/>
      <c r="C6" s="2009"/>
      <c r="D6" s="1998"/>
      <c r="E6" s="1998"/>
      <c r="F6" s="1998"/>
      <c r="G6" s="1998"/>
      <c r="H6" s="941" t="s">
        <v>1667</v>
      </c>
      <c r="I6" s="942" t="s">
        <v>1647</v>
      </c>
      <c r="J6" s="941" t="s">
        <v>1718</v>
      </c>
      <c r="K6" s="941" t="s">
        <v>1649</v>
      </c>
      <c r="L6" s="941" t="s">
        <v>1650</v>
      </c>
      <c r="M6" s="941" t="s">
        <v>1651</v>
      </c>
      <c r="N6" s="941" t="s">
        <v>1652</v>
      </c>
      <c r="O6" s="942" t="s">
        <v>1653</v>
      </c>
      <c r="P6" s="944" t="s">
        <v>1654</v>
      </c>
      <c r="Q6" s="943" t="s">
        <v>1655</v>
      </c>
      <c r="R6" s="942" t="s">
        <v>1656</v>
      </c>
      <c r="S6" s="941" t="s">
        <v>1657</v>
      </c>
      <c r="T6" s="941" t="s">
        <v>1658</v>
      </c>
      <c r="U6" s="942" t="s">
        <v>1659</v>
      </c>
      <c r="V6" s="942" t="s">
        <v>1660</v>
      </c>
      <c r="W6" s="942" t="s">
        <v>1661</v>
      </c>
      <c r="X6" s="944" t="s">
        <v>1662</v>
      </c>
    </row>
    <row r="7" spans="1:24" s="1089" customFormat="1" ht="17.25" customHeight="1" x14ac:dyDescent="0.2">
      <c r="A7" s="2005" t="s">
        <v>194</v>
      </c>
      <c r="B7" s="2008" t="s">
        <v>201</v>
      </c>
      <c r="C7" s="2025" t="s">
        <v>1751</v>
      </c>
      <c r="D7" s="974" t="s">
        <v>1822</v>
      </c>
      <c r="E7" s="1011" t="s">
        <v>575</v>
      </c>
      <c r="F7" s="1011" t="s">
        <v>151</v>
      </c>
      <c r="G7" s="1340" t="s">
        <v>1752</v>
      </c>
      <c r="H7" s="1073"/>
      <c r="I7" s="1073"/>
      <c r="J7" s="1073"/>
      <c r="K7" s="1073"/>
      <c r="L7" s="1073"/>
      <c r="M7" s="1073"/>
      <c r="N7" s="1073"/>
      <c r="O7" s="1073"/>
      <c r="P7" s="1075"/>
      <c r="Q7" s="1344"/>
      <c r="R7" s="1073"/>
      <c r="S7" s="1073"/>
      <c r="T7" s="1073">
        <f>-142161-2339</f>
        <v>-144500</v>
      </c>
      <c r="U7" s="1073"/>
      <c r="V7" s="1073"/>
      <c r="W7" s="1073"/>
      <c r="X7" s="1075"/>
    </row>
    <row r="8" spans="1:24" ht="17.25" customHeight="1" x14ac:dyDescent="0.2">
      <c r="A8" s="2024"/>
      <c r="B8" s="2023"/>
      <c r="C8" s="2026"/>
      <c r="D8" s="978" t="s">
        <v>1822</v>
      </c>
      <c r="E8" s="1000" t="s">
        <v>575</v>
      </c>
      <c r="F8" s="1000" t="s">
        <v>131</v>
      </c>
      <c r="G8" s="1000" t="s">
        <v>1754</v>
      </c>
      <c r="H8" s="1077"/>
      <c r="I8" s="1077"/>
      <c r="J8" s="1077">
        <f>142161+2339</f>
        <v>144500</v>
      </c>
      <c r="K8" s="1077"/>
      <c r="L8" s="1077"/>
      <c r="M8" s="1077"/>
      <c r="N8" s="1077"/>
      <c r="O8" s="1077"/>
      <c r="P8" s="1079"/>
      <c r="Q8" s="1345"/>
      <c r="R8" s="1077"/>
      <c r="S8" s="1077"/>
      <c r="T8" s="1077">
        <f>142161+2339</f>
        <v>144500</v>
      </c>
      <c r="U8" s="1077"/>
      <c r="V8" s="1077"/>
      <c r="W8" s="1077"/>
      <c r="X8" s="1079"/>
    </row>
    <row r="9" spans="1:24" ht="17.25" customHeight="1" x14ac:dyDescent="0.2">
      <c r="A9" s="2024"/>
      <c r="B9" s="2023"/>
      <c r="C9" s="2026"/>
      <c r="D9" s="978" t="s">
        <v>1822</v>
      </c>
      <c r="E9" s="1000" t="s">
        <v>1297</v>
      </c>
      <c r="F9" s="1000" t="s">
        <v>127</v>
      </c>
      <c r="G9" s="1088" t="s">
        <v>1752</v>
      </c>
      <c r="H9" s="1077"/>
      <c r="I9" s="1077"/>
      <c r="J9" s="1077">
        <v>-144500</v>
      </c>
      <c r="K9" s="1077"/>
      <c r="L9" s="1077"/>
      <c r="M9" s="1077"/>
      <c r="N9" s="1077"/>
      <c r="O9" s="1077"/>
      <c r="P9" s="1079"/>
      <c r="Q9" s="1345"/>
      <c r="R9" s="1077"/>
      <c r="S9" s="1077"/>
      <c r="T9" s="1077"/>
      <c r="U9" s="1077"/>
      <c r="V9" s="1077"/>
      <c r="W9" s="1077"/>
      <c r="X9" s="1079"/>
    </row>
    <row r="10" spans="1:24" ht="28.5" customHeight="1" x14ac:dyDescent="0.2">
      <c r="A10" s="1423" t="s">
        <v>195</v>
      </c>
      <c r="B10" s="1422" t="s">
        <v>202</v>
      </c>
      <c r="C10" s="952" t="s">
        <v>1767</v>
      </c>
      <c r="D10" s="978" t="s">
        <v>1822</v>
      </c>
      <c r="E10" s="1000" t="s">
        <v>575</v>
      </c>
      <c r="F10" s="1000" t="s">
        <v>90</v>
      </c>
      <c r="G10" s="1000" t="s">
        <v>1766</v>
      </c>
      <c r="H10" s="1077">
        <f>-275000+275000</f>
        <v>0</v>
      </c>
      <c r="I10" s="1077"/>
      <c r="J10" s="1077"/>
      <c r="K10" s="1077"/>
      <c r="L10" s="1077"/>
      <c r="M10" s="1077"/>
      <c r="N10" s="1077"/>
      <c r="O10" s="1077"/>
      <c r="P10" s="1079"/>
      <c r="Q10" s="1345"/>
      <c r="R10" s="1077"/>
      <c r="S10" s="1077"/>
      <c r="T10" s="1077"/>
      <c r="U10" s="1077"/>
      <c r="V10" s="1077"/>
      <c r="W10" s="1077"/>
      <c r="X10" s="1079"/>
    </row>
    <row r="11" spans="1:24" ht="28.5" customHeight="1" x14ac:dyDescent="0.2">
      <c r="A11" s="1423" t="s">
        <v>196</v>
      </c>
      <c r="B11" s="1422" t="s">
        <v>203</v>
      </c>
      <c r="C11" s="952" t="s">
        <v>1824</v>
      </c>
      <c r="D11" s="978" t="s">
        <v>1822</v>
      </c>
      <c r="E11" s="1000" t="s">
        <v>575</v>
      </c>
      <c r="F11" s="1000" t="s">
        <v>131</v>
      </c>
      <c r="G11" s="1000" t="s">
        <v>1766</v>
      </c>
      <c r="H11" s="1077"/>
      <c r="I11" s="1077"/>
      <c r="J11" s="1077">
        <f>-30000+30000</f>
        <v>0</v>
      </c>
      <c r="K11" s="1077"/>
      <c r="L11" s="1077"/>
      <c r="M11" s="1077"/>
      <c r="N11" s="1077"/>
      <c r="O11" s="1077"/>
      <c r="P11" s="1079"/>
      <c r="Q11" s="1345"/>
      <c r="R11" s="1077"/>
      <c r="S11" s="1077"/>
      <c r="T11" s="1077"/>
      <c r="U11" s="1077"/>
      <c r="V11" s="1077"/>
      <c r="W11" s="1077"/>
      <c r="X11" s="1079"/>
    </row>
    <row r="12" spans="1:24" ht="28.5" customHeight="1" x14ac:dyDescent="0.2">
      <c r="A12" s="1423" t="s">
        <v>197</v>
      </c>
      <c r="B12" s="1422" t="s">
        <v>204</v>
      </c>
      <c r="C12" s="952" t="s">
        <v>1850</v>
      </c>
      <c r="D12" s="978" t="s">
        <v>1822</v>
      </c>
      <c r="E12" s="1000" t="s">
        <v>575</v>
      </c>
      <c r="F12" s="1000" t="s">
        <v>90</v>
      </c>
      <c r="G12" s="1000" t="s">
        <v>1766</v>
      </c>
      <c r="H12" s="1077">
        <f>-250000+250000</f>
        <v>0</v>
      </c>
      <c r="I12" s="1077"/>
      <c r="J12" s="1077"/>
      <c r="K12" s="1077"/>
      <c r="L12" s="1077"/>
      <c r="M12" s="1077"/>
      <c r="N12" s="1077"/>
      <c r="O12" s="1077"/>
      <c r="P12" s="1079"/>
      <c r="Q12" s="1345"/>
      <c r="R12" s="1077"/>
      <c r="S12" s="1077"/>
      <c r="T12" s="1077"/>
      <c r="U12" s="1077"/>
      <c r="V12" s="1077"/>
      <c r="W12" s="1077"/>
      <c r="X12" s="1079"/>
    </row>
    <row r="13" spans="1:24" ht="20.25" customHeight="1" x14ac:dyDescent="0.2">
      <c r="A13" s="2024" t="s">
        <v>198</v>
      </c>
      <c r="B13" s="2023" t="s">
        <v>231</v>
      </c>
      <c r="C13" s="2028" t="s">
        <v>1854</v>
      </c>
      <c r="D13" s="978" t="s">
        <v>1822</v>
      </c>
      <c r="E13" s="1000" t="s">
        <v>1297</v>
      </c>
      <c r="F13" s="1000" t="s">
        <v>127</v>
      </c>
      <c r="G13" s="1000" t="s">
        <v>1754</v>
      </c>
      <c r="H13" s="1077"/>
      <c r="I13" s="1077"/>
      <c r="J13" s="1077"/>
      <c r="K13" s="1077"/>
      <c r="L13" s="1077"/>
      <c r="M13" s="1077"/>
      <c r="N13" s="1077"/>
      <c r="O13" s="1077"/>
      <c r="P13" s="1079"/>
      <c r="Q13" s="1345"/>
      <c r="R13" s="1077"/>
      <c r="S13" s="1077"/>
      <c r="T13" s="1077"/>
      <c r="U13" s="1077"/>
      <c r="V13" s="1077"/>
      <c r="W13" s="1077"/>
      <c r="X13" s="1079">
        <v>8841120</v>
      </c>
    </row>
    <row r="14" spans="1:24" ht="20.25" customHeight="1" x14ac:dyDescent="0.2">
      <c r="A14" s="2024"/>
      <c r="B14" s="2023"/>
      <c r="C14" s="2028"/>
      <c r="D14" s="978" t="s">
        <v>1822</v>
      </c>
      <c r="E14" s="1000" t="s">
        <v>575</v>
      </c>
      <c r="F14" s="1000" t="s">
        <v>131</v>
      </c>
      <c r="G14" s="1000" t="s">
        <v>1754</v>
      </c>
      <c r="H14" s="1077">
        <v>7824000</v>
      </c>
      <c r="I14" s="1077">
        <v>1017120</v>
      </c>
      <c r="J14" s="1077"/>
      <c r="K14" s="1077"/>
      <c r="L14" s="1077"/>
      <c r="M14" s="1077"/>
      <c r="N14" s="1077"/>
      <c r="O14" s="1077"/>
      <c r="P14" s="1079"/>
      <c r="Q14" s="1345"/>
      <c r="R14" s="1077"/>
      <c r="S14" s="1077"/>
      <c r="T14" s="1077"/>
      <c r="U14" s="1077"/>
      <c r="V14" s="1077"/>
      <c r="W14" s="1077"/>
      <c r="X14" s="1079"/>
    </row>
    <row r="15" spans="1:24" ht="28.5" customHeight="1" x14ac:dyDescent="0.2">
      <c r="A15" s="1423" t="s">
        <v>199</v>
      </c>
      <c r="B15" s="1422" t="s">
        <v>232</v>
      </c>
      <c r="C15" s="952" t="s">
        <v>1928</v>
      </c>
      <c r="D15" s="978" t="s">
        <v>1822</v>
      </c>
      <c r="E15" s="1000" t="s">
        <v>575</v>
      </c>
      <c r="F15" s="1000" t="s">
        <v>90</v>
      </c>
      <c r="G15" s="1000" t="s">
        <v>1766</v>
      </c>
      <c r="H15" s="1077">
        <f>-684786+400000+250000</f>
        <v>-34786</v>
      </c>
      <c r="I15" s="1077"/>
      <c r="J15" s="1077">
        <v>34786</v>
      </c>
      <c r="K15" s="1077"/>
      <c r="L15" s="1077"/>
      <c r="M15" s="1077"/>
      <c r="N15" s="1077"/>
      <c r="O15" s="1077"/>
      <c r="P15" s="1079"/>
      <c r="Q15" s="1345"/>
      <c r="R15" s="1077"/>
      <c r="S15" s="1077"/>
      <c r="T15" s="1077"/>
      <c r="U15" s="1077"/>
      <c r="V15" s="1077"/>
      <c r="W15" s="1077"/>
      <c r="X15" s="1079"/>
    </row>
    <row r="16" spans="1:24" ht="21" customHeight="1" x14ac:dyDescent="0.2">
      <c r="A16" s="2024" t="s">
        <v>200</v>
      </c>
      <c r="B16" s="2023" t="s">
        <v>233</v>
      </c>
      <c r="C16" s="2026" t="s">
        <v>1933</v>
      </c>
      <c r="D16" s="978" t="s">
        <v>1822</v>
      </c>
      <c r="E16" s="1000" t="s">
        <v>1297</v>
      </c>
      <c r="F16" s="1000" t="s">
        <v>127</v>
      </c>
      <c r="G16" s="1000" t="s">
        <v>1754</v>
      </c>
      <c r="H16" s="1077"/>
      <c r="I16" s="1077"/>
      <c r="J16" s="1077"/>
      <c r="K16" s="1077"/>
      <c r="L16" s="1077"/>
      <c r="M16" s="1077"/>
      <c r="N16" s="1077"/>
      <c r="O16" s="1077"/>
      <c r="P16" s="1079"/>
      <c r="Q16" s="1345"/>
      <c r="R16" s="1077"/>
      <c r="S16" s="1077"/>
      <c r="T16" s="1077"/>
      <c r="U16" s="1077"/>
      <c r="V16" s="1077"/>
      <c r="W16" s="1077"/>
      <c r="X16" s="1079">
        <v>469900</v>
      </c>
    </row>
    <row r="17" spans="1:24" ht="21" customHeight="1" x14ac:dyDescent="0.2">
      <c r="A17" s="2024"/>
      <c r="B17" s="2023"/>
      <c r="C17" s="2026"/>
      <c r="D17" s="978" t="s">
        <v>1822</v>
      </c>
      <c r="E17" s="1000" t="s">
        <v>575</v>
      </c>
      <c r="F17" s="1000" t="s">
        <v>131</v>
      </c>
      <c r="G17" s="1000" t="s">
        <v>1754</v>
      </c>
      <c r="H17" s="1077"/>
      <c r="I17" s="1077"/>
      <c r="J17" s="1077">
        <f>370000+99900</f>
        <v>469900</v>
      </c>
      <c r="K17" s="1077"/>
      <c r="L17" s="1077"/>
      <c r="M17" s="1077"/>
      <c r="N17" s="1077"/>
      <c r="O17" s="1077"/>
      <c r="P17" s="1079"/>
      <c r="Q17" s="1345"/>
      <c r="R17" s="1077"/>
      <c r="S17" s="1077"/>
      <c r="T17" s="1077"/>
      <c r="U17" s="1077"/>
      <c r="V17" s="1077"/>
      <c r="W17" s="1077"/>
      <c r="X17" s="1079"/>
    </row>
    <row r="18" spans="1:24" ht="20.25" customHeight="1" x14ac:dyDescent="0.2">
      <c r="A18" s="2024" t="s">
        <v>201</v>
      </c>
      <c r="B18" s="2023" t="s">
        <v>234</v>
      </c>
      <c r="C18" s="2026" t="s">
        <v>1934</v>
      </c>
      <c r="D18" s="978" t="s">
        <v>1822</v>
      </c>
      <c r="E18" s="1000" t="s">
        <v>1297</v>
      </c>
      <c r="F18" s="1000" t="s">
        <v>127</v>
      </c>
      <c r="G18" s="1000" t="s">
        <v>1754</v>
      </c>
      <c r="H18" s="1077"/>
      <c r="I18" s="1077"/>
      <c r="J18" s="1077"/>
      <c r="K18" s="1077"/>
      <c r="L18" s="1077"/>
      <c r="M18" s="1077"/>
      <c r="N18" s="1077"/>
      <c r="O18" s="1077"/>
      <c r="P18" s="1079"/>
      <c r="Q18" s="1345"/>
      <c r="R18" s="1077"/>
      <c r="S18" s="1077"/>
      <c r="T18" s="1077"/>
      <c r="U18" s="1077"/>
      <c r="V18" s="1077"/>
      <c r="W18" s="1077"/>
      <c r="X18" s="1079">
        <v>767080</v>
      </c>
    </row>
    <row r="19" spans="1:24" ht="20.25" customHeight="1" x14ac:dyDescent="0.2">
      <c r="A19" s="2024"/>
      <c r="B19" s="2023"/>
      <c r="C19" s="2026"/>
      <c r="D19" s="978" t="s">
        <v>1822</v>
      </c>
      <c r="E19" s="1000" t="s">
        <v>575</v>
      </c>
      <c r="F19" s="1000" t="s">
        <v>131</v>
      </c>
      <c r="G19" s="1000" t="s">
        <v>1754</v>
      </c>
      <c r="H19" s="1077"/>
      <c r="I19" s="1077"/>
      <c r="J19" s="1077">
        <f>604000+163080</f>
        <v>767080</v>
      </c>
      <c r="K19" s="1077"/>
      <c r="L19" s="1077"/>
      <c r="M19" s="1077"/>
      <c r="N19" s="1077"/>
      <c r="O19" s="1077"/>
      <c r="P19" s="1079"/>
      <c r="Q19" s="1345"/>
      <c r="R19" s="1077"/>
      <c r="S19" s="1077"/>
      <c r="T19" s="1077"/>
      <c r="U19" s="1077"/>
      <c r="V19" s="1077"/>
      <c r="W19" s="1077"/>
      <c r="X19" s="1079"/>
    </row>
    <row r="20" spans="1:24" ht="43.5" customHeight="1" x14ac:dyDescent="0.2">
      <c r="A20" s="1423" t="s">
        <v>202</v>
      </c>
      <c r="B20" s="1422" t="s">
        <v>235</v>
      </c>
      <c r="C20" s="952" t="s">
        <v>2090</v>
      </c>
      <c r="D20" s="978" t="s">
        <v>1822</v>
      </c>
      <c r="E20" s="1000" t="s">
        <v>575</v>
      </c>
      <c r="F20" s="1000" t="s">
        <v>131</v>
      </c>
      <c r="G20" s="1000" t="s">
        <v>1766</v>
      </c>
      <c r="H20" s="1077"/>
      <c r="I20" s="1077"/>
      <c r="J20" s="1077">
        <f>-300000+300000</f>
        <v>0</v>
      </c>
      <c r="K20" s="1077"/>
      <c r="L20" s="1077"/>
      <c r="M20" s="1077"/>
      <c r="N20" s="1077"/>
      <c r="O20" s="1077"/>
      <c r="P20" s="1079"/>
      <c r="Q20" s="1345"/>
      <c r="R20" s="1077"/>
      <c r="S20" s="1077"/>
      <c r="T20" s="1077"/>
      <c r="U20" s="1077"/>
      <c r="V20" s="1077"/>
      <c r="W20" s="1077"/>
      <c r="X20" s="1079"/>
    </row>
    <row r="21" spans="1:24" ht="17.25" customHeight="1" x14ac:dyDescent="0.2">
      <c r="A21" s="1419"/>
      <c r="B21" s="1421"/>
      <c r="C21" s="1090"/>
      <c r="D21" s="983"/>
      <c r="E21" s="1083"/>
      <c r="F21" s="1083"/>
      <c r="G21" s="1084"/>
      <c r="H21" s="1341"/>
      <c r="I21" s="1341"/>
      <c r="J21" s="1342"/>
      <c r="K21" s="1341"/>
      <c r="L21" s="1341"/>
      <c r="M21" s="1341"/>
      <c r="N21" s="1341"/>
      <c r="O21" s="1341"/>
      <c r="P21" s="1343"/>
      <c r="Q21" s="1346"/>
      <c r="R21" s="1341"/>
      <c r="S21" s="1341"/>
      <c r="T21" s="1341"/>
      <c r="U21" s="1341"/>
      <c r="V21" s="1341"/>
      <c r="W21" s="1341"/>
      <c r="X21" s="1343"/>
    </row>
    <row r="22" spans="1:24" ht="18.75" x14ac:dyDescent="0.3">
      <c r="A22" s="2116" t="s">
        <v>1663</v>
      </c>
      <c r="B22" s="2117"/>
      <c r="C22" s="2117"/>
      <c r="D22" s="956"/>
      <c r="E22" s="956"/>
      <c r="F22" s="956"/>
      <c r="G22" s="956"/>
      <c r="H22" s="1595">
        <f t="shared" ref="H22:X22" si="0">SUM(H7:H21)</f>
        <v>7789214</v>
      </c>
      <c r="I22" s="1595">
        <f t="shared" si="0"/>
        <v>1017120</v>
      </c>
      <c r="J22" s="1595">
        <f t="shared" si="0"/>
        <v>1271766</v>
      </c>
      <c r="K22" s="1595">
        <f t="shared" si="0"/>
        <v>0</v>
      </c>
      <c r="L22" s="1595">
        <f t="shared" si="0"/>
        <v>0</v>
      </c>
      <c r="M22" s="1595">
        <f t="shared" si="0"/>
        <v>0</v>
      </c>
      <c r="N22" s="1595">
        <f t="shared" si="0"/>
        <v>0</v>
      </c>
      <c r="O22" s="1595">
        <f t="shared" si="0"/>
        <v>0</v>
      </c>
      <c r="P22" s="1596">
        <f t="shared" si="0"/>
        <v>0</v>
      </c>
      <c r="Q22" s="1597">
        <f t="shared" si="0"/>
        <v>0</v>
      </c>
      <c r="R22" s="1595">
        <f t="shared" si="0"/>
        <v>0</v>
      </c>
      <c r="S22" s="1595">
        <f t="shared" si="0"/>
        <v>0</v>
      </c>
      <c r="T22" s="1595">
        <f t="shared" si="0"/>
        <v>0</v>
      </c>
      <c r="U22" s="1595">
        <f t="shared" si="0"/>
        <v>0</v>
      </c>
      <c r="V22" s="1595">
        <f t="shared" si="0"/>
        <v>0</v>
      </c>
      <c r="W22" s="1595">
        <f t="shared" si="0"/>
        <v>0</v>
      </c>
      <c r="X22" s="1596">
        <f t="shared" si="0"/>
        <v>10078100</v>
      </c>
    </row>
    <row r="23" spans="1:24" x14ac:dyDescent="0.2">
      <c r="A23" s="991"/>
      <c r="B23" s="991"/>
      <c r="C23" s="991"/>
      <c r="D23" s="1061"/>
      <c r="E23" s="1062"/>
      <c r="F23" s="1062"/>
      <c r="G23" s="1063"/>
      <c r="H23" s="1064"/>
      <c r="I23" s="1064"/>
      <c r="J23" s="1064"/>
      <c r="K23" s="1064"/>
      <c r="L23" s="1064"/>
      <c r="M23" s="1064"/>
      <c r="N23" s="1064"/>
      <c r="O23" s="1064"/>
      <c r="P23" s="1064"/>
      <c r="Q23" s="1064"/>
      <c r="R23" s="1064"/>
      <c r="S23" s="1064"/>
      <c r="T23" s="1064"/>
      <c r="U23" s="1064"/>
      <c r="V23" s="1064"/>
      <c r="W23" s="1064"/>
      <c r="X23" s="1064"/>
    </row>
    <row r="24" spans="1:24" x14ac:dyDescent="0.2">
      <c r="A24" s="991"/>
      <c r="B24" s="991"/>
      <c r="C24" s="991"/>
      <c r="D24" s="1061"/>
      <c r="E24" s="1062"/>
      <c r="F24" s="1062"/>
      <c r="G24" s="1063"/>
      <c r="H24" s="1064"/>
      <c r="I24" s="1064"/>
      <c r="J24" s="1064"/>
      <c r="K24" s="1064"/>
      <c r="L24" s="1064"/>
      <c r="M24" s="1064"/>
      <c r="N24" s="1064"/>
      <c r="O24" s="1064"/>
      <c r="P24" s="1064"/>
      <c r="Q24" s="1064"/>
      <c r="R24" s="1064"/>
      <c r="S24" s="1064"/>
      <c r="T24" s="1064"/>
      <c r="U24" s="1064"/>
      <c r="V24" s="1064"/>
      <c r="W24" s="1064"/>
      <c r="X24" s="1064"/>
    </row>
    <row r="25" spans="1:24" ht="15" x14ac:dyDescent="0.25">
      <c r="A25" s="968"/>
      <c r="B25" s="968"/>
      <c r="C25" s="968"/>
      <c r="D25" s="968"/>
      <c r="E25" s="968"/>
      <c r="F25" s="968"/>
      <c r="G25" s="968"/>
      <c r="H25" s="968"/>
      <c r="I25" s="968"/>
      <c r="J25" s="968"/>
      <c r="K25" s="968"/>
      <c r="L25" s="968"/>
      <c r="M25" s="968"/>
      <c r="N25" s="968"/>
      <c r="O25" s="968"/>
      <c r="P25" s="968"/>
      <c r="Q25" s="968"/>
      <c r="R25" s="968"/>
      <c r="S25" s="968"/>
      <c r="T25" s="968"/>
      <c r="U25" s="968"/>
      <c r="V25" s="968"/>
      <c r="W25" s="968"/>
      <c r="X25" s="968"/>
    </row>
    <row r="26" spans="1:24" ht="19.5" customHeight="1" x14ac:dyDescent="0.25">
      <c r="A26" s="968"/>
      <c r="B26" s="968"/>
      <c r="C26" s="968"/>
      <c r="D26" s="968"/>
      <c r="E26" s="968"/>
      <c r="F26" s="968"/>
      <c r="G26" s="968"/>
      <c r="H26" s="995"/>
      <c r="I26" s="2042" t="s">
        <v>1664</v>
      </c>
      <c r="J26" s="2042"/>
      <c r="K26" s="2042"/>
      <c r="L26" s="2042">
        <v>147636479</v>
      </c>
      <c r="M26" s="2042"/>
      <c r="N26" s="996"/>
      <c r="O26" s="996"/>
      <c r="P26" s="996"/>
      <c r="Q26" s="996"/>
      <c r="R26" s="2042" t="s">
        <v>1665</v>
      </c>
      <c r="S26" s="2042"/>
      <c r="T26" s="2042"/>
      <c r="U26" s="2042">
        <v>147636479</v>
      </c>
      <c r="V26" s="2042"/>
      <c r="W26" s="995"/>
      <c r="X26" s="995"/>
    </row>
    <row r="27" spans="1:24" ht="19.5" customHeight="1" x14ac:dyDescent="0.25">
      <c r="A27" s="968"/>
      <c r="B27" s="968"/>
      <c r="C27" s="968"/>
      <c r="D27" s="968"/>
      <c r="E27" s="968"/>
      <c r="F27" s="968"/>
      <c r="G27" s="968"/>
      <c r="H27" s="995"/>
      <c r="I27" s="2042" t="s">
        <v>1666</v>
      </c>
      <c r="J27" s="2042"/>
      <c r="K27" s="2042"/>
      <c r="L27" s="2042">
        <f>SUM(H22:P22)</f>
        <v>10078100</v>
      </c>
      <c r="M27" s="2042"/>
      <c r="N27" s="996"/>
      <c r="O27" s="996"/>
      <c r="P27" s="996"/>
      <c r="Q27" s="996"/>
      <c r="R27" s="2042" t="s">
        <v>1666</v>
      </c>
      <c r="S27" s="2042"/>
      <c r="T27" s="2042"/>
      <c r="U27" s="2042">
        <f>SUM(Q22:X22)</f>
        <v>10078100</v>
      </c>
      <c r="V27" s="2042"/>
      <c r="W27" s="995"/>
      <c r="X27" s="995"/>
    </row>
    <row r="28" spans="1:24" ht="19.5" customHeight="1" x14ac:dyDescent="0.25">
      <c r="A28" s="968"/>
      <c r="B28" s="968"/>
      <c r="C28" s="968"/>
      <c r="D28" s="968"/>
      <c r="E28" s="968"/>
      <c r="F28" s="968"/>
      <c r="G28" s="968"/>
      <c r="H28" s="995"/>
      <c r="I28" s="2042" t="s">
        <v>1512</v>
      </c>
      <c r="J28" s="2042"/>
      <c r="K28" s="2042"/>
      <c r="L28" s="2042">
        <f>+L26+L27</f>
        <v>157714579</v>
      </c>
      <c r="M28" s="2042"/>
      <c r="N28" s="996"/>
      <c r="O28" s="996"/>
      <c r="P28" s="996"/>
      <c r="Q28" s="996"/>
      <c r="R28" s="2042" t="s">
        <v>1512</v>
      </c>
      <c r="S28" s="2042"/>
      <c r="T28" s="2042"/>
      <c r="U28" s="2042">
        <f>+U26+U27</f>
        <v>157714579</v>
      </c>
      <c r="V28" s="2042"/>
      <c r="W28" s="995"/>
      <c r="X28" s="995"/>
    </row>
    <row r="29" spans="1:24" x14ac:dyDescent="0.2">
      <c r="A29" s="314"/>
      <c r="B29" s="314"/>
      <c r="C29" s="314"/>
      <c r="D29" s="314"/>
      <c r="E29" s="314"/>
      <c r="F29" s="314"/>
      <c r="G29" s="314"/>
      <c r="H29" s="314"/>
      <c r="I29" s="314"/>
      <c r="J29" s="314"/>
      <c r="K29" s="314"/>
      <c r="L29" s="314"/>
      <c r="M29" s="314"/>
      <c r="N29" s="314"/>
      <c r="O29" s="314"/>
      <c r="P29" s="314"/>
      <c r="Q29" s="314"/>
      <c r="R29" s="314"/>
      <c r="S29" s="314"/>
      <c r="T29" s="314"/>
      <c r="U29" s="314"/>
      <c r="V29" s="314"/>
      <c r="W29" s="314"/>
      <c r="X29" s="314"/>
    </row>
    <row r="30" spans="1:24" x14ac:dyDescent="0.2">
      <c r="A30" s="314"/>
      <c r="B30" s="314"/>
      <c r="C30" s="314"/>
      <c r="D30" s="314"/>
      <c r="E30" s="314"/>
      <c r="F30" s="314"/>
      <c r="G30" s="314"/>
      <c r="H30" s="314"/>
      <c r="I30" s="314"/>
      <c r="J30" s="314"/>
      <c r="K30" s="314"/>
      <c r="L30" s="314"/>
      <c r="M30" s="314"/>
      <c r="N30" s="314"/>
      <c r="O30" s="314"/>
      <c r="P30" s="314"/>
      <c r="Q30" s="314"/>
      <c r="R30" s="314"/>
      <c r="S30" s="314"/>
      <c r="T30" s="314"/>
      <c r="U30" s="314"/>
      <c r="V30" s="314"/>
      <c r="W30" s="314"/>
      <c r="X30" s="314"/>
    </row>
    <row r="31" spans="1:24" x14ac:dyDescent="0.2">
      <c r="A31" s="314"/>
      <c r="B31" s="314"/>
      <c r="C31" s="314"/>
      <c r="D31" s="314"/>
      <c r="E31" s="314"/>
      <c r="F31" s="314"/>
      <c r="G31" s="314"/>
      <c r="H31" s="314"/>
      <c r="I31" s="314"/>
      <c r="J31" s="314"/>
      <c r="K31" s="314"/>
      <c r="L31" s="314"/>
      <c r="M31" s="314"/>
      <c r="N31" s="314"/>
      <c r="O31" s="314"/>
      <c r="P31" s="314"/>
      <c r="Q31" s="314"/>
      <c r="R31" s="314"/>
      <c r="S31" s="314"/>
      <c r="T31" s="314"/>
      <c r="U31" s="314"/>
      <c r="V31" s="314"/>
      <c r="W31" s="314"/>
      <c r="X31" s="314"/>
    </row>
    <row r="32" spans="1:24" x14ac:dyDescent="0.2">
      <c r="A32" s="314"/>
      <c r="B32" s="314"/>
      <c r="C32" s="314"/>
      <c r="D32" s="314"/>
      <c r="E32" s="314"/>
      <c r="F32" s="314"/>
      <c r="G32" s="314"/>
      <c r="H32" s="314"/>
      <c r="I32" s="314"/>
      <c r="J32" s="314"/>
      <c r="K32" s="314"/>
      <c r="L32" s="314"/>
      <c r="M32" s="314"/>
      <c r="N32" s="314"/>
      <c r="O32" s="314"/>
      <c r="P32" s="314"/>
      <c r="Q32" s="314"/>
      <c r="R32" s="314"/>
      <c r="S32" s="314"/>
      <c r="T32" s="314"/>
      <c r="U32" s="314"/>
      <c r="V32" s="314"/>
      <c r="W32" s="314"/>
      <c r="X32" s="314"/>
    </row>
    <row r="33" spans="1:24" x14ac:dyDescent="0.2">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row>
    <row r="34" spans="1:24" ht="15.75" x14ac:dyDescent="0.25">
      <c r="A34" s="2010" t="s">
        <v>2555</v>
      </c>
      <c r="B34" s="2010"/>
      <c r="C34" s="2010"/>
      <c r="D34" s="2010"/>
      <c r="E34" s="2010"/>
      <c r="F34" s="2010"/>
      <c r="G34" s="2010"/>
      <c r="H34" s="2010"/>
      <c r="I34" s="2010"/>
      <c r="J34" s="2010"/>
      <c r="K34" s="2010"/>
      <c r="L34" s="2010"/>
      <c r="M34" s="2010"/>
      <c r="N34" s="2010"/>
      <c r="O34" s="2010"/>
      <c r="P34" s="2010"/>
      <c r="Q34" s="2010"/>
      <c r="R34" s="2010"/>
      <c r="S34" s="2010"/>
      <c r="T34" s="2010"/>
      <c r="U34" s="2010"/>
      <c r="V34" s="2010"/>
      <c r="W34" s="2010"/>
      <c r="X34" s="2010"/>
    </row>
    <row r="35" spans="1:24" ht="27" customHeight="1" x14ac:dyDescent="0.25">
      <c r="A35" s="1069"/>
      <c r="B35" s="1069"/>
      <c r="C35" s="1070"/>
      <c r="D35" s="1071"/>
      <c r="E35" s="1071"/>
      <c r="F35" s="1071"/>
      <c r="G35" s="1071"/>
      <c r="H35" s="1071"/>
      <c r="I35" s="1071"/>
      <c r="J35" s="1071"/>
      <c r="K35" s="1071"/>
      <c r="L35" s="1071"/>
      <c r="M35" s="1071"/>
      <c r="N35" s="1071"/>
      <c r="O35" s="1071"/>
      <c r="P35" s="1071"/>
      <c r="Q35" s="1071"/>
      <c r="R35" s="1071"/>
      <c r="S35" s="1071"/>
      <c r="T35" s="1071"/>
      <c r="U35" s="1071"/>
      <c r="V35" s="1071"/>
      <c r="W35" s="1071"/>
      <c r="X35" s="1071"/>
    </row>
    <row r="36" spans="1:24" ht="15" x14ac:dyDescent="0.25">
      <c r="A36" s="2118" t="s">
        <v>1723</v>
      </c>
      <c r="B36" s="2118"/>
      <c r="C36" s="2118"/>
      <c r="D36" s="2118"/>
      <c r="E36" s="2118"/>
      <c r="F36" s="2118"/>
      <c r="G36" s="2118"/>
      <c r="H36" s="2118"/>
      <c r="I36" s="2118"/>
      <c r="J36" s="2118"/>
      <c r="K36" s="2118"/>
      <c r="L36" s="2118"/>
      <c r="M36" s="2118"/>
      <c r="N36" s="2118"/>
      <c r="O36" s="2118"/>
      <c r="P36" s="2118"/>
      <c r="Q36" s="2118"/>
      <c r="R36" s="2118"/>
      <c r="S36" s="2118"/>
      <c r="T36" s="2118"/>
      <c r="U36" s="2118"/>
      <c r="V36" s="2118"/>
      <c r="W36" s="2118"/>
      <c r="X36" s="2118"/>
    </row>
    <row r="37" spans="1:24" x14ac:dyDescent="0.2">
      <c r="A37" s="314"/>
      <c r="B37" s="314"/>
      <c r="C37" s="314"/>
      <c r="D37" s="314"/>
      <c r="E37" s="314"/>
      <c r="F37" s="314"/>
      <c r="G37" s="314"/>
      <c r="H37" s="314"/>
      <c r="I37" s="314"/>
      <c r="J37" s="314"/>
      <c r="K37" s="314"/>
      <c r="L37" s="314"/>
      <c r="M37" s="314"/>
      <c r="N37" s="314"/>
      <c r="O37" s="314"/>
      <c r="P37" s="314"/>
      <c r="Q37" s="314"/>
      <c r="R37" s="314"/>
      <c r="S37" s="314"/>
      <c r="T37" s="314"/>
      <c r="U37" s="314"/>
      <c r="V37" s="314"/>
      <c r="W37" s="314"/>
      <c r="X37" s="314"/>
    </row>
    <row r="38" spans="1:24" x14ac:dyDescent="0.2">
      <c r="A38" s="314"/>
      <c r="B38" s="314"/>
      <c r="C38" s="314"/>
      <c r="D38" s="314"/>
      <c r="E38" s="314"/>
      <c r="F38" s="314"/>
      <c r="G38" s="314"/>
      <c r="H38" s="314"/>
      <c r="I38" s="314"/>
      <c r="J38" s="314"/>
      <c r="K38" s="314"/>
      <c r="L38" s="314"/>
      <c r="M38" s="314"/>
      <c r="N38" s="314"/>
      <c r="O38" s="314"/>
      <c r="P38" s="314"/>
      <c r="Q38" s="314"/>
      <c r="R38" s="314"/>
      <c r="S38" s="314"/>
      <c r="T38" s="314"/>
      <c r="U38" s="314"/>
      <c r="V38" s="314"/>
      <c r="W38" s="314"/>
      <c r="X38" s="314"/>
    </row>
    <row r="39" spans="1:24" ht="15" customHeight="1" x14ac:dyDescent="0.25">
      <c r="A39" s="2005" t="s">
        <v>37</v>
      </c>
      <c r="B39" s="1773" t="s">
        <v>1640</v>
      </c>
      <c r="C39" s="2008" t="s">
        <v>2</v>
      </c>
      <c r="D39" s="1997" t="s">
        <v>1641</v>
      </c>
      <c r="E39" s="1997" t="s">
        <v>116</v>
      </c>
      <c r="F39" s="1997" t="s">
        <v>1642</v>
      </c>
      <c r="G39" s="1997" t="s">
        <v>1643</v>
      </c>
      <c r="H39" s="1999" t="s">
        <v>1644</v>
      </c>
      <c r="I39" s="1999"/>
      <c r="J39" s="1999"/>
      <c r="K39" s="1999"/>
      <c r="L39" s="1999"/>
      <c r="M39" s="1999"/>
      <c r="N39" s="1999"/>
      <c r="O39" s="2000"/>
      <c r="P39" s="1248"/>
      <c r="Q39" s="2011" t="s">
        <v>1645</v>
      </c>
      <c r="R39" s="1999"/>
      <c r="S39" s="1999"/>
      <c r="T39" s="1999"/>
      <c r="U39" s="1999"/>
      <c r="V39" s="1999"/>
      <c r="W39" s="1999"/>
      <c r="X39" s="2012"/>
    </row>
    <row r="40" spans="1:24" ht="86.25" customHeight="1" x14ac:dyDescent="0.2">
      <c r="A40" s="2006"/>
      <c r="B40" s="1774"/>
      <c r="C40" s="2009"/>
      <c r="D40" s="1998"/>
      <c r="E40" s="1998"/>
      <c r="F40" s="1998"/>
      <c r="G40" s="1998"/>
      <c r="H40" s="941" t="s">
        <v>1667</v>
      </c>
      <c r="I40" s="942" t="s">
        <v>1647</v>
      </c>
      <c r="J40" s="941" t="s">
        <v>1718</v>
      </c>
      <c r="K40" s="941" t="s">
        <v>1649</v>
      </c>
      <c r="L40" s="941" t="s">
        <v>1650</v>
      </c>
      <c r="M40" s="941" t="s">
        <v>1651</v>
      </c>
      <c r="N40" s="941" t="s">
        <v>1652</v>
      </c>
      <c r="O40" s="942" t="s">
        <v>1653</v>
      </c>
      <c r="P40" s="944" t="s">
        <v>1654</v>
      </c>
      <c r="Q40" s="999" t="s">
        <v>1655</v>
      </c>
      <c r="R40" s="942" t="s">
        <v>1656</v>
      </c>
      <c r="S40" s="941" t="s">
        <v>1657</v>
      </c>
      <c r="T40" s="941" t="s">
        <v>1658</v>
      </c>
      <c r="U40" s="942" t="s">
        <v>1659</v>
      </c>
      <c r="V40" s="942" t="s">
        <v>1660</v>
      </c>
      <c r="W40" s="942" t="s">
        <v>1661</v>
      </c>
      <c r="X40" s="944" t="s">
        <v>1662</v>
      </c>
    </row>
    <row r="41" spans="1:24" ht="15.75" customHeight="1" x14ac:dyDescent="0.2">
      <c r="A41" s="2005" t="s">
        <v>203</v>
      </c>
      <c r="B41" s="2008" t="s">
        <v>236</v>
      </c>
      <c r="C41" s="2025" t="s">
        <v>2144</v>
      </c>
      <c r="D41" s="974" t="s">
        <v>1822</v>
      </c>
      <c r="E41" s="1011" t="s">
        <v>1297</v>
      </c>
      <c r="F41" s="1011" t="s">
        <v>127</v>
      </c>
      <c r="G41" s="1340" t="s">
        <v>1754</v>
      </c>
      <c r="H41" s="1073"/>
      <c r="I41" s="1073"/>
      <c r="J41" s="1073"/>
      <c r="K41" s="1073"/>
      <c r="L41" s="1073"/>
      <c r="M41" s="1073"/>
      <c r="N41" s="1073"/>
      <c r="O41" s="1073"/>
      <c r="P41" s="1075"/>
      <c r="Q41" s="1081"/>
      <c r="R41" s="1077"/>
      <c r="S41" s="1077"/>
      <c r="T41" s="1077"/>
      <c r="U41" s="1077"/>
      <c r="V41" s="1077"/>
      <c r="W41" s="1077"/>
      <c r="X41" s="1079">
        <v>423750</v>
      </c>
    </row>
    <row r="42" spans="1:24" ht="15.75" customHeight="1" x14ac:dyDescent="0.2">
      <c r="A42" s="2024"/>
      <c r="B42" s="2023"/>
      <c r="C42" s="2026"/>
      <c r="D42" s="978" t="s">
        <v>1822</v>
      </c>
      <c r="E42" s="1000" t="s">
        <v>575</v>
      </c>
      <c r="F42" s="1000" t="s">
        <v>90</v>
      </c>
      <c r="G42" s="1088" t="s">
        <v>1754</v>
      </c>
      <c r="H42" s="1077">
        <v>375000</v>
      </c>
      <c r="I42" s="1077">
        <v>48750</v>
      </c>
      <c r="J42" s="1077"/>
      <c r="K42" s="1077"/>
      <c r="L42" s="1077"/>
      <c r="M42" s="1077"/>
      <c r="N42" s="1077"/>
      <c r="O42" s="1077"/>
      <c r="P42" s="1079"/>
      <c r="Q42" s="1081"/>
      <c r="R42" s="1077"/>
      <c r="S42" s="1077"/>
      <c r="T42" s="1077"/>
      <c r="U42" s="1077"/>
      <c r="V42" s="1077"/>
      <c r="W42" s="1077"/>
      <c r="X42" s="1079"/>
    </row>
    <row r="43" spans="1:24" ht="15.75" customHeight="1" x14ac:dyDescent="0.2">
      <c r="A43" s="2024" t="s">
        <v>204</v>
      </c>
      <c r="B43" s="2023" t="s">
        <v>237</v>
      </c>
      <c r="C43" s="2026" t="s">
        <v>2145</v>
      </c>
      <c r="D43" s="978" t="s">
        <v>1822</v>
      </c>
      <c r="E43" s="1000" t="s">
        <v>1297</v>
      </c>
      <c r="F43" s="1000" t="s">
        <v>127</v>
      </c>
      <c r="G43" s="1088" t="s">
        <v>1754</v>
      </c>
      <c r="H43" s="1077"/>
      <c r="I43" s="1077"/>
      <c r="J43" s="1077"/>
      <c r="K43" s="1077"/>
      <c r="L43" s="1077"/>
      <c r="M43" s="1077"/>
      <c r="N43" s="1077"/>
      <c r="O43" s="1077"/>
      <c r="P43" s="1079"/>
      <c r="Q43" s="1081"/>
      <c r="R43" s="1077"/>
      <c r="S43" s="1077"/>
      <c r="T43" s="1077"/>
      <c r="U43" s="1077"/>
      <c r="V43" s="1077"/>
      <c r="W43" s="1077"/>
      <c r="X43" s="1079">
        <v>1243000</v>
      </c>
    </row>
    <row r="44" spans="1:24" ht="15.75" customHeight="1" x14ac:dyDescent="0.2">
      <c r="A44" s="2024"/>
      <c r="B44" s="2023"/>
      <c r="C44" s="2026"/>
      <c r="D44" s="978" t="s">
        <v>1822</v>
      </c>
      <c r="E44" s="1000" t="s">
        <v>575</v>
      </c>
      <c r="F44" s="1000" t="s">
        <v>90</v>
      </c>
      <c r="G44" s="1088" t="s">
        <v>1754</v>
      </c>
      <c r="H44" s="1077">
        <v>400000</v>
      </c>
      <c r="I44" s="1077">
        <v>52000</v>
      </c>
      <c r="J44" s="1077"/>
      <c r="K44" s="1077"/>
      <c r="L44" s="1077"/>
      <c r="M44" s="1077"/>
      <c r="N44" s="1077"/>
      <c r="O44" s="1077"/>
      <c r="P44" s="1079"/>
      <c r="Q44" s="1081"/>
      <c r="R44" s="1077"/>
      <c r="S44" s="1077"/>
      <c r="T44" s="1077"/>
      <c r="U44" s="1077"/>
      <c r="V44" s="1077"/>
      <c r="W44" s="1077"/>
      <c r="X44" s="1079"/>
    </row>
    <row r="45" spans="1:24" ht="15.75" customHeight="1" x14ac:dyDescent="0.2">
      <c r="A45" s="2024"/>
      <c r="B45" s="2023"/>
      <c r="C45" s="2026"/>
      <c r="D45" s="978" t="s">
        <v>1822</v>
      </c>
      <c r="E45" s="1000" t="s">
        <v>575</v>
      </c>
      <c r="F45" s="1000" t="s">
        <v>131</v>
      </c>
      <c r="G45" s="1088" t="s">
        <v>1754</v>
      </c>
      <c r="H45" s="1077">
        <v>700000</v>
      </c>
      <c r="I45" s="1077">
        <v>91000</v>
      </c>
      <c r="J45" s="1077"/>
      <c r="K45" s="1077"/>
      <c r="L45" s="1077"/>
      <c r="M45" s="1077"/>
      <c r="N45" s="1077"/>
      <c r="O45" s="1077"/>
      <c r="P45" s="1079"/>
      <c r="Q45" s="1081"/>
      <c r="R45" s="1077"/>
      <c r="S45" s="1077"/>
      <c r="T45" s="1077"/>
      <c r="U45" s="1077"/>
      <c r="V45" s="1077"/>
      <c r="W45" s="1077"/>
      <c r="X45" s="1079"/>
    </row>
    <row r="46" spans="1:24" ht="30" customHeight="1" x14ac:dyDescent="0.2">
      <c r="A46" s="1423" t="s">
        <v>231</v>
      </c>
      <c r="B46" s="1422" t="s">
        <v>238</v>
      </c>
      <c r="C46" s="1424" t="s">
        <v>2226</v>
      </c>
      <c r="D46" s="978" t="s">
        <v>1822</v>
      </c>
      <c r="E46" s="1000" t="s">
        <v>575</v>
      </c>
      <c r="F46" s="1000" t="s">
        <v>90</v>
      </c>
      <c r="G46" s="1088" t="s">
        <v>1766</v>
      </c>
      <c r="H46" s="1077">
        <f>-250000+250000</f>
        <v>0</v>
      </c>
      <c r="I46" s="1077"/>
      <c r="J46" s="1077"/>
      <c r="K46" s="1077"/>
      <c r="L46" s="1077"/>
      <c r="M46" s="1077"/>
      <c r="N46" s="1077"/>
      <c r="O46" s="1077"/>
      <c r="P46" s="1079"/>
      <c r="Q46" s="1081"/>
      <c r="R46" s="1077"/>
      <c r="S46" s="1077"/>
      <c r="T46" s="1077"/>
      <c r="U46" s="1077"/>
      <c r="V46" s="1077"/>
      <c r="W46" s="1077"/>
      <c r="X46" s="1079"/>
    </row>
    <row r="47" spans="1:24" ht="26.25" customHeight="1" x14ac:dyDescent="0.2">
      <c r="A47" s="1423" t="s">
        <v>232</v>
      </c>
      <c r="B47" s="1422" t="s">
        <v>239</v>
      </c>
      <c r="C47" s="1424" t="s">
        <v>2330</v>
      </c>
      <c r="D47" s="978" t="s">
        <v>1822</v>
      </c>
      <c r="E47" s="1000" t="s">
        <v>1297</v>
      </c>
      <c r="F47" s="1000" t="s">
        <v>127</v>
      </c>
      <c r="G47" s="1088" t="s">
        <v>1754</v>
      </c>
      <c r="H47" s="1077"/>
      <c r="I47" s="1077"/>
      <c r="J47" s="1077"/>
      <c r="K47" s="1077"/>
      <c r="L47" s="1077">
        <v>11154291</v>
      </c>
      <c r="M47" s="1077"/>
      <c r="N47" s="1077"/>
      <c r="O47" s="1077"/>
      <c r="P47" s="1079"/>
      <c r="Q47" s="1081"/>
      <c r="R47" s="1077"/>
      <c r="S47" s="1077"/>
      <c r="T47" s="1077"/>
      <c r="U47" s="1077"/>
      <c r="V47" s="1077"/>
      <c r="W47" s="1077"/>
      <c r="X47" s="1079">
        <v>11154291</v>
      </c>
    </row>
    <row r="48" spans="1:24" ht="30.75" customHeight="1" x14ac:dyDescent="0.2">
      <c r="A48" s="1423" t="s">
        <v>233</v>
      </c>
      <c r="B48" s="1422" t="s">
        <v>266</v>
      </c>
      <c r="C48" s="1424" t="s">
        <v>2376</v>
      </c>
      <c r="D48" s="978" t="s">
        <v>1822</v>
      </c>
      <c r="E48" s="1000" t="s">
        <v>575</v>
      </c>
      <c r="F48" s="1000" t="s">
        <v>90</v>
      </c>
      <c r="G48" s="1088" t="s">
        <v>1766</v>
      </c>
      <c r="H48" s="1077"/>
      <c r="I48" s="1077"/>
      <c r="J48" s="1077">
        <f>-9098+9098</f>
        <v>0</v>
      </c>
      <c r="K48" s="1077"/>
      <c r="L48" s="1077"/>
      <c r="M48" s="1077"/>
      <c r="N48" s="1077"/>
      <c r="O48" s="1077"/>
      <c r="P48" s="1079"/>
      <c r="Q48" s="1081"/>
      <c r="R48" s="1077"/>
      <c r="S48" s="1077"/>
      <c r="T48" s="1077"/>
      <c r="U48" s="1077"/>
      <c r="V48" s="1077"/>
      <c r="W48" s="1077"/>
      <c r="X48" s="1079"/>
    </row>
    <row r="49" spans="1:24" ht="18" customHeight="1" x14ac:dyDescent="0.2">
      <c r="A49" s="2114" t="s">
        <v>234</v>
      </c>
      <c r="B49" s="2112" t="s">
        <v>2422</v>
      </c>
      <c r="C49" s="2110" t="s">
        <v>2411</v>
      </c>
      <c r="D49" s="1368" t="s">
        <v>1822</v>
      </c>
      <c r="E49" s="1369" t="s">
        <v>575</v>
      </c>
      <c r="F49" s="1369" t="s">
        <v>131</v>
      </c>
      <c r="G49" s="1381" t="s">
        <v>1752</v>
      </c>
      <c r="H49" s="1382">
        <v>-1528239</v>
      </c>
      <c r="I49" s="1382"/>
      <c r="J49" s="1382"/>
      <c r="K49" s="1382"/>
      <c r="L49" s="1382"/>
      <c r="M49" s="1382"/>
      <c r="N49" s="1382"/>
      <c r="O49" s="1382"/>
      <c r="P49" s="1383"/>
      <c r="Q49" s="1081"/>
      <c r="R49" s="1077"/>
      <c r="S49" s="1077"/>
      <c r="T49" s="1077"/>
      <c r="U49" s="1077"/>
      <c r="V49" s="1077"/>
      <c r="W49" s="1077"/>
      <c r="X49" s="1079"/>
    </row>
    <row r="50" spans="1:24" ht="18" customHeight="1" x14ac:dyDescent="0.2">
      <c r="A50" s="2115"/>
      <c r="B50" s="2113"/>
      <c r="C50" s="2111"/>
      <c r="D50" s="1368" t="s">
        <v>1822</v>
      </c>
      <c r="E50" s="1369" t="s">
        <v>575</v>
      </c>
      <c r="F50" s="1369" t="s">
        <v>90</v>
      </c>
      <c r="G50" s="1381" t="s">
        <v>1754</v>
      </c>
      <c r="H50" s="1382">
        <f>1278239+250000</f>
        <v>1528239</v>
      </c>
      <c r="I50" s="1382"/>
      <c r="J50" s="1382"/>
      <c r="K50" s="1382"/>
      <c r="L50" s="1382"/>
      <c r="M50" s="1382"/>
      <c r="N50" s="1382"/>
      <c r="O50" s="1382"/>
      <c r="P50" s="1383"/>
      <c r="Q50" s="1081"/>
      <c r="R50" s="1077"/>
      <c r="S50" s="1077"/>
      <c r="T50" s="1077"/>
      <c r="U50" s="1077"/>
      <c r="V50" s="1077"/>
      <c r="W50" s="1077"/>
      <c r="X50" s="1079"/>
    </row>
    <row r="51" spans="1:24" ht="29.25" customHeight="1" x14ac:dyDescent="0.2">
      <c r="A51" s="1423" t="s">
        <v>235</v>
      </c>
      <c r="B51" s="1422" t="s">
        <v>269</v>
      </c>
      <c r="C51" s="1424" t="s">
        <v>2452</v>
      </c>
      <c r="D51" s="1368" t="s">
        <v>1822</v>
      </c>
      <c r="E51" s="1369" t="s">
        <v>575</v>
      </c>
      <c r="F51" s="1369" t="s">
        <v>90</v>
      </c>
      <c r="G51" s="1381" t="s">
        <v>1766</v>
      </c>
      <c r="H51" s="1382"/>
      <c r="I51" s="1382"/>
      <c r="J51" s="1382">
        <f>-200000+200000</f>
        <v>0</v>
      </c>
      <c r="K51" s="1382"/>
      <c r="L51" s="1382"/>
      <c r="M51" s="1382"/>
      <c r="N51" s="1382"/>
      <c r="O51" s="1382"/>
      <c r="P51" s="1383"/>
      <c r="Q51" s="1081"/>
      <c r="R51" s="1077"/>
      <c r="S51" s="1077"/>
      <c r="T51" s="1077"/>
      <c r="U51" s="1077"/>
      <c r="V51" s="1077"/>
      <c r="W51" s="1077"/>
      <c r="X51" s="1079"/>
    </row>
    <row r="52" spans="1:24" ht="20.25" customHeight="1" x14ac:dyDescent="0.2">
      <c r="A52" s="2114" t="s">
        <v>236</v>
      </c>
      <c r="B52" s="2112" t="s">
        <v>270</v>
      </c>
      <c r="C52" s="2110" t="s">
        <v>2453</v>
      </c>
      <c r="D52" s="1368" t="s">
        <v>1822</v>
      </c>
      <c r="E52" s="1369" t="s">
        <v>575</v>
      </c>
      <c r="F52" s="1369" t="s">
        <v>90</v>
      </c>
      <c r="G52" s="1381" t="s">
        <v>1754</v>
      </c>
      <c r="H52" s="1382"/>
      <c r="I52" s="1382"/>
      <c r="J52" s="1382">
        <v>241826</v>
      </c>
      <c r="K52" s="1382"/>
      <c r="L52" s="1382"/>
      <c r="M52" s="1382"/>
      <c r="N52" s="1382"/>
      <c r="O52" s="1382"/>
      <c r="P52" s="1383"/>
      <c r="Q52" s="1081"/>
      <c r="R52" s="1077"/>
      <c r="S52" s="1077"/>
      <c r="T52" s="1077">
        <v>241826</v>
      </c>
      <c r="U52" s="1077"/>
      <c r="V52" s="1077"/>
      <c r="W52" s="1077"/>
      <c r="X52" s="1079"/>
    </row>
    <row r="53" spans="1:24" ht="20.25" customHeight="1" x14ac:dyDescent="0.2">
      <c r="A53" s="2115"/>
      <c r="B53" s="2113"/>
      <c r="C53" s="2111"/>
      <c r="D53" s="1368" t="s">
        <v>1822</v>
      </c>
      <c r="E53" s="1369" t="s">
        <v>575</v>
      </c>
      <c r="F53" s="1369" t="s">
        <v>131</v>
      </c>
      <c r="G53" s="1381" t="s">
        <v>1754</v>
      </c>
      <c r="H53" s="1382"/>
      <c r="I53" s="1382"/>
      <c r="J53" s="1382">
        <v>170047</v>
      </c>
      <c r="K53" s="1382"/>
      <c r="L53" s="1382"/>
      <c r="M53" s="1382"/>
      <c r="N53" s="1382"/>
      <c r="O53" s="1382"/>
      <c r="P53" s="1383"/>
      <c r="Q53" s="1081"/>
      <c r="R53" s="1077"/>
      <c r="S53" s="1077"/>
      <c r="T53" s="1077">
        <v>170047</v>
      </c>
      <c r="U53" s="1077"/>
      <c r="V53" s="1077"/>
      <c r="W53" s="1077"/>
      <c r="X53" s="1079"/>
    </row>
    <row r="54" spans="1:24" ht="18" customHeight="1" x14ac:dyDescent="0.2">
      <c r="A54" s="2114" t="s">
        <v>237</v>
      </c>
      <c r="B54" s="2112" t="s">
        <v>271</v>
      </c>
      <c r="C54" s="2110" t="s">
        <v>2616</v>
      </c>
      <c r="D54" s="1368" t="s">
        <v>1822</v>
      </c>
      <c r="E54" s="1369" t="s">
        <v>575</v>
      </c>
      <c r="F54" s="1369" t="s">
        <v>131</v>
      </c>
      <c r="G54" s="1381" t="s">
        <v>1752</v>
      </c>
      <c r="H54" s="1382">
        <v>-1858286</v>
      </c>
      <c r="I54" s="1382"/>
      <c r="J54" s="1382"/>
      <c r="K54" s="1382"/>
      <c r="L54" s="1382"/>
      <c r="M54" s="1382"/>
      <c r="N54" s="1382"/>
      <c r="O54" s="1382"/>
      <c r="P54" s="1383"/>
      <c r="Q54" s="1081"/>
      <c r="R54" s="1077"/>
      <c r="S54" s="1077"/>
      <c r="T54" s="1077"/>
      <c r="U54" s="1077"/>
      <c r="V54" s="1077"/>
      <c r="W54" s="1077"/>
      <c r="X54" s="1079"/>
    </row>
    <row r="55" spans="1:24" ht="18" customHeight="1" x14ac:dyDescent="0.2">
      <c r="A55" s="2115"/>
      <c r="B55" s="2113"/>
      <c r="C55" s="2111"/>
      <c r="D55" s="1368" t="s">
        <v>1822</v>
      </c>
      <c r="E55" s="1369" t="s">
        <v>575</v>
      </c>
      <c r="F55" s="1369" t="s">
        <v>90</v>
      </c>
      <c r="G55" s="1381" t="s">
        <v>1754</v>
      </c>
      <c r="H55" s="1382">
        <f>1858286-250000+250000</f>
        <v>1858286</v>
      </c>
      <c r="I55" s="1382"/>
      <c r="J55" s="1382"/>
      <c r="K55" s="1382"/>
      <c r="L55" s="1382"/>
      <c r="M55" s="1382"/>
      <c r="N55" s="1382"/>
      <c r="O55" s="1382"/>
      <c r="P55" s="1383"/>
      <c r="Q55" s="1081"/>
      <c r="R55" s="1077"/>
      <c r="S55" s="1077"/>
      <c r="T55" s="1077"/>
      <c r="U55" s="1077"/>
      <c r="V55" s="1077"/>
      <c r="W55" s="1077"/>
      <c r="X55" s="1079"/>
    </row>
    <row r="56" spans="1:24" ht="17.25" customHeight="1" x14ac:dyDescent="0.2">
      <c r="A56" s="2114" t="s">
        <v>238</v>
      </c>
      <c r="B56" s="2112" t="s">
        <v>272</v>
      </c>
      <c r="C56" s="2110" t="s">
        <v>2658</v>
      </c>
      <c r="D56" s="1368" t="s">
        <v>1822</v>
      </c>
      <c r="E56" s="1369" t="s">
        <v>1297</v>
      </c>
      <c r="F56" s="1369" t="s">
        <v>127</v>
      </c>
      <c r="G56" s="1381" t="s">
        <v>1754</v>
      </c>
      <c r="H56" s="1382"/>
      <c r="I56" s="1382"/>
      <c r="J56" s="1382"/>
      <c r="K56" s="1382"/>
      <c r="L56" s="1382"/>
      <c r="M56" s="1382"/>
      <c r="N56" s="1382"/>
      <c r="O56" s="1382"/>
      <c r="P56" s="1383"/>
      <c r="Q56" s="1081"/>
      <c r="R56" s="1077"/>
      <c r="S56" s="1077"/>
      <c r="T56" s="1077"/>
      <c r="U56" s="1077"/>
      <c r="V56" s="1077"/>
      <c r="W56" s="1077"/>
      <c r="X56" s="1079">
        <v>533400</v>
      </c>
    </row>
    <row r="57" spans="1:24" ht="17.25" customHeight="1" x14ac:dyDescent="0.2">
      <c r="A57" s="2115"/>
      <c r="B57" s="2113"/>
      <c r="C57" s="2111"/>
      <c r="D57" s="1368" t="s">
        <v>1822</v>
      </c>
      <c r="E57" s="1369" t="s">
        <v>575</v>
      </c>
      <c r="F57" s="1369" t="s">
        <v>90</v>
      </c>
      <c r="G57" s="1381" t="s">
        <v>1754</v>
      </c>
      <c r="H57" s="1382"/>
      <c r="I57" s="1382"/>
      <c r="J57" s="1382">
        <f>60000+16200</f>
        <v>76200</v>
      </c>
      <c r="K57" s="1382"/>
      <c r="L57" s="1382"/>
      <c r="M57" s="1382">
        <f>360000+97200</f>
        <v>457200</v>
      </c>
      <c r="N57" s="1382"/>
      <c r="O57" s="1382"/>
      <c r="P57" s="1383"/>
      <c r="Q57" s="1081"/>
      <c r="R57" s="1077"/>
      <c r="S57" s="1077"/>
      <c r="T57" s="1077"/>
      <c r="U57" s="1077"/>
      <c r="V57" s="1077"/>
      <c r="W57" s="1077"/>
      <c r="X57" s="1079"/>
    </row>
    <row r="58" spans="1:24" ht="38.25" customHeight="1" x14ac:dyDescent="0.2">
      <c r="A58" s="1504" t="s">
        <v>239</v>
      </c>
      <c r="B58" s="1503" t="s">
        <v>273</v>
      </c>
      <c r="C58" s="1502" t="s">
        <v>2727</v>
      </c>
      <c r="D58" s="1368" t="s">
        <v>1822</v>
      </c>
      <c r="E58" s="1369" t="s">
        <v>575</v>
      </c>
      <c r="F58" s="1369" t="s">
        <v>90</v>
      </c>
      <c r="G58" s="1381" t="s">
        <v>1754</v>
      </c>
      <c r="H58" s="1382"/>
      <c r="I58" s="1382"/>
      <c r="J58" s="1382">
        <v>1</v>
      </c>
      <c r="K58" s="1382"/>
      <c r="L58" s="1382"/>
      <c r="M58" s="1382"/>
      <c r="N58" s="1382"/>
      <c r="O58" s="1382"/>
      <c r="P58" s="1383"/>
      <c r="Q58" s="1081"/>
      <c r="R58" s="1077"/>
      <c r="S58" s="1077"/>
      <c r="T58" s="1077">
        <v>1</v>
      </c>
      <c r="U58" s="1077"/>
      <c r="V58" s="1077"/>
      <c r="W58" s="1077"/>
      <c r="X58" s="1079"/>
    </row>
    <row r="59" spans="1:24" x14ac:dyDescent="0.2">
      <c r="A59" s="1419"/>
      <c r="B59" s="1421"/>
      <c r="C59" s="1090"/>
      <c r="D59" s="983"/>
      <c r="E59" s="1083"/>
      <c r="F59" s="1083"/>
      <c r="G59" s="1084"/>
      <c r="H59" s="1335"/>
      <c r="I59" s="1335"/>
      <c r="J59" s="1335"/>
      <c r="K59" s="1335"/>
      <c r="L59" s="1335"/>
      <c r="M59" s="1335"/>
      <c r="N59" s="1335"/>
      <c r="O59" s="1335"/>
      <c r="P59" s="1336"/>
      <c r="Q59" s="1081"/>
      <c r="R59" s="1077"/>
      <c r="S59" s="1077"/>
      <c r="T59" s="1077"/>
      <c r="U59" s="1077"/>
      <c r="V59" s="1077"/>
      <c r="W59" s="1077"/>
      <c r="X59" s="1079"/>
    </row>
    <row r="60" spans="1:24" ht="18.75" x14ac:dyDescent="0.3">
      <c r="A60" s="2125" t="s">
        <v>1663</v>
      </c>
      <c r="B60" s="2126"/>
      <c r="C60" s="2127"/>
      <c r="D60" s="956"/>
      <c r="E60" s="956"/>
      <c r="F60" s="956"/>
      <c r="G60" s="956"/>
      <c r="H60" s="1595">
        <f t="shared" ref="H60:X60" si="1">SUM(H41:H59)+H22</f>
        <v>9264214</v>
      </c>
      <c r="I60" s="1595">
        <f t="shared" si="1"/>
        <v>1208870</v>
      </c>
      <c r="J60" s="1595">
        <f t="shared" si="1"/>
        <v>1759840</v>
      </c>
      <c r="K60" s="1595">
        <f t="shared" si="1"/>
        <v>0</v>
      </c>
      <c r="L60" s="1595">
        <f t="shared" si="1"/>
        <v>11154291</v>
      </c>
      <c r="M60" s="1595">
        <f t="shared" si="1"/>
        <v>457200</v>
      </c>
      <c r="N60" s="1595">
        <f t="shared" si="1"/>
        <v>0</v>
      </c>
      <c r="O60" s="1595">
        <f t="shared" si="1"/>
        <v>0</v>
      </c>
      <c r="P60" s="1596">
        <f t="shared" si="1"/>
        <v>0</v>
      </c>
      <c r="Q60" s="1597">
        <f t="shared" si="1"/>
        <v>0</v>
      </c>
      <c r="R60" s="1595">
        <f t="shared" si="1"/>
        <v>0</v>
      </c>
      <c r="S60" s="1595">
        <f t="shared" si="1"/>
        <v>0</v>
      </c>
      <c r="T60" s="1595">
        <f t="shared" si="1"/>
        <v>411874</v>
      </c>
      <c r="U60" s="1595">
        <f t="shared" si="1"/>
        <v>0</v>
      </c>
      <c r="V60" s="1595">
        <f t="shared" si="1"/>
        <v>0</v>
      </c>
      <c r="W60" s="1595">
        <f t="shared" si="1"/>
        <v>0</v>
      </c>
      <c r="X60" s="1596">
        <f t="shared" si="1"/>
        <v>23432541</v>
      </c>
    </row>
    <row r="61" spans="1:24" ht="18" customHeight="1" x14ac:dyDescent="0.2">
      <c r="A61" s="314"/>
      <c r="B61" s="314"/>
      <c r="C61" s="314"/>
      <c r="D61" s="314"/>
      <c r="E61" s="314"/>
      <c r="F61" s="314"/>
      <c r="G61" s="314"/>
      <c r="H61" s="1064"/>
      <c r="I61" s="1064"/>
      <c r="J61" s="1064"/>
      <c r="K61" s="1064"/>
      <c r="L61" s="1064"/>
      <c r="M61" s="1064"/>
      <c r="N61" s="1064"/>
      <c r="O61" s="1064"/>
      <c r="P61" s="1064"/>
      <c r="Q61" s="1064"/>
      <c r="R61" s="1064"/>
      <c r="S61" s="1064"/>
      <c r="T61" s="1064"/>
      <c r="U61" s="1064"/>
      <c r="V61" s="1064"/>
      <c r="W61" s="1064"/>
      <c r="X61" s="1064"/>
    </row>
    <row r="62" spans="1:24" ht="18" customHeight="1" x14ac:dyDescent="0.2">
      <c r="A62" s="314"/>
      <c r="B62" s="314"/>
      <c r="C62" s="314"/>
      <c r="D62" s="314"/>
      <c r="E62" s="314"/>
      <c r="F62" s="314"/>
      <c r="G62" s="314"/>
      <c r="H62" s="1064"/>
      <c r="I62" s="1064"/>
      <c r="J62" s="1064"/>
      <c r="K62" s="1064"/>
      <c r="L62" s="1064"/>
      <c r="M62" s="1064"/>
      <c r="N62" s="1064"/>
      <c r="O62" s="1064"/>
      <c r="P62" s="1064"/>
      <c r="Q62" s="1064"/>
      <c r="R62" s="1064"/>
      <c r="S62" s="1064"/>
      <c r="T62" s="1064"/>
      <c r="U62" s="1064"/>
      <c r="V62" s="1064"/>
      <c r="W62" s="1064"/>
      <c r="X62" s="1064"/>
    </row>
    <row r="63" spans="1:24" x14ac:dyDescent="0.2">
      <c r="A63" s="314"/>
      <c r="B63" s="314"/>
      <c r="C63" s="314"/>
      <c r="D63" s="314"/>
      <c r="E63" s="314"/>
      <c r="F63" s="314"/>
      <c r="G63" s="314"/>
      <c r="H63" s="314"/>
      <c r="I63" s="314"/>
      <c r="J63" s="314"/>
      <c r="K63" s="314"/>
      <c r="L63" s="314"/>
      <c r="M63" s="314"/>
      <c r="N63" s="314"/>
      <c r="O63" s="314"/>
      <c r="P63" s="314"/>
      <c r="Q63" s="314"/>
      <c r="R63" s="314"/>
      <c r="S63" s="314"/>
      <c r="T63" s="314"/>
      <c r="U63" s="314"/>
      <c r="V63" s="314"/>
      <c r="W63" s="314"/>
      <c r="X63" s="314"/>
    </row>
    <row r="64" spans="1:24" x14ac:dyDescent="0.2">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row>
    <row r="65" spans="1:24" ht="21" customHeight="1" x14ac:dyDescent="0.2">
      <c r="A65" s="314"/>
      <c r="B65" s="314"/>
      <c r="C65" s="314"/>
      <c r="D65" s="314"/>
      <c r="E65" s="314"/>
      <c r="F65" s="314"/>
      <c r="G65" s="314"/>
      <c r="H65" s="314"/>
      <c r="I65" s="2042" t="s">
        <v>1664</v>
      </c>
      <c r="J65" s="2042"/>
      <c r="K65" s="2042"/>
      <c r="L65" s="2042">
        <v>147636479</v>
      </c>
      <c r="M65" s="2042"/>
      <c r="N65" s="996"/>
      <c r="O65" s="996"/>
      <c r="P65" s="996"/>
      <c r="Q65" s="996"/>
      <c r="R65" s="2042" t="s">
        <v>1665</v>
      </c>
      <c r="S65" s="2042"/>
      <c r="T65" s="2042"/>
      <c r="U65" s="2042">
        <v>147636479</v>
      </c>
      <c r="V65" s="2042"/>
      <c r="W65" s="314"/>
      <c r="X65" s="314"/>
    </row>
    <row r="66" spans="1:24" ht="20.25" customHeight="1" x14ac:dyDescent="0.2">
      <c r="A66" s="314"/>
      <c r="B66" s="314"/>
      <c r="C66" s="314"/>
      <c r="D66" s="314"/>
      <c r="E66" s="314"/>
      <c r="F66" s="314"/>
      <c r="G66" s="314"/>
      <c r="H66" s="314"/>
      <c r="I66" s="2042" t="s">
        <v>1666</v>
      </c>
      <c r="J66" s="2042"/>
      <c r="K66" s="2042"/>
      <c r="L66" s="2042">
        <f>SUM(H60:P60)</f>
        <v>23844415</v>
      </c>
      <c r="M66" s="2042"/>
      <c r="N66" s="996"/>
      <c r="O66" s="996"/>
      <c r="P66" s="996"/>
      <c r="Q66" s="996"/>
      <c r="R66" s="2042" t="s">
        <v>1666</v>
      </c>
      <c r="S66" s="2042"/>
      <c r="T66" s="2042"/>
      <c r="U66" s="2042">
        <f>SUM(Q60:X60)</f>
        <v>23844415</v>
      </c>
      <c r="V66" s="2042"/>
      <c r="W66" s="314"/>
      <c r="X66" s="314"/>
    </row>
    <row r="67" spans="1:24" ht="21.75" customHeight="1" x14ac:dyDescent="0.2">
      <c r="A67" s="314"/>
      <c r="B67" s="314"/>
      <c r="C67" s="314"/>
      <c r="D67" s="314"/>
      <c r="E67" s="314"/>
      <c r="F67" s="314"/>
      <c r="G67" s="314"/>
      <c r="H67" s="314"/>
      <c r="I67" s="2042" t="s">
        <v>1512</v>
      </c>
      <c r="J67" s="2042"/>
      <c r="K67" s="2042"/>
      <c r="L67" s="2042">
        <f>+L65+L66</f>
        <v>171480894</v>
      </c>
      <c r="M67" s="2042"/>
      <c r="N67" s="996"/>
      <c r="O67" s="996"/>
      <c r="P67" s="996"/>
      <c r="Q67" s="996"/>
      <c r="R67" s="2042" t="s">
        <v>1512</v>
      </c>
      <c r="S67" s="2042"/>
      <c r="T67" s="2042"/>
      <c r="U67" s="2042">
        <f>+U65+U66</f>
        <v>171480894</v>
      </c>
      <c r="V67" s="2042"/>
      <c r="W67" s="314"/>
      <c r="X67" s="314"/>
    </row>
    <row r="68" spans="1:24" x14ac:dyDescent="0.2">
      <c r="A68" s="314"/>
      <c r="B68" s="314"/>
      <c r="C68" s="314"/>
      <c r="D68" s="314"/>
      <c r="E68" s="314"/>
      <c r="F68" s="314"/>
      <c r="G68" s="314"/>
      <c r="H68" s="314"/>
      <c r="I68" s="314"/>
      <c r="J68" s="314"/>
      <c r="K68" s="314"/>
      <c r="L68" s="314"/>
      <c r="M68" s="314"/>
      <c r="N68" s="314"/>
      <c r="O68" s="314"/>
      <c r="P68" s="314"/>
      <c r="Q68" s="314"/>
      <c r="R68" s="314"/>
      <c r="S68" s="314"/>
      <c r="T68" s="314"/>
      <c r="U68" s="314"/>
      <c r="V68" s="314"/>
      <c r="W68" s="314"/>
      <c r="X68" s="314"/>
    </row>
    <row r="69" spans="1:24" x14ac:dyDescent="0.2">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row>
    <row r="70" spans="1:24" x14ac:dyDescent="0.2">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row>
    <row r="71" spans="1:24" x14ac:dyDescent="0.2">
      <c r="A71" s="314"/>
      <c r="B71" s="314"/>
      <c r="C71" s="314"/>
      <c r="D71" s="314"/>
      <c r="E71" s="314"/>
      <c r="F71" s="314"/>
      <c r="G71" s="314"/>
      <c r="H71" s="314"/>
      <c r="I71" s="314"/>
      <c r="J71" s="314"/>
      <c r="K71" s="314"/>
      <c r="L71" s="314"/>
      <c r="M71" s="314"/>
      <c r="N71" s="314"/>
      <c r="O71" s="314"/>
      <c r="P71" s="314"/>
      <c r="Q71" s="314"/>
      <c r="R71" s="314"/>
      <c r="S71" s="314"/>
      <c r="T71" s="314"/>
      <c r="U71" s="314"/>
      <c r="V71" s="314"/>
      <c r="W71" s="314"/>
      <c r="X71" s="314"/>
    </row>
    <row r="72" spans="1:24" x14ac:dyDescent="0.2">
      <c r="A72" s="314"/>
      <c r="B72" s="314"/>
      <c r="C72" s="314"/>
      <c r="D72" s="314"/>
      <c r="E72" s="314"/>
      <c r="F72" s="314"/>
      <c r="G72" s="314"/>
      <c r="H72" s="314"/>
      <c r="I72" s="314"/>
      <c r="J72" s="314"/>
      <c r="K72" s="314"/>
      <c r="L72" s="314"/>
      <c r="M72" s="314"/>
      <c r="N72" s="314"/>
      <c r="O72" s="314"/>
      <c r="P72" s="314"/>
      <c r="Q72" s="314"/>
      <c r="R72" s="314"/>
      <c r="S72" s="314"/>
      <c r="T72" s="314"/>
      <c r="U72" s="314"/>
      <c r="V72" s="314"/>
      <c r="W72" s="314"/>
      <c r="X72" s="314"/>
    </row>
    <row r="73" spans="1:24" x14ac:dyDescent="0.2">
      <c r="A73" s="314"/>
      <c r="B73" s="314"/>
      <c r="C73" s="314"/>
      <c r="D73" s="314"/>
      <c r="E73" s="314"/>
      <c r="F73" s="314"/>
      <c r="G73" s="314"/>
      <c r="H73" s="314"/>
      <c r="I73" s="314"/>
      <c r="J73" s="314"/>
      <c r="K73" s="314"/>
      <c r="L73" s="314"/>
      <c r="M73" s="314"/>
      <c r="N73" s="314"/>
      <c r="O73" s="314"/>
      <c r="P73" s="314"/>
      <c r="Q73" s="314"/>
      <c r="R73" s="314"/>
      <c r="S73" s="314"/>
      <c r="T73" s="314"/>
      <c r="U73" s="314"/>
      <c r="V73" s="314"/>
      <c r="W73" s="314"/>
      <c r="X73" s="314"/>
    </row>
    <row r="74" spans="1:24" ht="15.75" x14ac:dyDescent="0.25">
      <c r="A74" s="2010" t="s">
        <v>2861</v>
      </c>
      <c r="B74" s="2010"/>
      <c r="C74" s="2010"/>
      <c r="D74" s="2010"/>
      <c r="E74" s="2010"/>
      <c r="F74" s="2010"/>
      <c r="G74" s="2010"/>
      <c r="H74" s="2010"/>
      <c r="I74" s="2010"/>
      <c r="J74" s="2010"/>
      <c r="K74" s="2010"/>
      <c r="L74" s="2010"/>
      <c r="M74" s="2010"/>
      <c r="N74" s="2010"/>
      <c r="O74" s="2010"/>
      <c r="P74" s="2010"/>
      <c r="Q74" s="2010"/>
      <c r="R74" s="2010"/>
      <c r="S74" s="2010"/>
      <c r="T74" s="2010"/>
      <c r="U74" s="2010"/>
      <c r="V74" s="2010"/>
      <c r="W74" s="2010"/>
      <c r="X74" s="2010"/>
    </row>
    <row r="75" spans="1:24" ht="19.5" customHeight="1" x14ac:dyDescent="0.25">
      <c r="A75" s="1069"/>
      <c r="B75" s="1069"/>
      <c r="C75" s="1070"/>
      <c r="D75" s="1071"/>
      <c r="E75" s="1071"/>
      <c r="F75" s="1071"/>
      <c r="G75" s="1071"/>
      <c r="H75" s="1071"/>
      <c r="I75" s="1071"/>
      <c r="J75" s="1071"/>
      <c r="K75" s="1071"/>
      <c r="L75" s="1071"/>
      <c r="M75" s="1071"/>
      <c r="N75" s="1071"/>
      <c r="O75" s="1071"/>
      <c r="P75" s="1071"/>
      <c r="Q75" s="1071"/>
      <c r="R75" s="1071"/>
      <c r="S75" s="1071"/>
      <c r="T75" s="1071"/>
      <c r="U75" s="1071"/>
      <c r="V75" s="1071"/>
      <c r="W75" s="1071"/>
      <c r="X75" s="1071"/>
    </row>
    <row r="76" spans="1:24" ht="15" x14ac:dyDescent="0.25">
      <c r="A76" s="2118" t="s">
        <v>1723</v>
      </c>
      <c r="B76" s="2118"/>
      <c r="C76" s="2118"/>
      <c r="D76" s="2118"/>
      <c r="E76" s="2118"/>
      <c r="F76" s="2118"/>
      <c r="G76" s="2118"/>
      <c r="H76" s="2118"/>
      <c r="I76" s="2118"/>
      <c r="J76" s="2118"/>
      <c r="K76" s="2118"/>
      <c r="L76" s="2118"/>
      <c r="M76" s="2118"/>
      <c r="N76" s="2118"/>
      <c r="O76" s="2118"/>
      <c r="P76" s="2118"/>
      <c r="Q76" s="2118"/>
      <c r="R76" s="2118"/>
      <c r="S76" s="2118"/>
      <c r="T76" s="2118"/>
      <c r="U76" s="2118"/>
      <c r="V76" s="2118"/>
      <c r="W76" s="2118"/>
      <c r="X76" s="2118"/>
    </row>
    <row r="77" spans="1:24" x14ac:dyDescent="0.2">
      <c r="A77" s="314"/>
      <c r="B77" s="314"/>
      <c r="C77" s="314"/>
      <c r="D77" s="314"/>
      <c r="E77" s="314"/>
      <c r="F77" s="314"/>
      <c r="G77" s="314"/>
      <c r="H77" s="314"/>
      <c r="I77" s="314"/>
      <c r="J77" s="314"/>
      <c r="K77" s="314"/>
      <c r="L77" s="314"/>
      <c r="M77" s="314"/>
      <c r="N77" s="314"/>
      <c r="O77" s="314"/>
      <c r="P77" s="314"/>
      <c r="Q77" s="314"/>
      <c r="R77" s="314"/>
      <c r="S77" s="314"/>
      <c r="T77" s="314"/>
      <c r="U77" s="314"/>
      <c r="V77" s="314"/>
      <c r="W77" s="314"/>
      <c r="X77" s="314"/>
    </row>
    <row r="78" spans="1:24" x14ac:dyDescent="0.2">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row>
    <row r="79" spans="1:24" ht="15" customHeight="1" x14ac:dyDescent="0.25">
      <c r="A79" s="2005" t="s">
        <v>37</v>
      </c>
      <c r="B79" s="1773" t="s">
        <v>1640</v>
      </c>
      <c r="C79" s="2008" t="s">
        <v>2</v>
      </c>
      <c r="D79" s="1997" t="s">
        <v>1641</v>
      </c>
      <c r="E79" s="1997" t="s">
        <v>116</v>
      </c>
      <c r="F79" s="1997" t="s">
        <v>1642</v>
      </c>
      <c r="G79" s="1997" t="s">
        <v>1643</v>
      </c>
      <c r="H79" s="1999" t="s">
        <v>1644</v>
      </c>
      <c r="I79" s="1999"/>
      <c r="J79" s="1999"/>
      <c r="K79" s="1999"/>
      <c r="L79" s="1999"/>
      <c r="M79" s="1999"/>
      <c r="N79" s="1999"/>
      <c r="O79" s="2000"/>
      <c r="P79" s="1248"/>
      <c r="Q79" s="2011" t="s">
        <v>1645</v>
      </c>
      <c r="R79" s="1999"/>
      <c r="S79" s="1999"/>
      <c r="T79" s="1999"/>
      <c r="U79" s="1999"/>
      <c r="V79" s="1999"/>
      <c r="W79" s="1999"/>
      <c r="X79" s="2012"/>
    </row>
    <row r="80" spans="1:24" ht="84" customHeight="1" x14ac:dyDescent="0.2">
      <c r="A80" s="2006"/>
      <c r="B80" s="1774"/>
      <c r="C80" s="2009"/>
      <c r="D80" s="1998"/>
      <c r="E80" s="1998"/>
      <c r="F80" s="1998"/>
      <c r="G80" s="1998"/>
      <c r="H80" s="941" t="s">
        <v>1667</v>
      </c>
      <c r="I80" s="942" t="s">
        <v>1647</v>
      </c>
      <c r="J80" s="941" t="s">
        <v>1718</v>
      </c>
      <c r="K80" s="941" t="s">
        <v>1649</v>
      </c>
      <c r="L80" s="941" t="s">
        <v>1650</v>
      </c>
      <c r="M80" s="941" t="s">
        <v>1651</v>
      </c>
      <c r="N80" s="941" t="s">
        <v>1652</v>
      </c>
      <c r="O80" s="942" t="s">
        <v>1653</v>
      </c>
      <c r="P80" s="944" t="s">
        <v>1654</v>
      </c>
      <c r="Q80" s="999" t="s">
        <v>1655</v>
      </c>
      <c r="R80" s="942" t="s">
        <v>1656</v>
      </c>
      <c r="S80" s="941" t="s">
        <v>1657</v>
      </c>
      <c r="T80" s="941" t="s">
        <v>1658</v>
      </c>
      <c r="U80" s="942" t="s">
        <v>1659</v>
      </c>
      <c r="V80" s="942" t="s">
        <v>1660</v>
      </c>
      <c r="W80" s="942" t="s">
        <v>1661</v>
      </c>
      <c r="X80" s="944" t="s">
        <v>1662</v>
      </c>
    </row>
    <row r="81" spans="1:24" ht="16.5" customHeight="1" x14ac:dyDescent="0.2">
      <c r="A81" s="2121" t="s">
        <v>266</v>
      </c>
      <c r="B81" s="2120" t="s">
        <v>274</v>
      </c>
      <c r="C81" s="2119" t="s">
        <v>2783</v>
      </c>
      <c r="D81" s="974" t="s">
        <v>1822</v>
      </c>
      <c r="E81" s="1011" t="s">
        <v>575</v>
      </c>
      <c r="F81" s="1011" t="s">
        <v>131</v>
      </c>
      <c r="G81" s="1340" t="s">
        <v>1752</v>
      </c>
      <c r="H81" s="1073">
        <v>-2146000</v>
      </c>
      <c r="I81" s="1073">
        <v>-197175</v>
      </c>
      <c r="J81" s="1073"/>
      <c r="K81" s="1073"/>
      <c r="L81" s="1073"/>
      <c r="M81" s="1073"/>
      <c r="N81" s="1073"/>
      <c r="O81" s="1073"/>
      <c r="P81" s="1075"/>
      <c r="Q81" s="1081"/>
      <c r="R81" s="1077"/>
      <c r="S81" s="1077"/>
      <c r="T81" s="1077"/>
      <c r="U81" s="1077"/>
      <c r="V81" s="1077"/>
      <c r="W81" s="1077"/>
      <c r="X81" s="1079"/>
    </row>
    <row r="82" spans="1:24" ht="16.5" customHeight="1" x14ac:dyDescent="0.2">
      <c r="A82" s="2115"/>
      <c r="B82" s="2113"/>
      <c r="C82" s="2111"/>
      <c r="D82" s="978" t="s">
        <v>1822</v>
      </c>
      <c r="E82" s="1000" t="s">
        <v>575</v>
      </c>
      <c r="F82" s="1000" t="s">
        <v>90</v>
      </c>
      <c r="G82" s="1088" t="s">
        <v>1754</v>
      </c>
      <c r="H82" s="1077">
        <f>1896000+250000</f>
        <v>2146000</v>
      </c>
      <c r="I82" s="1077">
        <v>197175</v>
      </c>
      <c r="J82" s="1077"/>
      <c r="K82" s="1077"/>
      <c r="L82" s="1077"/>
      <c r="M82" s="1077"/>
      <c r="N82" s="1077"/>
      <c r="O82" s="1077"/>
      <c r="P82" s="1079"/>
      <c r="Q82" s="1081"/>
      <c r="R82" s="1077"/>
      <c r="S82" s="1077"/>
      <c r="T82" s="1077"/>
      <c r="U82" s="1077"/>
      <c r="V82" s="1077"/>
      <c r="W82" s="1077"/>
      <c r="X82" s="1079"/>
    </row>
    <row r="83" spans="1:24" ht="31.5" customHeight="1" x14ac:dyDescent="0.2">
      <c r="A83" s="1504" t="s">
        <v>267</v>
      </c>
      <c r="B83" s="1503" t="s">
        <v>275</v>
      </c>
      <c r="C83" s="1502" t="s">
        <v>2840</v>
      </c>
      <c r="D83" s="978" t="s">
        <v>1822</v>
      </c>
      <c r="E83" s="1000" t="s">
        <v>575</v>
      </c>
      <c r="F83" s="1000" t="s">
        <v>132</v>
      </c>
      <c r="G83" s="1088" t="s">
        <v>1754</v>
      </c>
      <c r="H83" s="1077"/>
      <c r="I83" s="1077"/>
      <c r="J83" s="1077">
        <f>275591+74409</f>
        <v>350000</v>
      </c>
      <c r="K83" s="1077"/>
      <c r="L83" s="1077"/>
      <c r="M83" s="1077"/>
      <c r="N83" s="1077"/>
      <c r="O83" s="1077"/>
      <c r="P83" s="1079"/>
      <c r="Q83" s="1081">
        <v>350000</v>
      </c>
      <c r="R83" s="1077"/>
      <c r="S83" s="1077"/>
      <c r="T83" s="1077"/>
      <c r="U83" s="1077"/>
      <c r="V83" s="1077"/>
      <c r="W83" s="1077"/>
      <c r="X83" s="1079"/>
    </row>
    <row r="84" spans="1:24" ht="30" customHeight="1" x14ac:dyDescent="0.2">
      <c r="A84" s="1423" t="s">
        <v>268</v>
      </c>
      <c r="B84" s="1422" t="s">
        <v>276</v>
      </c>
      <c r="C84" s="952" t="s">
        <v>2853</v>
      </c>
      <c r="D84" s="978" t="s">
        <v>1822</v>
      </c>
      <c r="E84" s="1000" t="s">
        <v>575</v>
      </c>
      <c r="F84" s="1000" t="s">
        <v>90</v>
      </c>
      <c r="G84" s="1088" t="s">
        <v>1766</v>
      </c>
      <c r="H84" s="1077"/>
      <c r="I84" s="1077"/>
      <c r="J84" s="1077">
        <f>-300000+300000</f>
        <v>0</v>
      </c>
      <c r="K84" s="1077"/>
      <c r="L84" s="1077"/>
      <c r="M84" s="1077"/>
      <c r="N84" s="1077"/>
      <c r="O84" s="1077"/>
      <c r="P84" s="1079"/>
      <c r="Q84" s="1081"/>
      <c r="R84" s="1077"/>
      <c r="S84" s="1077"/>
      <c r="T84" s="1077"/>
      <c r="U84" s="1077"/>
      <c r="V84" s="1077"/>
      <c r="W84" s="1077"/>
      <c r="X84" s="1079"/>
    </row>
    <row r="85" spans="1:24" ht="30" customHeight="1" x14ac:dyDescent="0.2">
      <c r="A85" s="1423" t="s">
        <v>269</v>
      </c>
      <c r="B85" s="1422" t="s">
        <v>277</v>
      </c>
      <c r="C85" s="952" t="s">
        <v>2854</v>
      </c>
      <c r="D85" s="978" t="s">
        <v>1822</v>
      </c>
      <c r="E85" s="1000" t="s">
        <v>575</v>
      </c>
      <c r="F85" s="1000" t="s">
        <v>131</v>
      </c>
      <c r="G85" s="1088" t="s">
        <v>1754</v>
      </c>
      <c r="H85" s="1077"/>
      <c r="I85" s="1077"/>
      <c r="J85" s="1077">
        <f>1000000+270000</f>
        <v>1270000</v>
      </c>
      <c r="K85" s="1077"/>
      <c r="L85" s="1077"/>
      <c r="M85" s="1077"/>
      <c r="N85" s="1077"/>
      <c r="O85" s="1077"/>
      <c r="P85" s="1079"/>
      <c r="Q85" s="1081"/>
      <c r="R85" s="1077"/>
      <c r="S85" s="1077"/>
      <c r="T85" s="1077">
        <f>1000000+270000</f>
        <v>1270000</v>
      </c>
      <c r="U85" s="1077"/>
      <c r="V85" s="1077"/>
      <c r="W85" s="1077"/>
      <c r="X85" s="1079"/>
    </row>
    <row r="86" spans="1:24" ht="21" customHeight="1" x14ac:dyDescent="0.2">
      <c r="A86" s="2114" t="s">
        <v>270</v>
      </c>
      <c r="B86" s="2112" t="s">
        <v>278</v>
      </c>
      <c r="C86" s="2110" t="s">
        <v>2876</v>
      </c>
      <c r="D86" s="978" t="s">
        <v>1822</v>
      </c>
      <c r="E86" s="1000" t="s">
        <v>575</v>
      </c>
      <c r="F86" s="1000" t="s">
        <v>131</v>
      </c>
      <c r="G86" s="1088" t="s">
        <v>1752</v>
      </c>
      <c r="H86" s="1077">
        <v>-2146000</v>
      </c>
      <c r="I86" s="1077">
        <v>-246480</v>
      </c>
      <c r="J86" s="1077"/>
      <c r="K86" s="1077"/>
      <c r="L86" s="1077"/>
      <c r="M86" s="1077"/>
      <c r="N86" s="1077"/>
      <c r="O86" s="1077"/>
      <c r="P86" s="1079"/>
      <c r="Q86" s="1081"/>
      <c r="R86" s="1077"/>
      <c r="S86" s="1077"/>
      <c r="T86" s="1077"/>
      <c r="U86" s="1077"/>
      <c r="V86" s="1077"/>
      <c r="W86" s="1077"/>
      <c r="X86" s="1079"/>
    </row>
    <row r="87" spans="1:24" ht="21" customHeight="1" x14ac:dyDescent="0.2">
      <c r="A87" s="2115"/>
      <c r="B87" s="2113"/>
      <c r="C87" s="2111"/>
      <c r="D87" s="978" t="s">
        <v>1822</v>
      </c>
      <c r="E87" s="1000" t="s">
        <v>575</v>
      </c>
      <c r="F87" s="1000" t="s">
        <v>90</v>
      </c>
      <c r="G87" s="1088" t="s">
        <v>1754</v>
      </c>
      <c r="H87" s="1077">
        <f>1896000+250000</f>
        <v>2146000</v>
      </c>
      <c r="I87" s="1077">
        <v>246480</v>
      </c>
      <c r="J87" s="1077"/>
      <c r="K87" s="1077"/>
      <c r="L87" s="1077"/>
      <c r="M87" s="1077"/>
      <c r="N87" s="1077"/>
      <c r="O87" s="1077"/>
      <c r="P87" s="1079"/>
      <c r="Q87" s="1081"/>
      <c r="R87" s="1077"/>
      <c r="S87" s="1077"/>
      <c r="T87" s="1077"/>
      <c r="U87" s="1077"/>
      <c r="V87" s="1077"/>
      <c r="W87" s="1077"/>
      <c r="X87" s="1079"/>
    </row>
    <row r="88" spans="1:24" ht="22.5" customHeight="1" x14ac:dyDescent="0.2">
      <c r="A88" s="2114" t="s">
        <v>271</v>
      </c>
      <c r="B88" s="2112" t="s">
        <v>282</v>
      </c>
      <c r="C88" s="2110" t="s">
        <v>2973</v>
      </c>
      <c r="D88" s="978" t="s">
        <v>1822</v>
      </c>
      <c r="E88" s="1000" t="s">
        <v>575</v>
      </c>
      <c r="F88" s="1000" t="s">
        <v>90</v>
      </c>
      <c r="G88" s="1088" t="s">
        <v>1766</v>
      </c>
      <c r="H88" s="1077"/>
      <c r="I88" s="1077"/>
      <c r="J88" s="1077">
        <f>-500000+500000</f>
        <v>0</v>
      </c>
      <c r="K88" s="1077"/>
      <c r="L88" s="1077"/>
      <c r="M88" s="1077"/>
      <c r="N88" s="1077"/>
      <c r="O88" s="1077"/>
      <c r="P88" s="1079"/>
      <c r="Q88" s="1081"/>
      <c r="R88" s="1077"/>
      <c r="S88" s="1077"/>
      <c r="T88" s="1077"/>
      <c r="U88" s="1077"/>
      <c r="V88" s="1077"/>
      <c r="W88" s="1077"/>
      <c r="X88" s="1079"/>
    </row>
    <row r="89" spans="1:24" ht="22.5" customHeight="1" x14ac:dyDescent="0.2">
      <c r="A89" s="2115"/>
      <c r="B89" s="2113"/>
      <c r="C89" s="2111"/>
      <c r="D89" s="978" t="s">
        <v>1822</v>
      </c>
      <c r="E89" s="1000" t="s">
        <v>575</v>
      </c>
      <c r="F89" s="1000" t="s">
        <v>131</v>
      </c>
      <c r="G89" s="1088" t="s">
        <v>1766</v>
      </c>
      <c r="H89" s="1077"/>
      <c r="I89" s="1077"/>
      <c r="J89" s="1077">
        <f>-400000+400000</f>
        <v>0</v>
      </c>
      <c r="K89" s="1077"/>
      <c r="L89" s="1077"/>
      <c r="M89" s="1077"/>
      <c r="N89" s="1077"/>
      <c r="O89" s="1077"/>
      <c r="P89" s="1079"/>
      <c r="Q89" s="1081"/>
      <c r="R89" s="1077"/>
      <c r="S89" s="1077"/>
      <c r="T89" s="1077"/>
      <c r="U89" s="1077"/>
      <c r="V89" s="1077"/>
      <c r="W89" s="1077"/>
      <c r="X89" s="1079"/>
    </row>
    <row r="90" spans="1:24" ht="41.25" customHeight="1" x14ac:dyDescent="0.2">
      <c r="A90" s="1504" t="s">
        <v>272</v>
      </c>
      <c r="B90" s="1503" t="s">
        <v>283</v>
      </c>
      <c r="C90" s="1502" t="s">
        <v>2974</v>
      </c>
      <c r="D90" s="978" t="s">
        <v>1822</v>
      </c>
      <c r="E90" s="1000" t="s">
        <v>575</v>
      </c>
      <c r="F90" s="1000" t="s">
        <v>90</v>
      </c>
      <c r="G90" s="1088" t="s">
        <v>1766</v>
      </c>
      <c r="H90" s="1077"/>
      <c r="I90" s="1077"/>
      <c r="J90" s="1077">
        <f>-200000+200000</f>
        <v>0</v>
      </c>
      <c r="K90" s="1077"/>
      <c r="L90" s="1077"/>
      <c r="M90" s="1077"/>
      <c r="N90" s="1077"/>
      <c r="O90" s="1077"/>
      <c r="P90" s="1079"/>
      <c r="Q90" s="1081"/>
      <c r="R90" s="1077"/>
      <c r="S90" s="1077"/>
      <c r="T90" s="1077"/>
      <c r="U90" s="1077"/>
      <c r="V90" s="1077"/>
      <c r="W90" s="1077"/>
      <c r="X90" s="1079"/>
    </row>
    <row r="91" spans="1:24" ht="29.25" customHeight="1" x14ac:dyDescent="0.2">
      <c r="A91" s="1504" t="s">
        <v>273</v>
      </c>
      <c r="B91" s="1503" t="s">
        <v>284</v>
      </c>
      <c r="C91" s="1502" t="s">
        <v>2975</v>
      </c>
      <c r="D91" s="978" t="s">
        <v>1822</v>
      </c>
      <c r="E91" s="1000" t="s">
        <v>575</v>
      </c>
      <c r="F91" s="1000" t="s">
        <v>131</v>
      </c>
      <c r="G91" s="1088" t="s">
        <v>1766</v>
      </c>
      <c r="H91" s="1077"/>
      <c r="I91" s="1077"/>
      <c r="J91" s="1077"/>
      <c r="K91" s="1077"/>
      <c r="L91" s="1077"/>
      <c r="M91" s="1077">
        <f>-200000+200000</f>
        <v>0</v>
      </c>
      <c r="N91" s="1077"/>
      <c r="O91" s="1077"/>
      <c r="P91" s="1079"/>
      <c r="Q91" s="1081"/>
      <c r="R91" s="1077"/>
      <c r="S91" s="1077"/>
      <c r="T91" s="1077"/>
      <c r="U91" s="1077"/>
      <c r="V91" s="1077"/>
      <c r="W91" s="1077"/>
      <c r="X91" s="1079"/>
    </row>
    <row r="92" spans="1:24" x14ac:dyDescent="0.2">
      <c r="A92" s="1423"/>
      <c r="B92" s="1422"/>
      <c r="C92" s="952"/>
      <c r="D92" s="978"/>
      <c r="E92" s="1000"/>
      <c r="F92" s="1000"/>
      <c r="G92" s="1088"/>
      <c r="H92" s="1077"/>
      <c r="I92" s="1077"/>
      <c r="J92" s="1077"/>
      <c r="K92" s="1077"/>
      <c r="L92" s="1077"/>
      <c r="M92" s="1077"/>
      <c r="N92" s="1077"/>
      <c r="O92" s="1077"/>
      <c r="P92" s="1079"/>
      <c r="Q92" s="1081"/>
      <c r="R92" s="1077"/>
      <c r="S92" s="1077"/>
      <c r="T92" s="1077"/>
      <c r="U92" s="1077"/>
      <c r="V92" s="1077"/>
      <c r="W92" s="1077"/>
      <c r="X92" s="1079"/>
    </row>
    <row r="93" spans="1:24" ht="18.75" x14ac:dyDescent="0.3">
      <c r="A93" s="2125" t="s">
        <v>1663</v>
      </c>
      <c r="B93" s="2126"/>
      <c r="C93" s="2127"/>
      <c r="D93" s="956"/>
      <c r="E93" s="956"/>
      <c r="F93" s="956"/>
      <c r="G93" s="956"/>
      <c r="H93" s="1595">
        <f t="shared" ref="H93:X93" si="2">SUM(H81:H92)+H60</f>
        <v>9264214</v>
      </c>
      <c r="I93" s="1595">
        <f t="shared" si="2"/>
        <v>1208870</v>
      </c>
      <c r="J93" s="1595">
        <f t="shared" si="2"/>
        <v>3379840</v>
      </c>
      <c r="K93" s="1595">
        <f t="shared" si="2"/>
        <v>0</v>
      </c>
      <c r="L93" s="1595">
        <f t="shared" si="2"/>
        <v>11154291</v>
      </c>
      <c r="M93" s="1595">
        <f t="shared" si="2"/>
        <v>457200</v>
      </c>
      <c r="N93" s="1595">
        <f t="shared" si="2"/>
        <v>0</v>
      </c>
      <c r="O93" s="1595">
        <f t="shared" si="2"/>
        <v>0</v>
      </c>
      <c r="P93" s="1596">
        <f t="shared" si="2"/>
        <v>0</v>
      </c>
      <c r="Q93" s="1597">
        <f t="shared" si="2"/>
        <v>350000</v>
      </c>
      <c r="R93" s="1595">
        <f t="shared" si="2"/>
        <v>0</v>
      </c>
      <c r="S93" s="1595">
        <f t="shared" si="2"/>
        <v>0</v>
      </c>
      <c r="T93" s="1595">
        <f t="shared" si="2"/>
        <v>1681874</v>
      </c>
      <c r="U93" s="1595">
        <f t="shared" si="2"/>
        <v>0</v>
      </c>
      <c r="V93" s="1595">
        <f t="shared" si="2"/>
        <v>0</v>
      </c>
      <c r="W93" s="1595">
        <f t="shared" si="2"/>
        <v>0</v>
      </c>
      <c r="X93" s="1596">
        <f t="shared" si="2"/>
        <v>23432541</v>
      </c>
    </row>
    <row r="94" spans="1:24" ht="15.75" customHeight="1" x14ac:dyDescent="0.2">
      <c r="A94" s="314"/>
      <c r="B94" s="314"/>
      <c r="C94" s="314"/>
      <c r="D94" s="314"/>
      <c r="E94" s="314"/>
      <c r="F94" s="314"/>
      <c r="G94" s="314"/>
      <c r="H94" s="1064"/>
      <c r="I94" s="1064"/>
      <c r="J94" s="1064"/>
      <c r="K94" s="1064"/>
      <c r="L94" s="1064"/>
      <c r="M94" s="1064"/>
      <c r="N94" s="1064"/>
      <c r="O94" s="1064"/>
      <c r="P94" s="1064"/>
      <c r="Q94" s="1064"/>
      <c r="R94" s="1064"/>
      <c r="S94" s="1064"/>
      <c r="T94" s="1064"/>
      <c r="U94" s="1064"/>
      <c r="V94" s="1064"/>
      <c r="W94" s="1064"/>
      <c r="X94" s="1064"/>
    </row>
    <row r="95" spans="1:24" ht="15.75" customHeight="1" x14ac:dyDescent="0.2">
      <c r="A95" s="314"/>
      <c r="B95" s="314"/>
      <c r="C95" s="314"/>
      <c r="D95" s="314"/>
      <c r="E95" s="314"/>
      <c r="F95" s="314"/>
      <c r="G95" s="314"/>
      <c r="H95" s="1064"/>
      <c r="I95" s="1064"/>
      <c r="J95" s="1064"/>
      <c r="K95" s="1064"/>
      <c r="L95" s="1064"/>
      <c r="M95" s="1064"/>
      <c r="N95" s="1064"/>
      <c r="O95" s="1064"/>
      <c r="P95" s="1064"/>
      <c r="Q95" s="1064"/>
      <c r="R95" s="1064"/>
      <c r="S95" s="1064"/>
      <c r="T95" s="1064"/>
      <c r="U95" s="1064"/>
      <c r="V95" s="1064"/>
      <c r="W95" s="1064"/>
      <c r="X95" s="1064"/>
    </row>
    <row r="96" spans="1:24" x14ac:dyDescent="0.2">
      <c r="A96" s="314"/>
      <c r="B96" s="314"/>
      <c r="C96" s="314"/>
      <c r="D96" s="314"/>
      <c r="E96" s="314"/>
      <c r="F96" s="314"/>
      <c r="G96" s="314"/>
      <c r="H96" s="314"/>
      <c r="I96" s="314"/>
      <c r="J96" s="314"/>
      <c r="K96" s="314"/>
      <c r="L96" s="314"/>
      <c r="M96" s="314"/>
      <c r="N96" s="314"/>
      <c r="O96" s="314"/>
      <c r="P96" s="314"/>
      <c r="Q96" s="314"/>
      <c r="R96" s="314"/>
      <c r="S96" s="314"/>
      <c r="T96" s="314"/>
      <c r="U96" s="314"/>
      <c r="V96" s="314"/>
      <c r="W96" s="314"/>
      <c r="X96" s="314"/>
    </row>
    <row r="97" spans="1:24" x14ac:dyDescent="0.2">
      <c r="A97" s="314"/>
      <c r="B97" s="314"/>
      <c r="C97" s="314"/>
      <c r="D97" s="314"/>
      <c r="E97" s="314"/>
      <c r="F97" s="314"/>
      <c r="G97" s="314"/>
      <c r="H97" s="314"/>
      <c r="I97" s="314"/>
      <c r="J97" s="314"/>
      <c r="K97" s="314"/>
      <c r="L97" s="314"/>
      <c r="M97" s="314"/>
      <c r="N97" s="314"/>
      <c r="O97" s="314"/>
      <c r="P97" s="314"/>
      <c r="Q97" s="314"/>
      <c r="R97" s="314"/>
      <c r="S97" s="314"/>
      <c r="T97" s="314"/>
      <c r="U97" s="314"/>
      <c r="V97" s="314"/>
      <c r="W97" s="314"/>
      <c r="X97" s="314"/>
    </row>
    <row r="98" spans="1:24" ht="21.75" customHeight="1" x14ac:dyDescent="0.2">
      <c r="A98" s="314"/>
      <c r="B98" s="314"/>
      <c r="C98" s="314"/>
      <c r="D98" s="314"/>
      <c r="E98" s="314"/>
      <c r="F98" s="314"/>
      <c r="G98" s="314"/>
      <c r="H98" s="314"/>
      <c r="I98" s="2042" t="s">
        <v>1664</v>
      </c>
      <c r="J98" s="2042"/>
      <c r="K98" s="2042"/>
      <c r="L98" s="2042">
        <v>147636479</v>
      </c>
      <c r="M98" s="2042"/>
      <c r="N98" s="996"/>
      <c r="O98" s="996"/>
      <c r="P98" s="996"/>
      <c r="Q98" s="996"/>
      <c r="R98" s="2042" t="s">
        <v>1665</v>
      </c>
      <c r="S98" s="2042"/>
      <c r="T98" s="2042"/>
      <c r="U98" s="2042">
        <v>147636479</v>
      </c>
      <c r="V98" s="2042"/>
      <c r="W98" s="314"/>
      <c r="X98" s="314"/>
    </row>
    <row r="99" spans="1:24" ht="20.25" customHeight="1" x14ac:dyDescent="0.2">
      <c r="A99" s="314"/>
      <c r="B99" s="314"/>
      <c r="C99" s="314"/>
      <c r="D99" s="314"/>
      <c r="E99" s="314"/>
      <c r="F99" s="314"/>
      <c r="G99" s="314"/>
      <c r="H99" s="314"/>
      <c r="I99" s="2042" t="s">
        <v>1666</v>
      </c>
      <c r="J99" s="2042"/>
      <c r="K99" s="2042"/>
      <c r="L99" s="2042">
        <f>SUM(H93:P93)</f>
        <v>25464415</v>
      </c>
      <c r="M99" s="2042"/>
      <c r="N99" s="996"/>
      <c r="O99" s="996"/>
      <c r="P99" s="996"/>
      <c r="Q99" s="996"/>
      <c r="R99" s="2042" t="s">
        <v>1666</v>
      </c>
      <c r="S99" s="2042"/>
      <c r="T99" s="2042"/>
      <c r="U99" s="2042">
        <f>SUM(Q93:X93)</f>
        <v>25464415</v>
      </c>
      <c r="V99" s="2042"/>
      <c r="W99" s="314"/>
      <c r="X99" s="314"/>
    </row>
    <row r="100" spans="1:24" ht="22.5" customHeight="1" x14ac:dyDescent="0.2">
      <c r="A100" s="314"/>
      <c r="B100" s="314"/>
      <c r="C100" s="314"/>
      <c r="D100" s="314"/>
      <c r="E100" s="314"/>
      <c r="F100" s="314"/>
      <c r="G100" s="314"/>
      <c r="H100" s="314"/>
      <c r="I100" s="2042" t="s">
        <v>1512</v>
      </c>
      <c r="J100" s="2042"/>
      <c r="K100" s="2042"/>
      <c r="L100" s="2042">
        <f>+L98+L99</f>
        <v>173100894</v>
      </c>
      <c r="M100" s="2042"/>
      <c r="N100" s="996"/>
      <c r="O100" s="996"/>
      <c r="P100" s="996"/>
      <c r="Q100" s="996"/>
      <c r="R100" s="2042" t="s">
        <v>1512</v>
      </c>
      <c r="S100" s="2042"/>
      <c r="T100" s="2042"/>
      <c r="U100" s="2042">
        <f>+U98+U99</f>
        <v>173100894</v>
      </c>
      <c r="V100" s="2042"/>
      <c r="W100" s="314"/>
      <c r="X100" s="314"/>
    </row>
    <row r="101" spans="1:24" x14ac:dyDescent="0.2">
      <c r="A101" s="314"/>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row>
    <row r="102" spans="1:24" x14ac:dyDescent="0.2">
      <c r="A102" s="314"/>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row>
    <row r="103" spans="1:24" x14ac:dyDescent="0.2">
      <c r="A103" s="314"/>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row>
    <row r="104" spans="1:24" x14ac:dyDescent="0.2">
      <c r="A104" s="314"/>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row>
    <row r="105" spans="1:24" x14ac:dyDescent="0.2">
      <c r="A105" s="314"/>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row>
    <row r="106" spans="1:24" ht="15.75" x14ac:dyDescent="0.25">
      <c r="A106" s="2010" t="s">
        <v>3372</v>
      </c>
      <c r="B106" s="2010"/>
      <c r="C106" s="2010"/>
      <c r="D106" s="2010"/>
      <c r="E106" s="2010"/>
      <c r="F106" s="2010"/>
      <c r="G106" s="2010"/>
      <c r="H106" s="2010"/>
      <c r="I106" s="2010"/>
      <c r="J106" s="2010"/>
      <c r="K106" s="2010"/>
      <c r="L106" s="2010"/>
      <c r="M106" s="2010"/>
      <c r="N106" s="2010"/>
      <c r="O106" s="2010"/>
      <c r="P106" s="2010"/>
      <c r="Q106" s="2010"/>
      <c r="R106" s="2010"/>
      <c r="S106" s="2010"/>
      <c r="T106" s="2010"/>
      <c r="U106" s="2010"/>
      <c r="V106" s="2010"/>
      <c r="W106" s="2010"/>
      <c r="X106" s="2010"/>
    </row>
    <row r="107" spans="1:24" ht="15" x14ac:dyDescent="0.25">
      <c r="A107" s="1069"/>
      <c r="B107" s="1069"/>
      <c r="C107" s="1070"/>
      <c r="D107" s="1071"/>
      <c r="E107" s="1071"/>
      <c r="F107" s="1071"/>
      <c r="G107" s="1071"/>
      <c r="H107" s="1071"/>
      <c r="I107" s="1071"/>
      <c r="J107" s="1071"/>
      <c r="K107" s="1071"/>
      <c r="L107" s="1071"/>
      <c r="M107" s="1071"/>
      <c r="N107" s="1071"/>
      <c r="O107" s="1071"/>
      <c r="P107" s="1071"/>
      <c r="Q107" s="1071"/>
      <c r="R107" s="1071"/>
      <c r="S107" s="1071"/>
      <c r="T107" s="1071"/>
      <c r="U107" s="1071"/>
      <c r="V107" s="1071"/>
      <c r="W107" s="1071"/>
      <c r="X107" s="1071"/>
    </row>
    <row r="108" spans="1:24" ht="15" x14ac:dyDescent="0.25">
      <c r="A108" s="2118" t="s">
        <v>1723</v>
      </c>
      <c r="B108" s="2118"/>
      <c r="C108" s="2118"/>
      <c r="D108" s="2118"/>
      <c r="E108" s="2118"/>
      <c r="F108" s="2118"/>
      <c r="G108" s="2118"/>
      <c r="H108" s="2118"/>
      <c r="I108" s="2118"/>
      <c r="J108" s="2118"/>
      <c r="K108" s="2118"/>
      <c r="L108" s="2118"/>
      <c r="M108" s="2118"/>
      <c r="N108" s="2118"/>
      <c r="O108" s="2118"/>
      <c r="P108" s="2118"/>
      <c r="Q108" s="2118"/>
      <c r="R108" s="2118"/>
      <c r="S108" s="2118"/>
      <c r="T108" s="2118"/>
      <c r="U108" s="2118"/>
      <c r="V108" s="2118"/>
      <c r="W108" s="2118"/>
      <c r="X108" s="2118"/>
    </row>
    <row r="109" spans="1:24" x14ac:dyDescent="0.2">
      <c r="A109" s="314"/>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row>
    <row r="110" spans="1:24" x14ac:dyDescent="0.2">
      <c r="A110" s="314"/>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row>
    <row r="111" spans="1:24" ht="15" customHeight="1" x14ac:dyDescent="0.25">
      <c r="A111" s="2005" t="s">
        <v>37</v>
      </c>
      <c r="B111" s="1773" t="s">
        <v>1640</v>
      </c>
      <c r="C111" s="2008" t="s">
        <v>2</v>
      </c>
      <c r="D111" s="1997" t="s">
        <v>1641</v>
      </c>
      <c r="E111" s="1997" t="s">
        <v>116</v>
      </c>
      <c r="F111" s="1997" t="s">
        <v>1642</v>
      </c>
      <c r="G111" s="1997" t="s">
        <v>1643</v>
      </c>
      <c r="H111" s="1999" t="s">
        <v>1644</v>
      </c>
      <c r="I111" s="1999"/>
      <c r="J111" s="1999"/>
      <c r="K111" s="1999"/>
      <c r="L111" s="1999"/>
      <c r="M111" s="1999"/>
      <c r="N111" s="1999"/>
      <c r="O111" s="2000"/>
      <c r="P111" s="1248"/>
      <c r="Q111" s="2011" t="s">
        <v>1645</v>
      </c>
      <c r="R111" s="1999"/>
      <c r="S111" s="1999"/>
      <c r="T111" s="1999"/>
      <c r="U111" s="1999"/>
      <c r="V111" s="1999"/>
      <c r="W111" s="1999"/>
      <c r="X111" s="2012"/>
    </row>
    <row r="112" spans="1:24" ht="80.25" customHeight="1" x14ac:dyDescent="0.2">
      <c r="A112" s="2006"/>
      <c r="B112" s="1774"/>
      <c r="C112" s="2009"/>
      <c r="D112" s="1998"/>
      <c r="E112" s="1998"/>
      <c r="F112" s="1998"/>
      <c r="G112" s="1998"/>
      <c r="H112" s="941" t="s">
        <v>1667</v>
      </c>
      <c r="I112" s="942" t="s">
        <v>1647</v>
      </c>
      <c r="J112" s="941" t="s">
        <v>1718</v>
      </c>
      <c r="K112" s="941" t="s">
        <v>1649</v>
      </c>
      <c r="L112" s="941" t="s">
        <v>1650</v>
      </c>
      <c r="M112" s="941" t="s">
        <v>1651</v>
      </c>
      <c r="N112" s="941" t="s">
        <v>1652</v>
      </c>
      <c r="O112" s="942" t="s">
        <v>1653</v>
      </c>
      <c r="P112" s="944" t="s">
        <v>1654</v>
      </c>
      <c r="Q112" s="999" t="s">
        <v>1655</v>
      </c>
      <c r="R112" s="942" t="s">
        <v>1656</v>
      </c>
      <c r="S112" s="941" t="s">
        <v>1657</v>
      </c>
      <c r="T112" s="941" t="s">
        <v>1658</v>
      </c>
      <c r="U112" s="942" t="s">
        <v>1659</v>
      </c>
      <c r="V112" s="942" t="s">
        <v>1660</v>
      </c>
      <c r="W112" s="942" t="s">
        <v>1661</v>
      </c>
      <c r="X112" s="944" t="s">
        <v>1662</v>
      </c>
    </row>
    <row r="113" spans="1:24" ht="20.25" customHeight="1" x14ac:dyDescent="0.2">
      <c r="A113" s="2121" t="s">
        <v>274</v>
      </c>
      <c r="B113" s="2120" t="s">
        <v>285</v>
      </c>
      <c r="C113" s="2119" t="s">
        <v>3086</v>
      </c>
      <c r="D113" s="974" t="s">
        <v>1822</v>
      </c>
      <c r="E113" s="1011" t="s">
        <v>575</v>
      </c>
      <c r="F113" s="1011" t="s">
        <v>131</v>
      </c>
      <c r="G113" s="1340" t="s">
        <v>1766</v>
      </c>
      <c r="H113" s="1073">
        <f>-6071000+2400000</f>
        <v>-3671000</v>
      </c>
      <c r="I113" s="1073">
        <v>-493480</v>
      </c>
      <c r="J113" s="1073"/>
      <c r="K113" s="1073"/>
      <c r="L113" s="1073"/>
      <c r="M113" s="1073"/>
      <c r="N113" s="1073"/>
      <c r="O113" s="1073"/>
      <c r="P113" s="1075"/>
      <c r="Q113" s="1081"/>
      <c r="R113" s="1077"/>
      <c r="S113" s="1077"/>
      <c r="T113" s="1077"/>
      <c r="U113" s="1077"/>
      <c r="V113" s="1077"/>
      <c r="W113" s="1077"/>
      <c r="X113" s="1079"/>
    </row>
    <row r="114" spans="1:24" ht="20.25" customHeight="1" x14ac:dyDescent="0.2">
      <c r="A114" s="2115"/>
      <c r="B114" s="2113"/>
      <c r="C114" s="2111"/>
      <c r="D114" s="978" t="s">
        <v>1822</v>
      </c>
      <c r="E114" s="1000" t="s">
        <v>575</v>
      </c>
      <c r="F114" s="1000" t="s">
        <v>90</v>
      </c>
      <c r="G114" s="1088" t="s">
        <v>1754</v>
      </c>
      <c r="H114" s="1077">
        <f>1896000+1525000+250000</f>
        <v>3671000</v>
      </c>
      <c r="I114" s="1077">
        <v>493480</v>
      </c>
      <c r="J114" s="1077"/>
      <c r="K114" s="1077"/>
      <c r="L114" s="1077"/>
      <c r="M114" s="1077"/>
      <c r="N114" s="1077"/>
      <c r="O114" s="1077"/>
      <c r="P114" s="1079"/>
      <c r="Q114" s="1081"/>
      <c r="R114" s="1077"/>
      <c r="S114" s="1077"/>
      <c r="T114" s="1077"/>
      <c r="U114" s="1077"/>
      <c r="V114" s="1077"/>
      <c r="W114" s="1077"/>
      <c r="X114" s="1079"/>
    </row>
    <row r="115" spans="1:24" ht="28.5" customHeight="1" x14ac:dyDescent="0.2">
      <c r="A115" s="1423" t="s">
        <v>275</v>
      </c>
      <c r="B115" s="1422" t="s">
        <v>286</v>
      </c>
      <c r="C115" s="952" t="s">
        <v>3160</v>
      </c>
      <c r="D115" s="978" t="s">
        <v>1822</v>
      </c>
      <c r="E115" s="1000" t="s">
        <v>575</v>
      </c>
      <c r="F115" s="1000" t="s">
        <v>90</v>
      </c>
      <c r="G115" s="1088" t="s">
        <v>1766</v>
      </c>
      <c r="H115" s="1077"/>
      <c r="I115" s="1077"/>
      <c r="J115" s="1077"/>
      <c r="K115" s="1077"/>
      <c r="L115" s="1077"/>
      <c r="M115" s="1077">
        <f>-50744+50744</f>
        <v>0</v>
      </c>
      <c r="N115" s="1077"/>
      <c r="O115" s="1077"/>
      <c r="P115" s="1079"/>
      <c r="Q115" s="1081"/>
      <c r="R115" s="1077"/>
      <c r="S115" s="1077"/>
      <c r="T115" s="1077"/>
      <c r="U115" s="1077"/>
      <c r="V115" s="1077"/>
      <c r="W115" s="1077"/>
      <c r="X115" s="1079"/>
    </row>
    <row r="116" spans="1:24" ht="30" customHeight="1" x14ac:dyDescent="0.2">
      <c r="A116" s="1423" t="s">
        <v>276</v>
      </c>
      <c r="B116" s="1422" t="s">
        <v>287</v>
      </c>
      <c r="C116" s="952" t="s">
        <v>3165</v>
      </c>
      <c r="D116" s="978" t="s">
        <v>1822</v>
      </c>
      <c r="E116" s="1000" t="s">
        <v>575</v>
      </c>
      <c r="F116" s="1000" t="s">
        <v>131</v>
      </c>
      <c r="G116" s="1088" t="s">
        <v>1754</v>
      </c>
      <c r="H116" s="1077"/>
      <c r="I116" s="1077"/>
      <c r="J116" s="1077">
        <v>428120</v>
      </c>
      <c r="K116" s="1077"/>
      <c r="L116" s="1077"/>
      <c r="M116" s="1077"/>
      <c r="N116" s="1077"/>
      <c r="O116" s="1077"/>
      <c r="P116" s="1079"/>
      <c r="Q116" s="1081"/>
      <c r="R116" s="1077"/>
      <c r="S116" s="1077"/>
      <c r="T116" s="1077">
        <v>428120</v>
      </c>
      <c r="U116" s="1077"/>
      <c r="V116" s="1077"/>
      <c r="W116" s="1077"/>
      <c r="X116" s="1079"/>
    </row>
    <row r="117" spans="1:24" ht="30.75" customHeight="1" x14ac:dyDescent="0.2">
      <c r="A117" s="1423" t="s">
        <v>277</v>
      </c>
      <c r="B117" s="1422" t="s">
        <v>288</v>
      </c>
      <c r="C117" s="952" t="s">
        <v>3166</v>
      </c>
      <c r="D117" s="978" t="s">
        <v>1822</v>
      </c>
      <c r="E117" s="1000" t="s">
        <v>575</v>
      </c>
      <c r="F117" s="1000" t="s">
        <v>131</v>
      </c>
      <c r="G117" s="1088" t="s">
        <v>1766</v>
      </c>
      <c r="H117" s="1077">
        <f>-374949+374949</f>
        <v>0</v>
      </c>
      <c r="I117" s="1077"/>
      <c r="J117" s="1077"/>
      <c r="K117" s="1077"/>
      <c r="L117" s="1077"/>
      <c r="M117" s="1077"/>
      <c r="N117" s="1077"/>
      <c r="O117" s="1077"/>
      <c r="P117" s="1079"/>
      <c r="Q117" s="1081"/>
      <c r="R117" s="1077"/>
      <c r="S117" s="1077"/>
      <c r="T117" s="1077"/>
      <c r="U117" s="1077"/>
      <c r="V117" s="1077"/>
      <c r="W117" s="1077"/>
      <c r="X117" s="1079"/>
    </row>
    <row r="118" spans="1:24" ht="30.75" customHeight="1" x14ac:dyDescent="0.2">
      <c r="A118" s="1423" t="s">
        <v>278</v>
      </c>
      <c r="B118" s="1422" t="s">
        <v>289</v>
      </c>
      <c r="C118" s="952" t="s">
        <v>3167</v>
      </c>
      <c r="D118" s="978" t="s">
        <v>1822</v>
      </c>
      <c r="E118" s="1000" t="s">
        <v>575</v>
      </c>
      <c r="F118" s="1000" t="s">
        <v>131</v>
      </c>
      <c r="G118" s="1088" t="s">
        <v>1766</v>
      </c>
      <c r="H118" s="1077"/>
      <c r="I118" s="1077"/>
      <c r="J118" s="1077"/>
      <c r="K118" s="1077"/>
      <c r="L118" s="1077"/>
      <c r="M118" s="1077">
        <f>-19685+19685</f>
        <v>0</v>
      </c>
      <c r="N118" s="1077"/>
      <c r="O118" s="1077"/>
      <c r="P118" s="1079"/>
      <c r="Q118" s="1081"/>
      <c r="R118" s="1077"/>
      <c r="S118" s="1077"/>
      <c r="T118" s="1077"/>
      <c r="U118" s="1077"/>
      <c r="V118" s="1077"/>
      <c r="W118" s="1077"/>
      <c r="X118" s="1079"/>
    </row>
    <row r="119" spans="1:24" ht="42.75" customHeight="1" x14ac:dyDescent="0.2">
      <c r="A119" s="1423" t="s">
        <v>282</v>
      </c>
      <c r="B119" s="1422" t="s">
        <v>290</v>
      </c>
      <c r="C119" s="952" t="s">
        <v>3168</v>
      </c>
      <c r="D119" s="978" t="s">
        <v>1822</v>
      </c>
      <c r="E119" s="1000" t="s">
        <v>575</v>
      </c>
      <c r="F119" s="1000" t="s">
        <v>90</v>
      </c>
      <c r="G119" s="1088" t="s">
        <v>1754</v>
      </c>
      <c r="H119" s="1077"/>
      <c r="I119" s="1077"/>
      <c r="J119" s="1077">
        <v>4</v>
      </c>
      <c r="K119" s="1077"/>
      <c r="L119" s="1077"/>
      <c r="M119" s="1077"/>
      <c r="N119" s="1077"/>
      <c r="O119" s="1077"/>
      <c r="P119" s="1079"/>
      <c r="Q119" s="1081"/>
      <c r="R119" s="1077"/>
      <c r="S119" s="1077"/>
      <c r="T119" s="1077">
        <v>4</v>
      </c>
      <c r="U119" s="1077"/>
      <c r="V119" s="1077"/>
      <c r="W119" s="1077"/>
      <c r="X119" s="1079"/>
    </row>
    <row r="120" spans="1:24" ht="18" customHeight="1" x14ac:dyDescent="0.2">
      <c r="A120" s="2114" t="s">
        <v>283</v>
      </c>
      <c r="B120" s="2112" t="s">
        <v>3199</v>
      </c>
      <c r="C120" s="2110" t="s">
        <v>3200</v>
      </c>
      <c r="D120" s="978" t="s">
        <v>1822</v>
      </c>
      <c r="E120" s="1000" t="s">
        <v>1297</v>
      </c>
      <c r="F120" s="1000" t="s">
        <v>127</v>
      </c>
      <c r="G120" s="1088" t="s">
        <v>1754</v>
      </c>
      <c r="H120" s="1077"/>
      <c r="I120" s="1077"/>
      <c r="J120" s="1077"/>
      <c r="K120" s="1077"/>
      <c r="L120" s="1077"/>
      <c r="M120" s="1077"/>
      <c r="N120" s="1077"/>
      <c r="O120" s="1077"/>
      <c r="P120" s="1079"/>
      <c r="Q120" s="1081"/>
      <c r="R120" s="1077"/>
      <c r="S120" s="1077"/>
      <c r="T120" s="1077"/>
      <c r="U120" s="1077"/>
      <c r="V120" s="1077"/>
      <c r="W120" s="1077"/>
      <c r="X120" s="1079">
        <v>647700</v>
      </c>
    </row>
    <row r="121" spans="1:24" ht="18" customHeight="1" x14ac:dyDescent="0.2">
      <c r="A121" s="2115"/>
      <c r="B121" s="2113"/>
      <c r="C121" s="2111"/>
      <c r="D121" s="978" t="s">
        <v>1822</v>
      </c>
      <c r="E121" s="1000" t="s">
        <v>575</v>
      </c>
      <c r="F121" s="1000" t="s">
        <v>90</v>
      </c>
      <c r="G121" s="1088" t="s">
        <v>1754</v>
      </c>
      <c r="H121" s="1077"/>
      <c r="I121" s="1077"/>
      <c r="J121" s="1077">
        <f>510000+137700</f>
        <v>647700</v>
      </c>
      <c r="K121" s="1077"/>
      <c r="L121" s="1077"/>
      <c r="M121" s="1077"/>
      <c r="N121" s="1077"/>
      <c r="O121" s="1077"/>
      <c r="P121" s="1079"/>
      <c r="Q121" s="1081"/>
      <c r="R121" s="1077"/>
      <c r="S121" s="1077"/>
      <c r="T121" s="1077"/>
      <c r="U121" s="1077"/>
      <c r="V121" s="1077"/>
      <c r="W121" s="1077"/>
      <c r="X121" s="1079"/>
    </row>
    <row r="122" spans="1:24" ht="18" customHeight="1" x14ac:dyDescent="0.2">
      <c r="A122" s="2114" t="s">
        <v>284</v>
      </c>
      <c r="B122" s="2112" t="s">
        <v>293</v>
      </c>
      <c r="C122" s="2110" t="s">
        <v>3241</v>
      </c>
      <c r="D122" s="978" t="s">
        <v>1822</v>
      </c>
      <c r="E122" s="1000" t="s">
        <v>575</v>
      </c>
      <c r="F122" s="1000" t="s">
        <v>131</v>
      </c>
      <c r="G122" s="1088" t="s">
        <v>1766</v>
      </c>
      <c r="H122" s="1077">
        <f>-3240941+494941</f>
        <v>-2746000</v>
      </c>
      <c r="I122" s="1077">
        <v>-246480</v>
      </c>
      <c r="J122" s="1077"/>
      <c r="K122" s="1077"/>
      <c r="L122" s="1077"/>
      <c r="M122" s="1077"/>
      <c r="N122" s="1077"/>
      <c r="O122" s="1077"/>
      <c r="P122" s="1079"/>
      <c r="Q122" s="1081"/>
      <c r="R122" s="1077"/>
      <c r="S122" s="1077"/>
      <c r="T122" s="1077"/>
      <c r="U122" s="1077"/>
      <c r="V122" s="1077"/>
      <c r="W122" s="1077"/>
      <c r="X122" s="1079"/>
    </row>
    <row r="123" spans="1:24" ht="18" customHeight="1" x14ac:dyDescent="0.2">
      <c r="A123" s="2115"/>
      <c r="B123" s="2113"/>
      <c r="C123" s="2111"/>
      <c r="D123" s="978" t="s">
        <v>1822</v>
      </c>
      <c r="E123" s="1000" t="s">
        <v>575</v>
      </c>
      <c r="F123" s="1000" t="s">
        <v>90</v>
      </c>
      <c r="G123" s="1088" t="s">
        <v>1754</v>
      </c>
      <c r="H123" s="1077">
        <f>1896000+850000</f>
        <v>2746000</v>
      </c>
      <c r="I123" s="1077">
        <v>246480</v>
      </c>
      <c r="J123" s="1077"/>
      <c r="K123" s="1077"/>
      <c r="L123" s="1077"/>
      <c r="M123" s="1077"/>
      <c r="N123" s="1077"/>
      <c r="O123" s="1077"/>
      <c r="P123" s="1079"/>
      <c r="Q123" s="1081"/>
      <c r="R123" s="1077"/>
      <c r="S123" s="1077"/>
      <c r="T123" s="1077"/>
      <c r="U123" s="1077"/>
      <c r="V123" s="1077"/>
      <c r="W123" s="1077"/>
      <c r="X123" s="1079"/>
    </row>
    <row r="124" spans="1:24" ht="39" customHeight="1" x14ac:dyDescent="0.2">
      <c r="A124" s="1504" t="s">
        <v>285</v>
      </c>
      <c r="B124" s="1503" t="s">
        <v>3299</v>
      </c>
      <c r="C124" s="1502" t="s">
        <v>3300</v>
      </c>
      <c r="D124" s="978" t="s">
        <v>1822</v>
      </c>
      <c r="E124" s="1000" t="s">
        <v>575</v>
      </c>
      <c r="F124" s="1000" t="s">
        <v>90</v>
      </c>
      <c r="G124" s="1088" t="s">
        <v>1766</v>
      </c>
      <c r="H124" s="1077"/>
      <c r="I124" s="1077"/>
      <c r="J124" s="1077">
        <f>-510000-137700</f>
        <v>-647700</v>
      </c>
      <c r="K124" s="1077"/>
      <c r="L124" s="1077"/>
      <c r="M124" s="1077">
        <f>510000+137700</f>
        <v>647700</v>
      </c>
      <c r="N124" s="1077"/>
      <c r="O124" s="1077"/>
      <c r="P124" s="1079"/>
      <c r="Q124" s="1081"/>
      <c r="R124" s="1077"/>
      <c r="S124" s="1077"/>
      <c r="T124" s="1077"/>
      <c r="U124" s="1077"/>
      <c r="V124" s="1077"/>
      <c r="W124" s="1077"/>
      <c r="X124" s="1079"/>
    </row>
    <row r="125" spans="1:24" ht="42" customHeight="1" x14ac:dyDescent="0.2">
      <c r="A125" s="1504" t="s">
        <v>286</v>
      </c>
      <c r="B125" s="1503" t="s">
        <v>3338</v>
      </c>
      <c r="C125" s="1502" t="s">
        <v>3337</v>
      </c>
      <c r="D125" s="978" t="s">
        <v>1822</v>
      </c>
      <c r="E125" s="1000" t="s">
        <v>575</v>
      </c>
      <c r="F125" s="1000" t="s">
        <v>90</v>
      </c>
      <c r="G125" s="1088" t="s">
        <v>1766</v>
      </c>
      <c r="H125" s="1077"/>
      <c r="I125" s="1077"/>
      <c r="J125" s="1077"/>
      <c r="K125" s="1077"/>
      <c r="L125" s="1077"/>
      <c r="M125" s="1077">
        <f>-27893+27893</f>
        <v>0</v>
      </c>
      <c r="N125" s="1077"/>
      <c r="O125" s="1077"/>
      <c r="P125" s="1079"/>
      <c r="Q125" s="1081"/>
      <c r="R125" s="1077"/>
      <c r="S125" s="1077"/>
      <c r="T125" s="1077"/>
      <c r="U125" s="1077"/>
      <c r="V125" s="1077"/>
      <c r="W125" s="1077"/>
      <c r="X125" s="1079"/>
    </row>
    <row r="126" spans="1:24" ht="36.75" customHeight="1" x14ac:dyDescent="0.2">
      <c r="A126" s="1504" t="s">
        <v>287</v>
      </c>
      <c r="B126" s="1503" t="s">
        <v>297</v>
      </c>
      <c r="C126" s="1502" t="s">
        <v>3339</v>
      </c>
      <c r="D126" s="978" t="s">
        <v>1822</v>
      </c>
      <c r="E126" s="1000" t="s">
        <v>575</v>
      </c>
      <c r="F126" s="1000" t="s">
        <v>131</v>
      </c>
      <c r="G126" s="1088" t="s">
        <v>1754</v>
      </c>
      <c r="H126" s="1077"/>
      <c r="I126" s="1077"/>
      <c r="J126" s="1077">
        <f>1181102+318898</f>
        <v>1500000</v>
      </c>
      <c r="K126" s="1077"/>
      <c r="L126" s="1077"/>
      <c r="M126" s="1077"/>
      <c r="N126" s="1077"/>
      <c r="O126" s="1077"/>
      <c r="P126" s="1079"/>
      <c r="Q126" s="1081"/>
      <c r="R126" s="1077"/>
      <c r="S126" s="1077"/>
      <c r="T126" s="1077">
        <v>1500000</v>
      </c>
      <c r="U126" s="1077"/>
      <c r="V126" s="1077"/>
      <c r="W126" s="1077"/>
      <c r="X126" s="1079"/>
    </row>
    <row r="127" spans="1:24" ht="23.25" customHeight="1" x14ac:dyDescent="0.2">
      <c r="A127" s="2114" t="s">
        <v>288</v>
      </c>
      <c r="B127" s="2112" t="s">
        <v>298</v>
      </c>
      <c r="C127" s="2110" t="s">
        <v>3352</v>
      </c>
      <c r="D127" s="978" t="s">
        <v>1822</v>
      </c>
      <c r="E127" s="1000" t="s">
        <v>1297</v>
      </c>
      <c r="F127" s="1000" t="s">
        <v>127</v>
      </c>
      <c r="G127" s="1088" t="s">
        <v>1754</v>
      </c>
      <c r="H127" s="1077"/>
      <c r="I127" s="1077"/>
      <c r="J127" s="1077"/>
      <c r="K127" s="1077"/>
      <c r="L127" s="1077"/>
      <c r="M127" s="1077"/>
      <c r="N127" s="1077"/>
      <c r="O127" s="1077"/>
      <c r="P127" s="1079"/>
      <c r="Q127" s="1081"/>
      <c r="R127" s="1077"/>
      <c r="S127" s="1077"/>
      <c r="T127" s="1077"/>
      <c r="U127" s="1077"/>
      <c r="V127" s="1077"/>
      <c r="W127" s="1077"/>
      <c r="X127" s="1079">
        <v>427500</v>
      </c>
    </row>
    <row r="128" spans="1:24" ht="23.25" customHeight="1" x14ac:dyDescent="0.2">
      <c r="A128" s="2115"/>
      <c r="B128" s="2113"/>
      <c r="C128" s="2111"/>
      <c r="D128" s="978" t="s">
        <v>1822</v>
      </c>
      <c r="E128" s="1000" t="s">
        <v>575</v>
      </c>
      <c r="F128" s="1000" t="s">
        <v>90</v>
      </c>
      <c r="G128" s="1088" t="s">
        <v>1754</v>
      </c>
      <c r="H128" s="1077"/>
      <c r="I128" s="1077"/>
      <c r="J128" s="1077">
        <v>427500</v>
      </c>
      <c r="K128" s="1077"/>
      <c r="L128" s="1077"/>
      <c r="M128" s="1077"/>
      <c r="N128" s="1077"/>
      <c r="O128" s="1077"/>
      <c r="P128" s="1079"/>
      <c r="Q128" s="1081"/>
      <c r="R128" s="1077"/>
      <c r="S128" s="1077"/>
      <c r="T128" s="1077"/>
      <c r="U128" s="1077"/>
      <c r="V128" s="1077"/>
      <c r="W128" s="1077"/>
      <c r="X128" s="1079"/>
    </row>
    <row r="129" spans="1:24" ht="18" customHeight="1" x14ac:dyDescent="0.2">
      <c r="A129" s="2114" t="s">
        <v>289</v>
      </c>
      <c r="B129" s="2112" t="s">
        <v>300</v>
      </c>
      <c r="C129" s="2110" t="s">
        <v>3374</v>
      </c>
      <c r="D129" s="978" t="s">
        <v>1822</v>
      </c>
      <c r="E129" s="1000" t="s">
        <v>575</v>
      </c>
      <c r="F129" s="1000" t="s">
        <v>131</v>
      </c>
      <c r="G129" s="1088" t="s">
        <v>1752</v>
      </c>
      <c r="H129" s="1077">
        <v>-2461613</v>
      </c>
      <c r="I129" s="1077">
        <v>-269360</v>
      </c>
      <c r="J129" s="1077"/>
      <c r="K129" s="1077"/>
      <c r="L129" s="1077"/>
      <c r="M129" s="1077"/>
      <c r="N129" s="1077"/>
      <c r="O129" s="1077"/>
      <c r="P129" s="1079"/>
      <c r="Q129" s="1081"/>
      <c r="R129" s="1077"/>
      <c r="S129" s="1077"/>
      <c r="T129" s="1077"/>
      <c r="U129" s="1077"/>
      <c r="V129" s="1077"/>
      <c r="W129" s="1077"/>
      <c r="X129" s="1079"/>
    </row>
    <row r="130" spans="1:24" ht="18" customHeight="1" x14ac:dyDescent="0.2">
      <c r="A130" s="2115"/>
      <c r="B130" s="2113"/>
      <c r="C130" s="2111"/>
      <c r="D130" s="978" t="s">
        <v>1822</v>
      </c>
      <c r="E130" s="1000" t="s">
        <v>575</v>
      </c>
      <c r="F130" s="1000" t="s">
        <v>90</v>
      </c>
      <c r="G130" s="1088" t="s">
        <v>1754</v>
      </c>
      <c r="H130" s="1077">
        <f>1896000+550000</f>
        <v>2446000</v>
      </c>
      <c r="I130" s="1077">
        <v>269360</v>
      </c>
      <c r="J130" s="1077">
        <v>15613</v>
      </c>
      <c r="K130" s="1077"/>
      <c r="L130" s="1077"/>
      <c r="M130" s="1077"/>
      <c r="N130" s="1077"/>
      <c r="O130" s="1077"/>
      <c r="P130" s="1079"/>
      <c r="Q130" s="1081"/>
      <c r="R130" s="1077"/>
      <c r="S130" s="1077"/>
      <c r="T130" s="1077"/>
      <c r="U130" s="1077"/>
      <c r="V130" s="1077"/>
      <c r="W130" s="1077"/>
      <c r="X130" s="1079"/>
    </row>
    <row r="131" spans="1:24" ht="40.5" customHeight="1" x14ac:dyDescent="0.2">
      <c r="A131" s="1504" t="s">
        <v>290</v>
      </c>
      <c r="B131" s="1503" t="s">
        <v>194</v>
      </c>
      <c r="C131" s="1502" t="s">
        <v>3454</v>
      </c>
      <c r="D131" s="978" t="s">
        <v>1822</v>
      </c>
      <c r="E131" s="1000" t="s">
        <v>575</v>
      </c>
      <c r="F131" s="1000" t="s">
        <v>132</v>
      </c>
      <c r="G131" s="1088" t="s">
        <v>1766</v>
      </c>
      <c r="H131" s="1077"/>
      <c r="I131" s="1077"/>
      <c r="J131" s="1077">
        <f>-1+1</f>
        <v>0</v>
      </c>
      <c r="K131" s="1077"/>
      <c r="L131" s="1077"/>
      <c r="M131" s="1077"/>
      <c r="N131" s="1077"/>
      <c r="O131" s="1077"/>
      <c r="P131" s="1079"/>
      <c r="Q131" s="1081"/>
      <c r="R131" s="1077"/>
      <c r="S131" s="1077"/>
      <c r="T131" s="1077"/>
      <c r="U131" s="1077"/>
      <c r="V131" s="1077"/>
      <c r="W131" s="1077"/>
      <c r="X131" s="1079"/>
    </row>
    <row r="132" spans="1:24" ht="42.75" customHeight="1" x14ac:dyDescent="0.2">
      <c r="A132" s="1504" t="s">
        <v>291</v>
      </c>
      <c r="B132" s="1503" t="s">
        <v>195</v>
      </c>
      <c r="C132" s="1502" t="s">
        <v>3486</v>
      </c>
      <c r="D132" s="978" t="s">
        <v>1822</v>
      </c>
      <c r="E132" s="1000" t="s">
        <v>575</v>
      </c>
      <c r="F132" s="1000" t="s">
        <v>90</v>
      </c>
      <c r="G132" s="1088" t="s">
        <v>1766</v>
      </c>
      <c r="H132" s="1077"/>
      <c r="I132" s="1077"/>
      <c r="J132" s="1077"/>
      <c r="K132" s="1077"/>
      <c r="L132" s="1077"/>
      <c r="M132" s="1077">
        <f>-71048+71048</f>
        <v>0</v>
      </c>
      <c r="N132" s="1077"/>
      <c r="O132" s="1077"/>
      <c r="P132" s="1079"/>
      <c r="Q132" s="1081"/>
      <c r="R132" s="1077"/>
      <c r="S132" s="1077"/>
      <c r="T132" s="1077"/>
      <c r="U132" s="1077"/>
      <c r="V132" s="1077"/>
      <c r="W132" s="1077"/>
      <c r="X132" s="1079"/>
    </row>
    <row r="133" spans="1:24" ht="35.25" customHeight="1" x14ac:dyDescent="0.2">
      <c r="A133" s="1504" t="s">
        <v>292</v>
      </c>
      <c r="B133" s="1503" t="s">
        <v>196</v>
      </c>
      <c r="C133" s="1502" t="s">
        <v>2854</v>
      </c>
      <c r="D133" s="978" t="s">
        <v>1822</v>
      </c>
      <c r="E133" s="1000" t="s">
        <v>575</v>
      </c>
      <c r="F133" s="1000" t="s">
        <v>131</v>
      </c>
      <c r="G133" s="1088" t="s">
        <v>1754</v>
      </c>
      <c r="H133" s="1077"/>
      <c r="I133" s="1077"/>
      <c r="J133" s="1077">
        <f>407854+110120</f>
        <v>517974</v>
      </c>
      <c r="K133" s="1077"/>
      <c r="L133" s="1077"/>
      <c r="M133" s="1077"/>
      <c r="N133" s="1077"/>
      <c r="O133" s="1077"/>
      <c r="P133" s="1079"/>
      <c r="Q133" s="1081"/>
      <c r="R133" s="1077"/>
      <c r="S133" s="1077"/>
      <c r="T133" s="1077">
        <f>335323+182651</f>
        <v>517974</v>
      </c>
      <c r="U133" s="1077"/>
      <c r="V133" s="1077"/>
      <c r="W133" s="1077"/>
      <c r="X133" s="1079"/>
    </row>
    <row r="134" spans="1:24" ht="21.75" customHeight="1" x14ac:dyDescent="0.2">
      <c r="A134" s="2114" t="s">
        <v>293</v>
      </c>
      <c r="B134" s="2112" t="s">
        <v>197</v>
      </c>
      <c r="C134" s="2110" t="s">
        <v>3505</v>
      </c>
      <c r="D134" s="978" t="s">
        <v>1822</v>
      </c>
      <c r="E134" s="1000" t="s">
        <v>575</v>
      </c>
      <c r="F134" s="1000" t="s">
        <v>131</v>
      </c>
      <c r="G134" s="1088" t="s">
        <v>1752</v>
      </c>
      <c r="H134" s="1077">
        <v>-7824000</v>
      </c>
      <c r="I134" s="1077">
        <v>-1017120</v>
      </c>
      <c r="J134" s="1077"/>
      <c r="K134" s="1077"/>
      <c r="L134" s="1077"/>
      <c r="M134" s="1077"/>
      <c r="N134" s="1077"/>
      <c r="O134" s="1077"/>
      <c r="P134" s="1079"/>
      <c r="Q134" s="1081"/>
      <c r="R134" s="1077"/>
      <c r="S134" s="1077"/>
      <c r="T134" s="1077"/>
      <c r="U134" s="1077"/>
      <c r="V134" s="1077"/>
      <c r="W134" s="1077"/>
      <c r="X134" s="1079"/>
    </row>
    <row r="135" spans="1:24" ht="21.75" customHeight="1" x14ac:dyDescent="0.2">
      <c r="A135" s="2115"/>
      <c r="B135" s="2113"/>
      <c r="C135" s="2111"/>
      <c r="D135" s="978" t="s">
        <v>1822</v>
      </c>
      <c r="E135" s="1000" t="s">
        <v>3174</v>
      </c>
      <c r="F135" s="1000" t="s">
        <v>133</v>
      </c>
      <c r="G135" s="1088" t="s">
        <v>1754</v>
      </c>
      <c r="H135" s="1077">
        <v>7824000</v>
      </c>
      <c r="I135" s="1077">
        <v>1017120</v>
      </c>
      <c r="J135" s="1077"/>
      <c r="K135" s="1077"/>
      <c r="L135" s="1077"/>
      <c r="M135" s="1077"/>
      <c r="N135" s="1077"/>
      <c r="O135" s="1077"/>
      <c r="P135" s="1079"/>
      <c r="Q135" s="1081"/>
      <c r="R135" s="1077"/>
      <c r="S135" s="1077"/>
      <c r="T135" s="1077"/>
      <c r="U135" s="1077"/>
      <c r="V135" s="1077"/>
      <c r="W135" s="1077"/>
      <c r="X135" s="1079"/>
    </row>
    <row r="136" spans="1:24" ht="30" customHeight="1" x14ac:dyDescent="0.2">
      <c r="A136" s="1504" t="s">
        <v>294</v>
      </c>
      <c r="B136" s="1503" t="s">
        <v>198</v>
      </c>
      <c r="C136" s="1502" t="s">
        <v>3527</v>
      </c>
      <c r="D136" s="978" t="s">
        <v>1822</v>
      </c>
      <c r="E136" s="1000" t="s">
        <v>575</v>
      </c>
      <c r="F136" s="1000" t="s">
        <v>90</v>
      </c>
      <c r="G136" s="1088" t="s">
        <v>1766</v>
      </c>
      <c r="H136" s="1077"/>
      <c r="I136" s="1077"/>
      <c r="J136" s="1077">
        <f>-100000+100000</f>
        <v>0</v>
      </c>
      <c r="K136" s="1077"/>
      <c r="L136" s="1077"/>
      <c r="M136" s="1077"/>
      <c r="N136" s="1077"/>
      <c r="O136" s="1077"/>
      <c r="P136" s="1079"/>
      <c r="Q136" s="1081"/>
      <c r="R136" s="1077"/>
      <c r="S136" s="1077"/>
      <c r="T136" s="1077"/>
      <c r="U136" s="1077"/>
      <c r="V136" s="1077"/>
      <c r="W136" s="1077"/>
      <c r="X136" s="1079"/>
    </row>
    <row r="137" spans="1:24" ht="19.5" customHeight="1" x14ac:dyDescent="0.2">
      <c r="A137" s="2114" t="s">
        <v>295</v>
      </c>
      <c r="B137" s="2112" t="s">
        <v>199</v>
      </c>
      <c r="C137" s="2110" t="s">
        <v>3537</v>
      </c>
      <c r="D137" s="978" t="s">
        <v>1822</v>
      </c>
      <c r="E137" s="1000" t="s">
        <v>575</v>
      </c>
      <c r="F137" s="1000" t="s">
        <v>90</v>
      </c>
      <c r="G137" s="1088" t="s">
        <v>1766</v>
      </c>
      <c r="H137" s="1077"/>
      <c r="I137" s="1077"/>
      <c r="J137" s="1077">
        <v>-1098337</v>
      </c>
      <c r="K137" s="1077"/>
      <c r="L137" s="1077"/>
      <c r="M137" s="1077"/>
      <c r="N137" s="1077"/>
      <c r="O137" s="1077"/>
      <c r="P137" s="1079"/>
      <c r="Q137" s="1081"/>
      <c r="R137" s="1077"/>
      <c r="S137" s="1077"/>
      <c r="T137" s="1077">
        <f>-541074-559985+3628</f>
        <v>-1097431</v>
      </c>
      <c r="U137" s="1077"/>
      <c r="V137" s="1077"/>
      <c r="W137" s="1077"/>
      <c r="X137" s="1079"/>
    </row>
    <row r="138" spans="1:24" ht="19.5" customHeight="1" x14ac:dyDescent="0.2">
      <c r="A138" s="2124"/>
      <c r="B138" s="2123"/>
      <c r="C138" s="2122"/>
      <c r="D138" s="978" t="s">
        <v>1822</v>
      </c>
      <c r="E138" s="1000" t="s">
        <v>575</v>
      </c>
      <c r="F138" s="1000" t="s">
        <v>131</v>
      </c>
      <c r="G138" s="1088" t="s">
        <v>1766</v>
      </c>
      <c r="H138" s="1077"/>
      <c r="I138" s="1077"/>
      <c r="J138" s="1077">
        <v>-407626</v>
      </c>
      <c r="K138" s="1077"/>
      <c r="L138" s="1077"/>
      <c r="M138" s="1077"/>
      <c r="N138" s="1077"/>
      <c r="O138" s="1077"/>
      <c r="P138" s="1079"/>
      <c r="Q138" s="1081"/>
      <c r="R138" s="1077"/>
      <c r="S138" s="1077"/>
      <c r="T138" s="1077">
        <f>-603831+504200-307898-97</f>
        <v>-407626</v>
      </c>
      <c r="U138" s="1077"/>
      <c r="V138" s="1077"/>
      <c r="W138" s="1077"/>
      <c r="X138" s="1079"/>
    </row>
    <row r="139" spans="1:24" ht="19.5" customHeight="1" x14ac:dyDescent="0.2">
      <c r="A139" s="2115"/>
      <c r="B139" s="2113"/>
      <c r="C139" s="2111"/>
      <c r="D139" s="978" t="s">
        <v>1822</v>
      </c>
      <c r="E139" s="1000" t="s">
        <v>575</v>
      </c>
      <c r="F139" s="1000" t="s">
        <v>866</v>
      </c>
      <c r="G139" s="1088" t="s">
        <v>1752</v>
      </c>
      <c r="H139" s="1077"/>
      <c r="I139" s="1077"/>
      <c r="J139" s="1077">
        <f>-481793-130452</f>
        <v>-612245</v>
      </c>
      <c r="K139" s="1077"/>
      <c r="L139" s="1077"/>
      <c r="M139" s="1077"/>
      <c r="N139" s="1077"/>
      <c r="O139" s="1077"/>
      <c r="P139" s="1079"/>
      <c r="Q139" s="1081"/>
      <c r="R139" s="1077"/>
      <c r="S139" s="1077"/>
      <c r="T139" s="1077">
        <f>-130946-482205</f>
        <v>-613151</v>
      </c>
      <c r="U139" s="1077"/>
      <c r="V139" s="1077"/>
      <c r="W139" s="1077"/>
      <c r="X139" s="1079"/>
    </row>
    <row r="140" spans="1:24" x14ac:dyDescent="0.2">
      <c r="A140" s="1423"/>
      <c r="B140" s="1422"/>
      <c r="C140" s="952"/>
      <c r="D140" s="978"/>
      <c r="E140" s="1000"/>
      <c r="F140" s="1000"/>
      <c r="G140" s="1088"/>
      <c r="H140" s="1077"/>
      <c r="I140" s="1077"/>
      <c r="J140" s="1077"/>
      <c r="K140" s="1077"/>
      <c r="L140" s="1077"/>
      <c r="M140" s="1077"/>
      <c r="N140" s="1077"/>
      <c r="O140" s="1077"/>
      <c r="P140" s="1079"/>
      <c r="Q140" s="1081"/>
      <c r="R140" s="1077"/>
      <c r="S140" s="1077"/>
      <c r="T140" s="1077"/>
      <c r="U140" s="1077"/>
      <c r="V140" s="1077"/>
      <c r="W140" s="1077"/>
      <c r="X140" s="1079"/>
    </row>
    <row r="141" spans="1:24" ht="18.75" x14ac:dyDescent="0.3">
      <c r="A141" s="2125" t="s">
        <v>1663</v>
      </c>
      <c r="B141" s="2126"/>
      <c r="C141" s="2127"/>
      <c r="D141" s="956"/>
      <c r="E141" s="956"/>
      <c r="F141" s="956"/>
      <c r="G141" s="956"/>
      <c r="H141" s="1595">
        <f t="shared" ref="H141:X141" si="3">SUM(H113:H140)+H93</f>
        <v>9248601</v>
      </c>
      <c r="I141" s="1595">
        <f t="shared" si="3"/>
        <v>1208870</v>
      </c>
      <c r="J141" s="1595">
        <f t="shared" si="3"/>
        <v>4150843</v>
      </c>
      <c r="K141" s="1595">
        <f t="shared" si="3"/>
        <v>0</v>
      </c>
      <c r="L141" s="1595">
        <f t="shared" si="3"/>
        <v>11154291</v>
      </c>
      <c r="M141" s="1595">
        <f t="shared" si="3"/>
        <v>1104900</v>
      </c>
      <c r="N141" s="1595">
        <f t="shared" si="3"/>
        <v>0</v>
      </c>
      <c r="O141" s="1595">
        <f t="shared" si="3"/>
        <v>0</v>
      </c>
      <c r="P141" s="1596">
        <f t="shared" si="3"/>
        <v>0</v>
      </c>
      <c r="Q141" s="1597">
        <f t="shared" si="3"/>
        <v>350000</v>
      </c>
      <c r="R141" s="1595">
        <f t="shared" si="3"/>
        <v>0</v>
      </c>
      <c r="S141" s="1595">
        <f t="shared" si="3"/>
        <v>0</v>
      </c>
      <c r="T141" s="1595">
        <f t="shared" si="3"/>
        <v>2009764</v>
      </c>
      <c r="U141" s="1595">
        <f t="shared" si="3"/>
        <v>0</v>
      </c>
      <c r="V141" s="1595">
        <f t="shared" si="3"/>
        <v>0</v>
      </c>
      <c r="W141" s="1595">
        <f t="shared" si="3"/>
        <v>0</v>
      </c>
      <c r="X141" s="1596">
        <f t="shared" si="3"/>
        <v>24507741</v>
      </c>
    </row>
    <row r="142" spans="1:24" ht="15.75" customHeight="1" x14ac:dyDescent="0.2">
      <c r="A142" s="314"/>
      <c r="B142" s="314"/>
      <c r="C142" s="314"/>
      <c r="D142" s="314"/>
      <c r="E142" s="314"/>
      <c r="F142" s="314"/>
      <c r="G142" s="314"/>
      <c r="H142" s="1064">
        <f>'2.8. sz. Műv.Ház'!U9-'2.8. sz. Műv.Ház'!T9</f>
        <v>9248601</v>
      </c>
      <c r="I142" s="1064">
        <f>'2.8. sz. Műv.Ház'!U10-'2.8. sz. Műv.Ház'!T10</f>
        <v>1208870</v>
      </c>
      <c r="J142" s="1064">
        <f>'2.8. sz. Műv.Ház'!U11-'2.8. sz. Műv.Ház'!T11</f>
        <v>4150843</v>
      </c>
      <c r="K142" s="1064">
        <f>'2.8. sz. Műv.Ház'!U12-'2.8. sz. Műv.Ház'!T12</f>
        <v>0</v>
      </c>
      <c r="L142" s="1064">
        <f>'2.8. sz. Műv.Ház'!U13-'2.8. sz. Műv.Ház'!T13</f>
        <v>11154291</v>
      </c>
      <c r="M142" s="1064">
        <f>'2.8. sz. Műv.Ház'!U17-'2.8. sz. Műv.Ház'!T17</f>
        <v>1104900</v>
      </c>
      <c r="N142" s="1064">
        <f>'2.8. sz. Műv.Ház'!U18-'2.8. sz. Műv.Ház'!T18</f>
        <v>0</v>
      </c>
      <c r="O142" s="1064">
        <f>'2.8. sz. Műv.Ház'!U19-'2.8. sz. Műv.Ház'!T19</f>
        <v>0</v>
      </c>
      <c r="P142" s="1064">
        <f>'2.8. sz. Műv.Ház'!U22-'2.8. sz. Műv.Ház'!T22</f>
        <v>0</v>
      </c>
      <c r="Q142" s="1064">
        <f>'2.8. sz. Műv.Ház'!U31-'2.8. sz. Műv.Ház'!T31</f>
        <v>350000</v>
      </c>
      <c r="R142" s="1064">
        <f>'2.8. sz. Műv.Ház'!U32-'2.8. sz. Műv.Ház'!T32</f>
        <v>0</v>
      </c>
      <c r="S142" s="1064">
        <f>'2.8. sz. Műv.Ház'!U33-'2.8. sz. Műv.Ház'!T33</f>
        <v>0</v>
      </c>
      <c r="T142" s="1064">
        <f>'2.8. sz. Műv.Ház'!U34-'2.8. sz. Műv.Ház'!T34</f>
        <v>2009764</v>
      </c>
      <c r="U142" s="1064">
        <f>'2.8. sz. Műv.Ház'!U35-'2.8. sz. Műv.Ház'!T35</f>
        <v>0</v>
      </c>
      <c r="V142" s="1064">
        <f>'2.8. sz. Műv.Ház'!U36-'2.8. sz. Műv.Ház'!T36</f>
        <v>0</v>
      </c>
      <c r="W142" s="1064">
        <f>'2.8. sz. Műv.Ház'!U37-'2.8. sz. Műv.Ház'!T37</f>
        <v>0</v>
      </c>
      <c r="X142" s="1064">
        <f>'2.8. sz. Műv.Ház'!U39-'2.8. sz. Műv.Ház'!T39</f>
        <v>24507741</v>
      </c>
    </row>
    <row r="143" spans="1:24" ht="15" customHeight="1" x14ac:dyDescent="0.2">
      <c r="A143" s="314"/>
      <c r="B143" s="314"/>
      <c r="C143" s="314"/>
      <c r="D143" s="314"/>
      <c r="E143" s="314"/>
      <c r="F143" s="314"/>
      <c r="G143" s="314"/>
      <c r="H143" s="1064">
        <f t="shared" ref="H143:N143" si="4">+H142-H141</f>
        <v>0</v>
      </c>
      <c r="I143" s="1064">
        <f t="shared" si="4"/>
        <v>0</v>
      </c>
      <c r="J143" s="1064">
        <f t="shared" si="4"/>
        <v>0</v>
      </c>
      <c r="K143" s="1064">
        <f t="shared" si="4"/>
        <v>0</v>
      </c>
      <c r="L143" s="1064">
        <f t="shared" si="4"/>
        <v>0</v>
      </c>
      <c r="M143" s="1064">
        <f t="shared" si="4"/>
        <v>0</v>
      </c>
      <c r="N143" s="1064">
        <f t="shared" si="4"/>
        <v>0</v>
      </c>
      <c r="O143" s="1064">
        <f t="shared" ref="O143:X143" si="5">+O142-O141</f>
        <v>0</v>
      </c>
      <c r="P143" s="1064">
        <f t="shared" si="5"/>
        <v>0</v>
      </c>
      <c r="Q143" s="1064">
        <f t="shared" si="5"/>
        <v>0</v>
      </c>
      <c r="R143" s="1064">
        <f t="shared" si="5"/>
        <v>0</v>
      </c>
      <c r="S143" s="1064">
        <f t="shared" si="5"/>
        <v>0</v>
      </c>
      <c r="T143" s="1064">
        <f t="shared" si="5"/>
        <v>0</v>
      </c>
      <c r="U143" s="1064">
        <f t="shared" si="5"/>
        <v>0</v>
      </c>
      <c r="V143" s="1064">
        <f t="shared" si="5"/>
        <v>0</v>
      </c>
      <c r="W143" s="1064">
        <f t="shared" si="5"/>
        <v>0</v>
      </c>
      <c r="X143" s="1064">
        <f t="shared" si="5"/>
        <v>0</v>
      </c>
    </row>
    <row r="144" spans="1:24" x14ac:dyDescent="0.2">
      <c r="A144" s="314"/>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row>
    <row r="145" spans="1:24" x14ac:dyDescent="0.2">
      <c r="A145" s="314"/>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row>
    <row r="146" spans="1:24" ht="21.75" customHeight="1" x14ac:dyDescent="0.2">
      <c r="A146" s="314"/>
      <c r="B146" s="314"/>
      <c r="C146" s="314"/>
      <c r="D146" s="314"/>
      <c r="E146" s="314"/>
      <c r="F146" s="314"/>
      <c r="G146" s="314"/>
      <c r="H146" s="314"/>
      <c r="I146" s="2042" t="s">
        <v>1664</v>
      </c>
      <c r="J146" s="2042"/>
      <c r="K146" s="2042"/>
      <c r="L146" s="2042">
        <v>147636479</v>
      </c>
      <c r="M146" s="2042"/>
      <c r="N146" s="996"/>
      <c r="O146" s="996"/>
      <c r="P146" s="996"/>
      <c r="Q146" s="996"/>
      <c r="R146" s="2042" t="s">
        <v>1665</v>
      </c>
      <c r="S146" s="2042"/>
      <c r="T146" s="2042"/>
      <c r="U146" s="2042">
        <v>147636479</v>
      </c>
      <c r="V146" s="2042"/>
      <c r="W146" s="314"/>
      <c r="X146" s="314"/>
    </row>
    <row r="147" spans="1:24" ht="21" customHeight="1" x14ac:dyDescent="0.2">
      <c r="A147" s="314"/>
      <c r="B147" s="314"/>
      <c r="C147" s="314"/>
      <c r="D147" s="314"/>
      <c r="E147" s="314"/>
      <c r="F147" s="314"/>
      <c r="G147" s="314"/>
      <c r="H147" s="314"/>
      <c r="I147" s="2042" t="s">
        <v>1666</v>
      </c>
      <c r="J147" s="2042"/>
      <c r="K147" s="2042"/>
      <c r="L147" s="2042">
        <f>SUM(H141:P141)</f>
        <v>26867505</v>
      </c>
      <c r="M147" s="2042"/>
      <c r="N147" s="996"/>
      <c r="O147" s="996"/>
      <c r="P147" s="996"/>
      <c r="Q147" s="996"/>
      <c r="R147" s="2042" t="s">
        <v>1666</v>
      </c>
      <c r="S147" s="2042"/>
      <c r="T147" s="2042"/>
      <c r="U147" s="2042">
        <f>SUM(Q141:X141)</f>
        <v>26867505</v>
      </c>
      <c r="V147" s="2042"/>
      <c r="W147" s="314"/>
      <c r="X147" s="314"/>
    </row>
    <row r="148" spans="1:24" ht="22.5" customHeight="1" x14ac:dyDescent="0.2">
      <c r="A148" s="314"/>
      <c r="B148" s="314"/>
      <c r="C148" s="314"/>
      <c r="D148" s="314"/>
      <c r="E148" s="314"/>
      <c r="F148" s="314"/>
      <c r="G148" s="314"/>
      <c r="H148" s="314"/>
      <c r="I148" s="2042" t="s">
        <v>1512</v>
      </c>
      <c r="J148" s="2042"/>
      <c r="K148" s="2042"/>
      <c r="L148" s="2042">
        <f>+L146+L147</f>
        <v>174503984</v>
      </c>
      <c r="M148" s="2042"/>
      <c r="N148" s="996"/>
      <c r="O148" s="996"/>
      <c r="P148" s="996"/>
      <c r="Q148" s="996"/>
      <c r="R148" s="2042" t="s">
        <v>1512</v>
      </c>
      <c r="S148" s="2042"/>
      <c r="T148" s="2042"/>
      <c r="U148" s="2042">
        <f>+U146+U147</f>
        <v>174503984</v>
      </c>
      <c r="V148" s="2042"/>
      <c r="W148" s="314"/>
      <c r="X148" s="314"/>
    </row>
    <row r="149" spans="1:24" x14ac:dyDescent="0.2">
      <c r="A149" s="314"/>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row>
    <row r="150" spans="1:24" x14ac:dyDescent="0.2">
      <c r="A150" s="314"/>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row>
    <row r="151" spans="1:24" x14ac:dyDescent="0.2">
      <c r="A151" s="314"/>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row>
    <row r="152" spans="1:24" x14ac:dyDescent="0.2">
      <c r="A152" s="314"/>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row>
    <row r="153" spans="1:24" x14ac:dyDescent="0.2">
      <c r="A153" s="314"/>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row>
    <row r="154" spans="1:24" x14ac:dyDescent="0.2">
      <c r="A154" s="314"/>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row>
    <row r="155" spans="1:24" x14ac:dyDescent="0.2">
      <c r="A155" s="314"/>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row>
    <row r="156" spans="1:24" x14ac:dyDescent="0.2">
      <c r="A156" s="314"/>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row>
    <row r="157" spans="1:24" x14ac:dyDescent="0.2">
      <c r="A157" s="314"/>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row>
    <row r="158" spans="1:24" x14ac:dyDescent="0.2">
      <c r="A158" s="314"/>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row>
    <row r="159" spans="1:24" x14ac:dyDescent="0.2">
      <c r="A159" s="314"/>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row>
    <row r="160" spans="1:24" x14ac:dyDescent="0.2">
      <c r="A160" s="314"/>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row>
    <row r="161" spans="1:24" x14ac:dyDescent="0.2">
      <c r="A161" s="314"/>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row>
    <row r="162" spans="1:24" x14ac:dyDescent="0.2">
      <c r="A162" s="314"/>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row>
    <row r="163" spans="1:24" x14ac:dyDescent="0.2">
      <c r="A163" s="314"/>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row>
    <row r="164" spans="1:24" x14ac:dyDescent="0.2">
      <c r="A164" s="314"/>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row>
    <row r="165" spans="1:24" x14ac:dyDescent="0.2">
      <c r="A165" s="314"/>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row>
    <row r="166" spans="1:24" x14ac:dyDescent="0.2">
      <c r="A166" s="314"/>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row>
    <row r="167" spans="1:24" x14ac:dyDescent="0.2">
      <c r="A167" s="314"/>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row>
  </sheetData>
  <mergeCells count="156">
    <mergeCell ref="C113:C114"/>
    <mergeCell ref="B113:B114"/>
    <mergeCell ref="A113:A114"/>
    <mergeCell ref="C54:C55"/>
    <mergeCell ref="B54:B55"/>
    <mergeCell ref="A54:A55"/>
    <mergeCell ref="C56:C57"/>
    <mergeCell ref="B56:B57"/>
    <mergeCell ref="A56:A57"/>
    <mergeCell ref="B79:B80"/>
    <mergeCell ref="C79:C80"/>
    <mergeCell ref="A81:A82"/>
    <mergeCell ref="C86:C87"/>
    <mergeCell ref="B86:B87"/>
    <mergeCell ref="A86:A87"/>
    <mergeCell ref="C88:C89"/>
    <mergeCell ref="B88:B89"/>
    <mergeCell ref="A88:A89"/>
    <mergeCell ref="A76:X76"/>
    <mergeCell ref="A79:A80"/>
    <mergeCell ref="E111:E112"/>
    <mergeCell ref="F111:F112"/>
    <mergeCell ref="G111:G112"/>
    <mergeCell ref="H111:O111"/>
    <mergeCell ref="D79:D80"/>
    <mergeCell ref="E79:E80"/>
    <mergeCell ref="F79:F80"/>
    <mergeCell ref="G79:G80"/>
    <mergeCell ref="H79:O79"/>
    <mergeCell ref="Q79:X79"/>
    <mergeCell ref="R67:T67"/>
    <mergeCell ref="U67:V67"/>
    <mergeCell ref="A106:X106"/>
    <mergeCell ref="I99:K99"/>
    <mergeCell ref="L99:M99"/>
    <mergeCell ref="R99:T99"/>
    <mergeCell ref="U99:V99"/>
    <mergeCell ref="R100:T100"/>
    <mergeCell ref="U100:V100"/>
    <mergeCell ref="A93:C93"/>
    <mergeCell ref="I98:K98"/>
    <mergeCell ref="L98:M98"/>
    <mergeCell ref="R98:T98"/>
    <mergeCell ref="U98:V98"/>
    <mergeCell ref="I100:K100"/>
    <mergeCell ref="L100:M100"/>
    <mergeCell ref="C81:C82"/>
    <mergeCell ref="B81:B82"/>
    <mergeCell ref="R66:T66"/>
    <mergeCell ref="U66:V66"/>
    <mergeCell ref="A60:C60"/>
    <mergeCell ref="I65:K65"/>
    <mergeCell ref="A74:X74"/>
    <mergeCell ref="B41:B42"/>
    <mergeCell ref="A41:A42"/>
    <mergeCell ref="B43:B45"/>
    <mergeCell ref="C49:C50"/>
    <mergeCell ref="B49:B50"/>
    <mergeCell ref="A49:A50"/>
    <mergeCell ref="C41:C42"/>
    <mergeCell ref="C43:C45"/>
    <mergeCell ref="L65:M65"/>
    <mergeCell ref="R65:T65"/>
    <mergeCell ref="U65:V65"/>
    <mergeCell ref="I66:K66"/>
    <mergeCell ref="L66:M66"/>
    <mergeCell ref="I67:K67"/>
    <mergeCell ref="A43:A45"/>
    <mergeCell ref="L67:M67"/>
    <mergeCell ref="C52:C53"/>
    <mergeCell ref="B52:B53"/>
    <mergeCell ref="A52:A53"/>
    <mergeCell ref="I27:K27"/>
    <mergeCell ref="L27:M27"/>
    <mergeCell ref="R27:T27"/>
    <mergeCell ref="U27:V27"/>
    <mergeCell ref="I28:K28"/>
    <mergeCell ref="L28:M28"/>
    <mergeCell ref="R28:T28"/>
    <mergeCell ref="U28:V28"/>
    <mergeCell ref="A22:C22"/>
    <mergeCell ref="A34:X34"/>
    <mergeCell ref="A36:X36"/>
    <mergeCell ref="A39:A40"/>
    <mergeCell ref="B39:B40"/>
    <mergeCell ref="C39:C40"/>
    <mergeCell ref="D39:D40"/>
    <mergeCell ref="E39:E40"/>
    <mergeCell ref="F39:F40"/>
    <mergeCell ref="G39:G40"/>
    <mergeCell ref="H39:O39"/>
    <mergeCell ref="Q39:X39"/>
    <mergeCell ref="C13:C14"/>
    <mergeCell ref="B13:B14"/>
    <mergeCell ref="A13:A14"/>
    <mergeCell ref="I26:K26"/>
    <mergeCell ref="L26:M26"/>
    <mergeCell ref="R26:T26"/>
    <mergeCell ref="U26:V26"/>
    <mergeCell ref="C7:C9"/>
    <mergeCell ref="B7:B9"/>
    <mergeCell ref="A7:A9"/>
    <mergeCell ref="C16:C17"/>
    <mergeCell ref="B16:B17"/>
    <mergeCell ref="A16:A17"/>
    <mergeCell ref="C18:C19"/>
    <mergeCell ref="B18:B19"/>
    <mergeCell ref="A18:A19"/>
    <mergeCell ref="A1:X1"/>
    <mergeCell ref="A3:X3"/>
    <mergeCell ref="A5:A6"/>
    <mergeCell ref="B5:B6"/>
    <mergeCell ref="C5:C6"/>
    <mergeCell ref="D5:D6"/>
    <mergeCell ref="E5:E6"/>
    <mergeCell ref="F5:F6"/>
    <mergeCell ref="G5:G6"/>
    <mergeCell ref="H5:O5"/>
    <mergeCell ref="Q5:X5"/>
    <mergeCell ref="Q111:X111"/>
    <mergeCell ref="A108:X108"/>
    <mergeCell ref="A111:A112"/>
    <mergeCell ref="B111:B112"/>
    <mergeCell ref="C111:C112"/>
    <mergeCell ref="D111:D112"/>
    <mergeCell ref="U148:V148"/>
    <mergeCell ref="A141:C141"/>
    <mergeCell ref="I146:K146"/>
    <mergeCell ref="L146:M146"/>
    <mergeCell ref="R146:T146"/>
    <mergeCell ref="U146:V146"/>
    <mergeCell ref="I147:K147"/>
    <mergeCell ref="L147:M147"/>
    <mergeCell ref="R147:T147"/>
    <mergeCell ref="U147:V147"/>
    <mergeCell ref="C134:C135"/>
    <mergeCell ref="B134:B135"/>
    <mergeCell ref="A134:A135"/>
    <mergeCell ref="C120:C121"/>
    <mergeCell ref="B120:B121"/>
    <mergeCell ref="A120:A121"/>
    <mergeCell ref="I148:K148"/>
    <mergeCell ref="L148:M148"/>
    <mergeCell ref="R148:T148"/>
    <mergeCell ref="C122:C123"/>
    <mergeCell ref="B122:B123"/>
    <mergeCell ref="A122:A123"/>
    <mergeCell ref="C127:C128"/>
    <mergeCell ref="B127:B128"/>
    <mergeCell ref="A127:A128"/>
    <mergeCell ref="C129:C130"/>
    <mergeCell ref="B129:B130"/>
    <mergeCell ref="A129:A130"/>
    <mergeCell ref="C137:C139"/>
    <mergeCell ref="B137:B139"/>
    <mergeCell ref="A137:A139"/>
  </mergeCells>
  <printOptions horizontalCentered="1" verticalCentered="1"/>
  <pageMargins left="0.11811023622047245" right="0.11811023622047245" top="0.35433070866141736" bottom="0.35433070866141736" header="0.31496062992125984" footer="0.31496062992125984"/>
  <pageSetup paperSize="9" scale="49" orientation="landscape" r:id="rId1"/>
  <headerFooter>
    <oddHeader>&amp;R&amp;A</oddHeader>
    <oddFooter>&amp;C&amp;P/&amp;N</oddFooter>
  </headerFooter>
  <rowBreaks count="4" manualBreakCount="4">
    <brk id="28" max="23" man="1"/>
    <brk id="67" max="23" man="1"/>
    <brk id="100" max="23" man="1"/>
    <brk id="131" max="2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68"/>
  <sheetViews>
    <sheetView view="pageBreakPreview" topLeftCell="A85" zoomScale="90" zoomScaleSheetLayoutView="90" workbookViewId="0">
      <selection activeCell="K96" sqref="K96"/>
    </sheetView>
  </sheetViews>
  <sheetFormatPr defaultRowHeight="15" x14ac:dyDescent="0.25"/>
  <cols>
    <col min="1" max="1" width="5.28515625" style="1092" customWidth="1"/>
    <col min="2" max="2" width="34" style="1092" customWidth="1"/>
    <col min="3" max="3" width="14.28515625" style="1092" customWidth="1"/>
    <col min="4" max="4" width="14.42578125" style="1092" customWidth="1"/>
    <col min="5" max="5" width="13.5703125" style="1092" customWidth="1"/>
    <col min="6" max="6" width="11.7109375" style="1092" customWidth="1"/>
    <col min="7" max="7" width="14" style="1092" customWidth="1"/>
    <col min="8" max="8" width="13.28515625" style="1092" customWidth="1"/>
    <col min="9" max="9" width="14" style="1092" customWidth="1"/>
    <col min="10" max="10" width="12.140625" style="1092" customWidth="1"/>
    <col min="11" max="11" width="15.28515625" style="1092" customWidth="1"/>
    <col min="12" max="12" width="15" style="1101" customWidth="1"/>
    <col min="13" max="13" width="14" style="1092" customWidth="1"/>
    <col min="14" max="14" width="13.5703125" style="1092" customWidth="1"/>
    <col min="15" max="15" width="13.42578125" style="1092" customWidth="1"/>
    <col min="16" max="16" width="13.5703125" style="1092" customWidth="1"/>
    <col min="17" max="17" width="13.140625" style="1092" customWidth="1"/>
    <col min="18" max="18" width="12.42578125" style="1092" customWidth="1"/>
    <col min="19" max="19" width="15.42578125" style="1092" customWidth="1"/>
    <col min="20" max="20" width="14.7109375" style="1092" customWidth="1"/>
    <col min="21" max="21" width="13.85546875" style="1092" customWidth="1"/>
    <col min="22" max="22" width="13.5703125" style="1092" customWidth="1"/>
    <col min="23" max="256" width="9.140625" style="1092"/>
    <col min="257" max="257" width="5.28515625" style="1092" customWidth="1"/>
    <col min="258" max="258" width="34" style="1092" customWidth="1"/>
    <col min="259" max="259" width="13.42578125" style="1092" customWidth="1"/>
    <col min="260" max="260" width="14.42578125" style="1092" customWidth="1"/>
    <col min="261" max="261" width="13.5703125" style="1092" customWidth="1"/>
    <col min="262" max="262" width="11.7109375" style="1092" customWidth="1"/>
    <col min="263" max="263" width="13" style="1092" customWidth="1"/>
    <col min="264" max="264" width="13.28515625" style="1092" customWidth="1"/>
    <col min="265" max="265" width="14" style="1092" customWidth="1"/>
    <col min="266" max="266" width="12.140625" style="1092" customWidth="1"/>
    <col min="267" max="267" width="15.28515625" style="1092" customWidth="1"/>
    <col min="268" max="268" width="15" style="1092" customWidth="1"/>
    <col min="269" max="269" width="14" style="1092" customWidth="1"/>
    <col min="270" max="270" width="13.5703125" style="1092" customWidth="1"/>
    <col min="271" max="271" width="13.42578125" style="1092" customWidth="1"/>
    <col min="272" max="272" width="13.5703125" style="1092" customWidth="1"/>
    <col min="273" max="273" width="13.140625" style="1092" customWidth="1"/>
    <col min="274" max="274" width="12.42578125" style="1092" customWidth="1"/>
    <col min="275" max="275" width="15.42578125" style="1092" customWidth="1"/>
    <col min="276" max="276" width="14.7109375" style="1092" customWidth="1"/>
    <col min="277" max="277" width="13.85546875" style="1092" customWidth="1"/>
    <col min="278" max="278" width="13.5703125" style="1092" customWidth="1"/>
    <col min="279" max="512" width="9.140625" style="1092"/>
    <col min="513" max="513" width="5.28515625" style="1092" customWidth="1"/>
    <col min="514" max="514" width="34" style="1092" customWidth="1"/>
    <col min="515" max="515" width="13.42578125" style="1092" customWidth="1"/>
    <col min="516" max="516" width="14.42578125" style="1092" customWidth="1"/>
    <col min="517" max="517" width="13.5703125" style="1092" customWidth="1"/>
    <col min="518" max="518" width="11.7109375" style="1092" customWidth="1"/>
    <col min="519" max="519" width="13" style="1092" customWidth="1"/>
    <col min="520" max="520" width="13.28515625" style="1092" customWidth="1"/>
    <col min="521" max="521" width="14" style="1092" customWidth="1"/>
    <col min="522" max="522" width="12.140625" style="1092" customWidth="1"/>
    <col min="523" max="523" width="15.28515625" style="1092" customWidth="1"/>
    <col min="524" max="524" width="15" style="1092" customWidth="1"/>
    <col min="525" max="525" width="14" style="1092" customWidth="1"/>
    <col min="526" max="526" width="13.5703125" style="1092" customWidth="1"/>
    <col min="527" max="527" width="13.42578125" style="1092" customWidth="1"/>
    <col min="528" max="528" width="13.5703125" style="1092" customWidth="1"/>
    <col min="529" max="529" width="13.140625" style="1092" customWidth="1"/>
    <col min="530" max="530" width="12.42578125" style="1092" customWidth="1"/>
    <col min="531" max="531" width="15.42578125" style="1092" customWidth="1"/>
    <col min="532" max="532" width="14.7109375" style="1092" customWidth="1"/>
    <col min="533" max="533" width="13.85546875" style="1092" customWidth="1"/>
    <col min="534" max="534" width="13.5703125" style="1092" customWidth="1"/>
    <col min="535" max="768" width="9.140625" style="1092"/>
    <col min="769" max="769" width="5.28515625" style="1092" customWidth="1"/>
    <col min="770" max="770" width="34" style="1092" customWidth="1"/>
    <col min="771" max="771" width="13.42578125" style="1092" customWidth="1"/>
    <col min="772" max="772" width="14.42578125" style="1092" customWidth="1"/>
    <col min="773" max="773" width="13.5703125" style="1092" customWidth="1"/>
    <col min="774" max="774" width="11.7109375" style="1092" customWidth="1"/>
    <col min="775" max="775" width="13" style="1092" customWidth="1"/>
    <col min="776" max="776" width="13.28515625" style="1092" customWidth="1"/>
    <col min="777" max="777" width="14" style="1092" customWidth="1"/>
    <col min="778" max="778" width="12.140625" style="1092" customWidth="1"/>
    <col min="779" max="779" width="15.28515625" style="1092" customWidth="1"/>
    <col min="780" max="780" width="15" style="1092" customWidth="1"/>
    <col min="781" max="781" width="14" style="1092" customWidth="1"/>
    <col min="782" max="782" width="13.5703125" style="1092" customWidth="1"/>
    <col min="783" max="783" width="13.42578125" style="1092" customWidth="1"/>
    <col min="784" max="784" width="13.5703125" style="1092" customWidth="1"/>
    <col min="785" max="785" width="13.140625" style="1092" customWidth="1"/>
    <col min="786" max="786" width="12.42578125" style="1092" customWidth="1"/>
    <col min="787" max="787" width="15.42578125" style="1092" customWidth="1"/>
    <col min="788" max="788" width="14.7109375" style="1092" customWidth="1"/>
    <col min="789" max="789" width="13.85546875" style="1092" customWidth="1"/>
    <col min="790" max="790" width="13.5703125" style="1092" customWidth="1"/>
    <col min="791" max="1024" width="9.140625" style="1092"/>
    <col min="1025" max="1025" width="5.28515625" style="1092" customWidth="1"/>
    <col min="1026" max="1026" width="34" style="1092" customWidth="1"/>
    <col min="1027" max="1027" width="13.42578125" style="1092" customWidth="1"/>
    <col min="1028" max="1028" width="14.42578125" style="1092" customWidth="1"/>
    <col min="1029" max="1029" width="13.5703125" style="1092" customWidth="1"/>
    <col min="1030" max="1030" width="11.7109375" style="1092" customWidth="1"/>
    <col min="1031" max="1031" width="13" style="1092" customWidth="1"/>
    <col min="1032" max="1032" width="13.28515625" style="1092" customWidth="1"/>
    <col min="1033" max="1033" width="14" style="1092" customWidth="1"/>
    <col min="1034" max="1034" width="12.140625" style="1092" customWidth="1"/>
    <col min="1035" max="1035" width="15.28515625" style="1092" customWidth="1"/>
    <col min="1036" max="1036" width="15" style="1092" customWidth="1"/>
    <col min="1037" max="1037" width="14" style="1092" customWidth="1"/>
    <col min="1038" max="1038" width="13.5703125" style="1092" customWidth="1"/>
    <col min="1039" max="1039" width="13.42578125" style="1092" customWidth="1"/>
    <col min="1040" max="1040" width="13.5703125" style="1092" customWidth="1"/>
    <col min="1041" max="1041" width="13.140625" style="1092" customWidth="1"/>
    <col min="1042" max="1042" width="12.42578125" style="1092" customWidth="1"/>
    <col min="1043" max="1043" width="15.42578125" style="1092" customWidth="1"/>
    <col min="1044" max="1044" width="14.7109375" style="1092" customWidth="1"/>
    <col min="1045" max="1045" width="13.85546875" style="1092" customWidth="1"/>
    <col min="1046" max="1046" width="13.5703125" style="1092" customWidth="1"/>
    <col min="1047" max="1280" width="9.140625" style="1092"/>
    <col min="1281" max="1281" width="5.28515625" style="1092" customWidth="1"/>
    <col min="1282" max="1282" width="34" style="1092" customWidth="1"/>
    <col min="1283" max="1283" width="13.42578125" style="1092" customWidth="1"/>
    <col min="1284" max="1284" width="14.42578125" style="1092" customWidth="1"/>
    <col min="1285" max="1285" width="13.5703125" style="1092" customWidth="1"/>
    <col min="1286" max="1286" width="11.7109375" style="1092" customWidth="1"/>
    <col min="1287" max="1287" width="13" style="1092" customWidth="1"/>
    <col min="1288" max="1288" width="13.28515625" style="1092" customWidth="1"/>
    <col min="1289" max="1289" width="14" style="1092" customWidth="1"/>
    <col min="1290" max="1290" width="12.140625" style="1092" customWidth="1"/>
    <col min="1291" max="1291" width="15.28515625" style="1092" customWidth="1"/>
    <col min="1292" max="1292" width="15" style="1092" customWidth="1"/>
    <col min="1293" max="1293" width="14" style="1092" customWidth="1"/>
    <col min="1294" max="1294" width="13.5703125" style="1092" customWidth="1"/>
    <col min="1295" max="1295" width="13.42578125" style="1092" customWidth="1"/>
    <col min="1296" max="1296" width="13.5703125" style="1092" customWidth="1"/>
    <col min="1297" max="1297" width="13.140625" style="1092" customWidth="1"/>
    <col min="1298" max="1298" width="12.42578125" style="1092" customWidth="1"/>
    <col min="1299" max="1299" width="15.42578125" style="1092" customWidth="1"/>
    <col min="1300" max="1300" width="14.7109375" style="1092" customWidth="1"/>
    <col min="1301" max="1301" width="13.85546875" style="1092" customWidth="1"/>
    <col min="1302" max="1302" width="13.5703125" style="1092" customWidth="1"/>
    <col min="1303" max="1536" width="9.140625" style="1092"/>
    <col min="1537" max="1537" width="5.28515625" style="1092" customWidth="1"/>
    <col min="1538" max="1538" width="34" style="1092" customWidth="1"/>
    <col min="1539" max="1539" width="13.42578125" style="1092" customWidth="1"/>
    <col min="1540" max="1540" width="14.42578125" style="1092" customWidth="1"/>
    <col min="1541" max="1541" width="13.5703125" style="1092" customWidth="1"/>
    <col min="1542" max="1542" width="11.7109375" style="1092" customWidth="1"/>
    <col min="1543" max="1543" width="13" style="1092" customWidth="1"/>
    <col min="1544" max="1544" width="13.28515625" style="1092" customWidth="1"/>
    <col min="1545" max="1545" width="14" style="1092" customWidth="1"/>
    <col min="1546" max="1546" width="12.140625" style="1092" customWidth="1"/>
    <col min="1547" max="1547" width="15.28515625" style="1092" customWidth="1"/>
    <col min="1548" max="1548" width="15" style="1092" customWidth="1"/>
    <col min="1549" max="1549" width="14" style="1092" customWidth="1"/>
    <col min="1550" max="1550" width="13.5703125" style="1092" customWidth="1"/>
    <col min="1551" max="1551" width="13.42578125" style="1092" customWidth="1"/>
    <col min="1552" max="1552" width="13.5703125" style="1092" customWidth="1"/>
    <col min="1553" max="1553" width="13.140625" style="1092" customWidth="1"/>
    <col min="1554" max="1554" width="12.42578125" style="1092" customWidth="1"/>
    <col min="1555" max="1555" width="15.42578125" style="1092" customWidth="1"/>
    <col min="1556" max="1556" width="14.7109375" style="1092" customWidth="1"/>
    <col min="1557" max="1557" width="13.85546875" style="1092" customWidth="1"/>
    <col min="1558" max="1558" width="13.5703125" style="1092" customWidth="1"/>
    <col min="1559" max="1792" width="9.140625" style="1092"/>
    <col min="1793" max="1793" width="5.28515625" style="1092" customWidth="1"/>
    <col min="1794" max="1794" width="34" style="1092" customWidth="1"/>
    <col min="1795" max="1795" width="13.42578125" style="1092" customWidth="1"/>
    <col min="1796" max="1796" width="14.42578125" style="1092" customWidth="1"/>
    <col min="1797" max="1797" width="13.5703125" style="1092" customWidth="1"/>
    <col min="1798" max="1798" width="11.7109375" style="1092" customWidth="1"/>
    <col min="1799" max="1799" width="13" style="1092" customWidth="1"/>
    <col min="1800" max="1800" width="13.28515625" style="1092" customWidth="1"/>
    <col min="1801" max="1801" width="14" style="1092" customWidth="1"/>
    <col min="1802" max="1802" width="12.140625" style="1092" customWidth="1"/>
    <col min="1803" max="1803" width="15.28515625" style="1092" customWidth="1"/>
    <col min="1804" max="1804" width="15" style="1092" customWidth="1"/>
    <col min="1805" max="1805" width="14" style="1092" customWidth="1"/>
    <col min="1806" max="1806" width="13.5703125" style="1092" customWidth="1"/>
    <col min="1807" max="1807" width="13.42578125" style="1092" customWidth="1"/>
    <col min="1808" max="1808" width="13.5703125" style="1092" customWidth="1"/>
    <col min="1809" max="1809" width="13.140625" style="1092" customWidth="1"/>
    <col min="1810" max="1810" width="12.42578125" style="1092" customWidth="1"/>
    <col min="1811" max="1811" width="15.42578125" style="1092" customWidth="1"/>
    <col min="1812" max="1812" width="14.7109375" style="1092" customWidth="1"/>
    <col min="1813" max="1813" width="13.85546875" style="1092" customWidth="1"/>
    <col min="1814" max="1814" width="13.5703125" style="1092" customWidth="1"/>
    <col min="1815" max="2048" width="9.140625" style="1092"/>
    <col min="2049" max="2049" width="5.28515625" style="1092" customWidth="1"/>
    <col min="2050" max="2050" width="34" style="1092" customWidth="1"/>
    <col min="2051" max="2051" width="13.42578125" style="1092" customWidth="1"/>
    <col min="2052" max="2052" width="14.42578125" style="1092" customWidth="1"/>
    <col min="2053" max="2053" width="13.5703125" style="1092" customWidth="1"/>
    <col min="2054" max="2054" width="11.7109375" style="1092" customWidth="1"/>
    <col min="2055" max="2055" width="13" style="1092" customWidth="1"/>
    <col min="2056" max="2056" width="13.28515625" style="1092" customWidth="1"/>
    <col min="2057" max="2057" width="14" style="1092" customWidth="1"/>
    <col min="2058" max="2058" width="12.140625" style="1092" customWidth="1"/>
    <col min="2059" max="2059" width="15.28515625" style="1092" customWidth="1"/>
    <col min="2060" max="2060" width="15" style="1092" customWidth="1"/>
    <col min="2061" max="2061" width="14" style="1092" customWidth="1"/>
    <col min="2062" max="2062" width="13.5703125" style="1092" customWidth="1"/>
    <col min="2063" max="2063" width="13.42578125" style="1092" customWidth="1"/>
    <col min="2064" max="2064" width="13.5703125" style="1092" customWidth="1"/>
    <col min="2065" max="2065" width="13.140625" style="1092" customWidth="1"/>
    <col min="2066" max="2066" width="12.42578125" style="1092" customWidth="1"/>
    <col min="2067" max="2067" width="15.42578125" style="1092" customWidth="1"/>
    <col min="2068" max="2068" width="14.7109375" style="1092" customWidth="1"/>
    <col min="2069" max="2069" width="13.85546875" style="1092" customWidth="1"/>
    <col min="2070" max="2070" width="13.5703125" style="1092" customWidth="1"/>
    <col min="2071" max="2304" width="9.140625" style="1092"/>
    <col min="2305" max="2305" width="5.28515625" style="1092" customWidth="1"/>
    <col min="2306" max="2306" width="34" style="1092" customWidth="1"/>
    <col min="2307" max="2307" width="13.42578125" style="1092" customWidth="1"/>
    <col min="2308" max="2308" width="14.42578125" style="1092" customWidth="1"/>
    <col min="2309" max="2309" width="13.5703125" style="1092" customWidth="1"/>
    <col min="2310" max="2310" width="11.7109375" style="1092" customWidth="1"/>
    <col min="2311" max="2311" width="13" style="1092" customWidth="1"/>
    <col min="2312" max="2312" width="13.28515625" style="1092" customWidth="1"/>
    <col min="2313" max="2313" width="14" style="1092" customWidth="1"/>
    <col min="2314" max="2314" width="12.140625" style="1092" customWidth="1"/>
    <col min="2315" max="2315" width="15.28515625" style="1092" customWidth="1"/>
    <col min="2316" max="2316" width="15" style="1092" customWidth="1"/>
    <col min="2317" max="2317" width="14" style="1092" customWidth="1"/>
    <col min="2318" max="2318" width="13.5703125" style="1092" customWidth="1"/>
    <col min="2319" max="2319" width="13.42578125" style="1092" customWidth="1"/>
    <col min="2320" max="2320" width="13.5703125" style="1092" customWidth="1"/>
    <col min="2321" max="2321" width="13.140625" style="1092" customWidth="1"/>
    <col min="2322" max="2322" width="12.42578125" style="1092" customWidth="1"/>
    <col min="2323" max="2323" width="15.42578125" style="1092" customWidth="1"/>
    <col min="2324" max="2324" width="14.7109375" style="1092" customWidth="1"/>
    <col min="2325" max="2325" width="13.85546875" style="1092" customWidth="1"/>
    <col min="2326" max="2326" width="13.5703125" style="1092" customWidth="1"/>
    <col min="2327" max="2560" width="9.140625" style="1092"/>
    <col min="2561" max="2561" width="5.28515625" style="1092" customWidth="1"/>
    <col min="2562" max="2562" width="34" style="1092" customWidth="1"/>
    <col min="2563" max="2563" width="13.42578125" style="1092" customWidth="1"/>
    <col min="2564" max="2564" width="14.42578125" style="1092" customWidth="1"/>
    <col min="2565" max="2565" width="13.5703125" style="1092" customWidth="1"/>
    <col min="2566" max="2566" width="11.7109375" style="1092" customWidth="1"/>
    <col min="2567" max="2567" width="13" style="1092" customWidth="1"/>
    <col min="2568" max="2568" width="13.28515625" style="1092" customWidth="1"/>
    <col min="2569" max="2569" width="14" style="1092" customWidth="1"/>
    <col min="2570" max="2570" width="12.140625" style="1092" customWidth="1"/>
    <col min="2571" max="2571" width="15.28515625" style="1092" customWidth="1"/>
    <col min="2572" max="2572" width="15" style="1092" customWidth="1"/>
    <col min="2573" max="2573" width="14" style="1092" customWidth="1"/>
    <col min="2574" max="2574" width="13.5703125" style="1092" customWidth="1"/>
    <col min="2575" max="2575" width="13.42578125" style="1092" customWidth="1"/>
    <col min="2576" max="2576" width="13.5703125" style="1092" customWidth="1"/>
    <col min="2577" max="2577" width="13.140625" style="1092" customWidth="1"/>
    <col min="2578" max="2578" width="12.42578125" style="1092" customWidth="1"/>
    <col min="2579" max="2579" width="15.42578125" style="1092" customWidth="1"/>
    <col min="2580" max="2580" width="14.7109375" style="1092" customWidth="1"/>
    <col min="2581" max="2581" width="13.85546875" style="1092" customWidth="1"/>
    <col min="2582" max="2582" width="13.5703125" style="1092" customWidth="1"/>
    <col min="2583" max="2816" width="9.140625" style="1092"/>
    <col min="2817" max="2817" width="5.28515625" style="1092" customWidth="1"/>
    <col min="2818" max="2818" width="34" style="1092" customWidth="1"/>
    <col min="2819" max="2819" width="13.42578125" style="1092" customWidth="1"/>
    <col min="2820" max="2820" width="14.42578125" style="1092" customWidth="1"/>
    <col min="2821" max="2821" width="13.5703125" style="1092" customWidth="1"/>
    <col min="2822" max="2822" width="11.7109375" style="1092" customWidth="1"/>
    <col min="2823" max="2823" width="13" style="1092" customWidth="1"/>
    <col min="2824" max="2824" width="13.28515625" style="1092" customWidth="1"/>
    <col min="2825" max="2825" width="14" style="1092" customWidth="1"/>
    <col min="2826" max="2826" width="12.140625" style="1092" customWidth="1"/>
    <col min="2827" max="2827" width="15.28515625" style="1092" customWidth="1"/>
    <col min="2828" max="2828" width="15" style="1092" customWidth="1"/>
    <col min="2829" max="2829" width="14" style="1092" customWidth="1"/>
    <col min="2830" max="2830" width="13.5703125" style="1092" customWidth="1"/>
    <col min="2831" max="2831" width="13.42578125" style="1092" customWidth="1"/>
    <col min="2832" max="2832" width="13.5703125" style="1092" customWidth="1"/>
    <col min="2833" max="2833" width="13.140625" style="1092" customWidth="1"/>
    <col min="2834" max="2834" width="12.42578125" style="1092" customWidth="1"/>
    <col min="2835" max="2835" width="15.42578125" style="1092" customWidth="1"/>
    <col min="2836" max="2836" width="14.7109375" style="1092" customWidth="1"/>
    <col min="2837" max="2837" width="13.85546875" style="1092" customWidth="1"/>
    <col min="2838" max="2838" width="13.5703125" style="1092" customWidth="1"/>
    <col min="2839" max="3072" width="9.140625" style="1092"/>
    <col min="3073" max="3073" width="5.28515625" style="1092" customWidth="1"/>
    <col min="3074" max="3074" width="34" style="1092" customWidth="1"/>
    <col min="3075" max="3075" width="13.42578125" style="1092" customWidth="1"/>
    <col min="3076" max="3076" width="14.42578125" style="1092" customWidth="1"/>
    <col min="3077" max="3077" width="13.5703125" style="1092" customWidth="1"/>
    <col min="3078" max="3078" width="11.7109375" style="1092" customWidth="1"/>
    <col min="3079" max="3079" width="13" style="1092" customWidth="1"/>
    <col min="3080" max="3080" width="13.28515625" style="1092" customWidth="1"/>
    <col min="3081" max="3081" width="14" style="1092" customWidth="1"/>
    <col min="3082" max="3082" width="12.140625" style="1092" customWidth="1"/>
    <col min="3083" max="3083" width="15.28515625" style="1092" customWidth="1"/>
    <col min="3084" max="3084" width="15" style="1092" customWidth="1"/>
    <col min="3085" max="3085" width="14" style="1092" customWidth="1"/>
    <col min="3086" max="3086" width="13.5703125" style="1092" customWidth="1"/>
    <col min="3087" max="3087" width="13.42578125" style="1092" customWidth="1"/>
    <col min="3088" max="3088" width="13.5703125" style="1092" customWidth="1"/>
    <col min="3089" max="3089" width="13.140625" style="1092" customWidth="1"/>
    <col min="3090" max="3090" width="12.42578125" style="1092" customWidth="1"/>
    <col min="3091" max="3091" width="15.42578125" style="1092" customWidth="1"/>
    <col min="3092" max="3092" width="14.7109375" style="1092" customWidth="1"/>
    <col min="3093" max="3093" width="13.85546875" style="1092" customWidth="1"/>
    <col min="3094" max="3094" width="13.5703125" style="1092" customWidth="1"/>
    <col min="3095" max="3328" width="9.140625" style="1092"/>
    <col min="3329" max="3329" width="5.28515625" style="1092" customWidth="1"/>
    <col min="3330" max="3330" width="34" style="1092" customWidth="1"/>
    <col min="3331" max="3331" width="13.42578125" style="1092" customWidth="1"/>
    <col min="3332" max="3332" width="14.42578125" style="1092" customWidth="1"/>
    <col min="3333" max="3333" width="13.5703125" style="1092" customWidth="1"/>
    <col min="3334" max="3334" width="11.7109375" style="1092" customWidth="1"/>
    <col min="3335" max="3335" width="13" style="1092" customWidth="1"/>
    <col min="3336" max="3336" width="13.28515625" style="1092" customWidth="1"/>
    <col min="3337" max="3337" width="14" style="1092" customWidth="1"/>
    <col min="3338" max="3338" width="12.140625" style="1092" customWidth="1"/>
    <col min="3339" max="3339" width="15.28515625" style="1092" customWidth="1"/>
    <col min="3340" max="3340" width="15" style="1092" customWidth="1"/>
    <col min="3341" max="3341" width="14" style="1092" customWidth="1"/>
    <col min="3342" max="3342" width="13.5703125" style="1092" customWidth="1"/>
    <col min="3343" max="3343" width="13.42578125" style="1092" customWidth="1"/>
    <col min="3344" max="3344" width="13.5703125" style="1092" customWidth="1"/>
    <col min="3345" max="3345" width="13.140625" style="1092" customWidth="1"/>
    <col min="3346" max="3346" width="12.42578125" style="1092" customWidth="1"/>
    <col min="3347" max="3347" width="15.42578125" style="1092" customWidth="1"/>
    <col min="3348" max="3348" width="14.7109375" style="1092" customWidth="1"/>
    <col min="3349" max="3349" width="13.85546875" style="1092" customWidth="1"/>
    <col min="3350" max="3350" width="13.5703125" style="1092" customWidth="1"/>
    <col min="3351" max="3584" width="9.140625" style="1092"/>
    <col min="3585" max="3585" width="5.28515625" style="1092" customWidth="1"/>
    <col min="3586" max="3586" width="34" style="1092" customWidth="1"/>
    <col min="3587" max="3587" width="13.42578125" style="1092" customWidth="1"/>
    <col min="3588" max="3588" width="14.42578125" style="1092" customWidth="1"/>
    <col min="3589" max="3589" width="13.5703125" style="1092" customWidth="1"/>
    <col min="3590" max="3590" width="11.7109375" style="1092" customWidth="1"/>
    <col min="3591" max="3591" width="13" style="1092" customWidth="1"/>
    <col min="3592" max="3592" width="13.28515625" style="1092" customWidth="1"/>
    <col min="3593" max="3593" width="14" style="1092" customWidth="1"/>
    <col min="3594" max="3594" width="12.140625" style="1092" customWidth="1"/>
    <col min="3595" max="3595" width="15.28515625" style="1092" customWidth="1"/>
    <col min="3596" max="3596" width="15" style="1092" customWidth="1"/>
    <col min="3597" max="3597" width="14" style="1092" customWidth="1"/>
    <col min="3598" max="3598" width="13.5703125" style="1092" customWidth="1"/>
    <col min="3599" max="3599" width="13.42578125" style="1092" customWidth="1"/>
    <col min="3600" max="3600" width="13.5703125" style="1092" customWidth="1"/>
    <col min="3601" max="3601" width="13.140625" style="1092" customWidth="1"/>
    <col min="3602" max="3602" width="12.42578125" style="1092" customWidth="1"/>
    <col min="3603" max="3603" width="15.42578125" style="1092" customWidth="1"/>
    <col min="3604" max="3604" width="14.7109375" style="1092" customWidth="1"/>
    <col min="3605" max="3605" width="13.85546875" style="1092" customWidth="1"/>
    <col min="3606" max="3606" width="13.5703125" style="1092" customWidth="1"/>
    <col min="3607" max="3840" width="9.140625" style="1092"/>
    <col min="3841" max="3841" width="5.28515625" style="1092" customWidth="1"/>
    <col min="3842" max="3842" width="34" style="1092" customWidth="1"/>
    <col min="3843" max="3843" width="13.42578125" style="1092" customWidth="1"/>
    <col min="3844" max="3844" width="14.42578125" style="1092" customWidth="1"/>
    <col min="3845" max="3845" width="13.5703125" style="1092" customWidth="1"/>
    <col min="3846" max="3846" width="11.7109375" style="1092" customWidth="1"/>
    <col min="3847" max="3847" width="13" style="1092" customWidth="1"/>
    <col min="3848" max="3848" width="13.28515625" style="1092" customWidth="1"/>
    <col min="3849" max="3849" width="14" style="1092" customWidth="1"/>
    <col min="3850" max="3850" width="12.140625" style="1092" customWidth="1"/>
    <col min="3851" max="3851" width="15.28515625" style="1092" customWidth="1"/>
    <col min="3852" max="3852" width="15" style="1092" customWidth="1"/>
    <col min="3853" max="3853" width="14" style="1092" customWidth="1"/>
    <col min="3854" max="3854" width="13.5703125" style="1092" customWidth="1"/>
    <col min="3855" max="3855" width="13.42578125" style="1092" customWidth="1"/>
    <col min="3856" max="3856" width="13.5703125" style="1092" customWidth="1"/>
    <col min="3857" max="3857" width="13.140625" style="1092" customWidth="1"/>
    <col min="3858" max="3858" width="12.42578125" style="1092" customWidth="1"/>
    <col min="3859" max="3859" width="15.42578125" style="1092" customWidth="1"/>
    <col min="3860" max="3860" width="14.7109375" style="1092" customWidth="1"/>
    <col min="3861" max="3861" width="13.85546875" style="1092" customWidth="1"/>
    <col min="3862" max="3862" width="13.5703125" style="1092" customWidth="1"/>
    <col min="3863" max="4096" width="9.140625" style="1092"/>
    <col min="4097" max="4097" width="5.28515625" style="1092" customWidth="1"/>
    <col min="4098" max="4098" width="34" style="1092" customWidth="1"/>
    <col min="4099" max="4099" width="13.42578125" style="1092" customWidth="1"/>
    <col min="4100" max="4100" width="14.42578125" style="1092" customWidth="1"/>
    <col min="4101" max="4101" width="13.5703125" style="1092" customWidth="1"/>
    <col min="4102" max="4102" width="11.7109375" style="1092" customWidth="1"/>
    <col min="4103" max="4103" width="13" style="1092" customWidth="1"/>
    <col min="4104" max="4104" width="13.28515625" style="1092" customWidth="1"/>
    <col min="4105" max="4105" width="14" style="1092" customWidth="1"/>
    <col min="4106" max="4106" width="12.140625" style="1092" customWidth="1"/>
    <col min="4107" max="4107" width="15.28515625" style="1092" customWidth="1"/>
    <col min="4108" max="4108" width="15" style="1092" customWidth="1"/>
    <col min="4109" max="4109" width="14" style="1092" customWidth="1"/>
    <col min="4110" max="4110" width="13.5703125" style="1092" customWidth="1"/>
    <col min="4111" max="4111" width="13.42578125" style="1092" customWidth="1"/>
    <col min="4112" max="4112" width="13.5703125" style="1092" customWidth="1"/>
    <col min="4113" max="4113" width="13.140625" style="1092" customWidth="1"/>
    <col min="4114" max="4114" width="12.42578125" style="1092" customWidth="1"/>
    <col min="4115" max="4115" width="15.42578125" style="1092" customWidth="1"/>
    <col min="4116" max="4116" width="14.7109375" style="1092" customWidth="1"/>
    <col min="4117" max="4117" width="13.85546875" style="1092" customWidth="1"/>
    <col min="4118" max="4118" width="13.5703125" style="1092" customWidth="1"/>
    <col min="4119" max="4352" width="9.140625" style="1092"/>
    <col min="4353" max="4353" width="5.28515625" style="1092" customWidth="1"/>
    <col min="4354" max="4354" width="34" style="1092" customWidth="1"/>
    <col min="4355" max="4355" width="13.42578125" style="1092" customWidth="1"/>
    <col min="4356" max="4356" width="14.42578125" style="1092" customWidth="1"/>
    <col min="4357" max="4357" width="13.5703125" style="1092" customWidth="1"/>
    <col min="4358" max="4358" width="11.7109375" style="1092" customWidth="1"/>
    <col min="4359" max="4359" width="13" style="1092" customWidth="1"/>
    <col min="4360" max="4360" width="13.28515625" style="1092" customWidth="1"/>
    <col min="4361" max="4361" width="14" style="1092" customWidth="1"/>
    <col min="4362" max="4362" width="12.140625" style="1092" customWidth="1"/>
    <col min="4363" max="4363" width="15.28515625" style="1092" customWidth="1"/>
    <col min="4364" max="4364" width="15" style="1092" customWidth="1"/>
    <col min="4365" max="4365" width="14" style="1092" customWidth="1"/>
    <col min="4366" max="4366" width="13.5703125" style="1092" customWidth="1"/>
    <col min="4367" max="4367" width="13.42578125" style="1092" customWidth="1"/>
    <col min="4368" max="4368" width="13.5703125" style="1092" customWidth="1"/>
    <col min="4369" max="4369" width="13.140625" style="1092" customWidth="1"/>
    <col min="4370" max="4370" width="12.42578125" style="1092" customWidth="1"/>
    <col min="4371" max="4371" width="15.42578125" style="1092" customWidth="1"/>
    <col min="4372" max="4372" width="14.7109375" style="1092" customWidth="1"/>
    <col min="4373" max="4373" width="13.85546875" style="1092" customWidth="1"/>
    <col min="4374" max="4374" width="13.5703125" style="1092" customWidth="1"/>
    <col min="4375" max="4608" width="9.140625" style="1092"/>
    <col min="4609" max="4609" width="5.28515625" style="1092" customWidth="1"/>
    <col min="4610" max="4610" width="34" style="1092" customWidth="1"/>
    <col min="4611" max="4611" width="13.42578125" style="1092" customWidth="1"/>
    <col min="4612" max="4612" width="14.42578125" style="1092" customWidth="1"/>
    <col min="4613" max="4613" width="13.5703125" style="1092" customWidth="1"/>
    <col min="4614" max="4614" width="11.7109375" style="1092" customWidth="1"/>
    <col min="4615" max="4615" width="13" style="1092" customWidth="1"/>
    <col min="4616" max="4616" width="13.28515625" style="1092" customWidth="1"/>
    <col min="4617" max="4617" width="14" style="1092" customWidth="1"/>
    <col min="4618" max="4618" width="12.140625" style="1092" customWidth="1"/>
    <col min="4619" max="4619" width="15.28515625" style="1092" customWidth="1"/>
    <col min="4620" max="4620" width="15" style="1092" customWidth="1"/>
    <col min="4621" max="4621" width="14" style="1092" customWidth="1"/>
    <col min="4622" max="4622" width="13.5703125" style="1092" customWidth="1"/>
    <col min="4623" max="4623" width="13.42578125" style="1092" customWidth="1"/>
    <col min="4624" max="4624" width="13.5703125" style="1092" customWidth="1"/>
    <col min="4625" max="4625" width="13.140625" style="1092" customWidth="1"/>
    <col min="4626" max="4626" width="12.42578125" style="1092" customWidth="1"/>
    <col min="4627" max="4627" width="15.42578125" style="1092" customWidth="1"/>
    <col min="4628" max="4628" width="14.7109375" style="1092" customWidth="1"/>
    <col min="4629" max="4629" width="13.85546875" style="1092" customWidth="1"/>
    <col min="4630" max="4630" width="13.5703125" style="1092" customWidth="1"/>
    <col min="4631" max="4864" width="9.140625" style="1092"/>
    <col min="4865" max="4865" width="5.28515625" style="1092" customWidth="1"/>
    <col min="4866" max="4866" width="34" style="1092" customWidth="1"/>
    <col min="4867" max="4867" width="13.42578125" style="1092" customWidth="1"/>
    <col min="4868" max="4868" width="14.42578125" style="1092" customWidth="1"/>
    <col min="4869" max="4869" width="13.5703125" style="1092" customWidth="1"/>
    <col min="4870" max="4870" width="11.7109375" style="1092" customWidth="1"/>
    <col min="4871" max="4871" width="13" style="1092" customWidth="1"/>
    <col min="4872" max="4872" width="13.28515625" style="1092" customWidth="1"/>
    <col min="4873" max="4873" width="14" style="1092" customWidth="1"/>
    <col min="4874" max="4874" width="12.140625" style="1092" customWidth="1"/>
    <col min="4875" max="4875" width="15.28515625" style="1092" customWidth="1"/>
    <col min="4876" max="4876" width="15" style="1092" customWidth="1"/>
    <col min="4877" max="4877" width="14" style="1092" customWidth="1"/>
    <col min="4878" max="4878" width="13.5703125" style="1092" customWidth="1"/>
    <col min="4879" max="4879" width="13.42578125" style="1092" customWidth="1"/>
    <col min="4880" max="4880" width="13.5703125" style="1092" customWidth="1"/>
    <col min="4881" max="4881" width="13.140625" style="1092" customWidth="1"/>
    <col min="4882" max="4882" width="12.42578125" style="1092" customWidth="1"/>
    <col min="4883" max="4883" width="15.42578125" style="1092" customWidth="1"/>
    <col min="4884" max="4884" width="14.7109375" style="1092" customWidth="1"/>
    <col min="4885" max="4885" width="13.85546875" style="1092" customWidth="1"/>
    <col min="4886" max="4886" width="13.5703125" style="1092" customWidth="1"/>
    <col min="4887" max="5120" width="9.140625" style="1092"/>
    <col min="5121" max="5121" width="5.28515625" style="1092" customWidth="1"/>
    <col min="5122" max="5122" width="34" style="1092" customWidth="1"/>
    <col min="5123" max="5123" width="13.42578125" style="1092" customWidth="1"/>
    <col min="5124" max="5124" width="14.42578125" style="1092" customWidth="1"/>
    <col min="5125" max="5125" width="13.5703125" style="1092" customWidth="1"/>
    <col min="5126" max="5126" width="11.7109375" style="1092" customWidth="1"/>
    <col min="5127" max="5127" width="13" style="1092" customWidth="1"/>
    <col min="5128" max="5128" width="13.28515625" style="1092" customWidth="1"/>
    <col min="5129" max="5129" width="14" style="1092" customWidth="1"/>
    <col min="5130" max="5130" width="12.140625" style="1092" customWidth="1"/>
    <col min="5131" max="5131" width="15.28515625" style="1092" customWidth="1"/>
    <col min="5132" max="5132" width="15" style="1092" customWidth="1"/>
    <col min="5133" max="5133" width="14" style="1092" customWidth="1"/>
    <col min="5134" max="5134" width="13.5703125" style="1092" customWidth="1"/>
    <col min="5135" max="5135" width="13.42578125" style="1092" customWidth="1"/>
    <col min="5136" max="5136" width="13.5703125" style="1092" customWidth="1"/>
    <col min="5137" max="5137" width="13.140625" style="1092" customWidth="1"/>
    <col min="5138" max="5138" width="12.42578125" style="1092" customWidth="1"/>
    <col min="5139" max="5139" width="15.42578125" style="1092" customWidth="1"/>
    <col min="5140" max="5140" width="14.7109375" style="1092" customWidth="1"/>
    <col min="5141" max="5141" width="13.85546875" style="1092" customWidth="1"/>
    <col min="5142" max="5142" width="13.5703125" style="1092" customWidth="1"/>
    <col min="5143" max="5376" width="9.140625" style="1092"/>
    <col min="5377" max="5377" width="5.28515625" style="1092" customWidth="1"/>
    <col min="5378" max="5378" width="34" style="1092" customWidth="1"/>
    <col min="5379" max="5379" width="13.42578125" style="1092" customWidth="1"/>
    <col min="5380" max="5380" width="14.42578125" style="1092" customWidth="1"/>
    <col min="5381" max="5381" width="13.5703125" style="1092" customWidth="1"/>
    <col min="5382" max="5382" width="11.7109375" style="1092" customWidth="1"/>
    <col min="5383" max="5383" width="13" style="1092" customWidth="1"/>
    <col min="5384" max="5384" width="13.28515625" style="1092" customWidth="1"/>
    <col min="5385" max="5385" width="14" style="1092" customWidth="1"/>
    <col min="5386" max="5386" width="12.140625" style="1092" customWidth="1"/>
    <col min="5387" max="5387" width="15.28515625" style="1092" customWidth="1"/>
    <col min="5388" max="5388" width="15" style="1092" customWidth="1"/>
    <col min="5389" max="5389" width="14" style="1092" customWidth="1"/>
    <col min="5390" max="5390" width="13.5703125" style="1092" customWidth="1"/>
    <col min="5391" max="5391" width="13.42578125" style="1092" customWidth="1"/>
    <col min="5392" max="5392" width="13.5703125" style="1092" customWidth="1"/>
    <col min="5393" max="5393" width="13.140625" style="1092" customWidth="1"/>
    <col min="5394" max="5394" width="12.42578125" style="1092" customWidth="1"/>
    <col min="5395" max="5395" width="15.42578125" style="1092" customWidth="1"/>
    <col min="5396" max="5396" width="14.7109375" style="1092" customWidth="1"/>
    <col min="5397" max="5397" width="13.85546875" style="1092" customWidth="1"/>
    <col min="5398" max="5398" width="13.5703125" style="1092" customWidth="1"/>
    <col min="5399" max="5632" width="9.140625" style="1092"/>
    <col min="5633" max="5633" width="5.28515625" style="1092" customWidth="1"/>
    <col min="5634" max="5634" width="34" style="1092" customWidth="1"/>
    <col min="5635" max="5635" width="13.42578125" style="1092" customWidth="1"/>
    <col min="5636" max="5636" width="14.42578125" style="1092" customWidth="1"/>
    <col min="5637" max="5637" width="13.5703125" style="1092" customWidth="1"/>
    <col min="5638" max="5638" width="11.7109375" style="1092" customWidth="1"/>
    <col min="5639" max="5639" width="13" style="1092" customWidth="1"/>
    <col min="5640" max="5640" width="13.28515625" style="1092" customWidth="1"/>
    <col min="5641" max="5641" width="14" style="1092" customWidth="1"/>
    <col min="5642" max="5642" width="12.140625" style="1092" customWidth="1"/>
    <col min="5643" max="5643" width="15.28515625" style="1092" customWidth="1"/>
    <col min="5644" max="5644" width="15" style="1092" customWidth="1"/>
    <col min="5645" max="5645" width="14" style="1092" customWidth="1"/>
    <col min="5646" max="5646" width="13.5703125" style="1092" customWidth="1"/>
    <col min="5647" max="5647" width="13.42578125" style="1092" customWidth="1"/>
    <col min="5648" max="5648" width="13.5703125" style="1092" customWidth="1"/>
    <col min="5649" max="5649" width="13.140625" style="1092" customWidth="1"/>
    <col min="5650" max="5650" width="12.42578125" style="1092" customWidth="1"/>
    <col min="5651" max="5651" width="15.42578125" style="1092" customWidth="1"/>
    <col min="5652" max="5652" width="14.7109375" style="1092" customWidth="1"/>
    <col min="5653" max="5653" width="13.85546875" style="1092" customWidth="1"/>
    <col min="5654" max="5654" width="13.5703125" style="1092" customWidth="1"/>
    <col min="5655" max="5888" width="9.140625" style="1092"/>
    <col min="5889" max="5889" width="5.28515625" style="1092" customWidth="1"/>
    <col min="5890" max="5890" width="34" style="1092" customWidth="1"/>
    <col min="5891" max="5891" width="13.42578125" style="1092" customWidth="1"/>
    <col min="5892" max="5892" width="14.42578125" style="1092" customWidth="1"/>
    <col min="5893" max="5893" width="13.5703125" style="1092" customWidth="1"/>
    <col min="5894" max="5894" width="11.7109375" style="1092" customWidth="1"/>
    <col min="5895" max="5895" width="13" style="1092" customWidth="1"/>
    <col min="5896" max="5896" width="13.28515625" style="1092" customWidth="1"/>
    <col min="5897" max="5897" width="14" style="1092" customWidth="1"/>
    <col min="5898" max="5898" width="12.140625" style="1092" customWidth="1"/>
    <col min="5899" max="5899" width="15.28515625" style="1092" customWidth="1"/>
    <col min="5900" max="5900" width="15" style="1092" customWidth="1"/>
    <col min="5901" max="5901" width="14" style="1092" customWidth="1"/>
    <col min="5902" max="5902" width="13.5703125" style="1092" customWidth="1"/>
    <col min="5903" max="5903" width="13.42578125" style="1092" customWidth="1"/>
    <col min="5904" max="5904" width="13.5703125" style="1092" customWidth="1"/>
    <col min="5905" max="5905" width="13.140625" style="1092" customWidth="1"/>
    <col min="5906" max="5906" width="12.42578125" style="1092" customWidth="1"/>
    <col min="5907" max="5907" width="15.42578125" style="1092" customWidth="1"/>
    <col min="5908" max="5908" width="14.7109375" style="1092" customWidth="1"/>
    <col min="5909" max="5909" width="13.85546875" style="1092" customWidth="1"/>
    <col min="5910" max="5910" width="13.5703125" style="1092" customWidth="1"/>
    <col min="5911" max="6144" width="9.140625" style="1092"/>
    <col min="6145" max="6145" width="5.28515625" style="1092" customWidth="1"/>
    <col min="6146" max="6146" width="34" style="1092" customWidth="1"/>
    <col min="6147" max="6147" width="13.42578125" style="1092" customWidth="1"/>
    <col min="6148" max="6148" width="14.42578125" style="1092" customWidth="1"/>
    <col min="6149" max="6149" width="13.5703125" style="1092" customWidth="1"/>
    <col min="6150" max="6150" width="11.7109375" style="1092" customWidth="1"/>
    <col min="6151" max="6151" width="13" style="1092" customWidth="1"/>
    <col min="6152" max="6152" width="13.28515625" style="1092" customWidth="1"/>
    <col min="6153" max="6153" width="14" style="1092" customWidth="1"/>
    <col min="6154" max="6154" width="12.140625" style="1092" customWidth="1"/>
    <col min="6155" max="6155" width="15.28515625" style="1092" customWidth="1"/>
    <col min="6156" max="6156" width="15" style="1092" customWidth="1"/>
    <col min="6157" max="6157" width="14" style="1092" customWidth="1"/>
    <col min="6158" max="6158" width="13.5703125" style="1092" customWidth="1"/>
    <col min="6159" max="6159" width="13.42578125" style="1092" customWidth="1"/>
    <col min="6160" max="6160" width="13.5703125" style="1092" customWidth="1"/>
    <col min="6161" max="6161" width="13.140625" style="1092" customWidth="1"/>
    <col min="6162" max="6162" width="12.42578125" style="1092" customWidth="1"/>
    <col min="6163" max="6163" width="15.42578125" style="1092" customWidth="1"/>
    <col min="6164" max="6164" width="14.7109375" style="1092" customWidth="1"/>
    <col min="6165" max="6165" width="13.85546875" style="1092" customWidth="1"/>
    <col min="6166" max="6166" width="13.5703125" style="1092" customWidth="1"/>
    <col min="6167" max="6400" width="9.140625" style="1092"/>
    <col min="6401" max="6401" width="5.28515625" style="1092" customWidth="1"/>
    <col min="6402" max="6402" width="34" style="1092" customWidth="1"/>
    <col min="6403" max="6403" width="13.42578125" style="1092" customWidth="1"/>
    <col min="6404" max="6404" width="14.42578125" style="1092" customWidth="1"/>
    <col min="6405" max="6405" width="13.5703125" style="1092" customWidth="1"/>
    <col min="6406" max="6406" width="11.7109375" style="1092" customWidth="1"/>
    <col min="6407" max="6407" width="13" style="1092" customWidth="1"/>
    <col min="6408" max="6408" width="13.28515625" style="1092" customWidth="1"/>
    <col min="6409" max="6409" width="14" style="1092" customWidth="1"/>
    <col min="6410" max="6410" width="12.140625" style="1092" customWidth="1"/>
    <col min="6411" max="6411" width="15.28515625" style="1092" customWidth="1"/>
    <col min="6412" max="6412" width="15" style="1092" customWidth="1"/>
    <col min="6413" max="6413" width="14" style="1092" customWidth="1"/>
    <col min="6414" max="6414" width="13.5703125" style="1092" customWidth="1"/>
    <col min="6415" max="6415" width="13.42578125" style="1092" customWidth="1"/>
    <col min="6416" max="6416" width="13.5703125" style="1092" customWidth="1"/>
    <col min="6417" max="6417" width="13.140625" style="1092" customWidth="1"/>
    <col min="6418" max="6418" width="12.42578125" style="1092" customWidth="1"/>
    <col min="6419" max="6419" width="15.42578125" style="1092" customWidth="1"/>
    <col min="6420" max="6420" width="14.7109375" style="1092" customWidth="1"/>
    <col min="6421" max="6421" width="13.85546875" style="1092" customWidth="1"/>
    <col min="6422" max="6422" width="13.5703125" style="1092" customWidth="1"/>
    <col min="6423" max="6656" width="9.140625" style="1092"/>
    <col min="6657" max="6657" width="5.28515625" style="1092" customWidth="1"/>
    <col min="6658" max="6658" width="34" style="1092" customWidth="1"/>
    <col min="6659" max="6659" width="13.42578125" style="1092" customWidth="1"/>
    <col min="6660" max="6660" width="14.42578125" style="1092" customWidth="1"/>
    <col min="6661" max="6661" width="13.5703125" style="1092" customWidth="1"/>
    <col min="6662" max="6662" width="11.7109375" style="1092" customWidth="1"/>
    <col min="6663" max="6663" width="13" style="1092" customWidth="1"/>
    <col min="6664" max="6664" width="13.28515625" style="1092" customWidth="1"/>
    <col min="6665" max="6665" width="14" style="1092" customWidth="1"/>
    <col min="6666" max="6666" width="12.140625" style="1092" customWidth="1"/>
    <col min="6667" max="6667" width="15.28515625" style="1092" customWidth="1"/>
    <col min="6668" max="6668" width="15" style="1092" customWidth="1"/>
    <col min="6669" max="6669" width="14" style="1092" customWidth="1"/>
    <col min="6670" max="6670" width="13.5703125" style="1092" customWidth="1"/>
    <col min="6671" max="6671" width="13.42578125" style="1092" customWidth="1"/>
    <col min="6672" max="6672" width="13.5703125" style="1092" customWidth="1"/>
    <col min="6673" max="6673" width="13.140625" style="1092" customWidth="1"/>
    <col min="6674" max="6674" width="12.42578125" style="1092" customWidth="1"/>
    <col min="6675" max="6675" width="15.42578125" style="1092" customWidth="1"/>
    <col min="6676" max="6676" width="14.7109375" style="1092" customWidth="1"/>
    <col min="6677" max="6677" width="13.85546875" style="1092" customWidth="1"/>
    <col min="6678" max="6678" width="13.5703125" style="1092" customWidth="1"/>
    <col min="6679" max="6912" width="9.140625" style="1092"/>
    <col min="6913" max="6913" width="5.28515625" style="1092" customWidth="1"/>
    <col min="6914" max="6914" width="34" style="1092" customWidth="1"/>
    <col min="6915" max="6915" width="13.42578125" style="1092" customWidth="1"/>
    <col min="6916" max="6916" width="14.42578125" style="1092" customWidth="1"/>
    <col min="6917" max="6917" width="13.5703125" style="1092" customWidth="1"/>
    <col min="6918" max="6918" width="11.7109375" style="1092" customWidth="1"/>
    <col min="6919" max="6919" width="13" style="1092" customWidth="1"/>
    <col min="6920" max="6920" width="13.28515625" style="1092" customWidth="1"/>
    <col min="6921" max="6921" width="14" style="1092" customWidth="1"/>
    <col min="6922" max="6922" width="12.140625" style="1092" customWidth="1"/>
    <col min="6923" max="6923" width="15.28515625" style="1092" customWidth="1"/>
    <col min="6924" max="6924" width="15" style="1092" customWidth="1"/>
    <col min="6925" max="6925" width="14" style="1092" customWidth="1"/>
    <col min="6926" max="6926" width="13.5703125" style="1092" customWidth="1"/>
    <col min="6927" max="6927" width="13.42578125" style="1092" customWidth="1"/>
    <col min="6928" max="6928" width="13.5703125" style="1092" customWidth="1"/>
    <col min="6929" max="6929" width="13.140625" style="1092" customWidth="1"/>
    <col min="6930" max="6930" width="12.42578125" style="1092" customWidth="1"/>
    <col min="6931" max="6931" width="15.42578125" style="1092" customWidth="1"/>
    <col min="6932" max="6932" width="14.7109375" style="1092" customWidth="1"/>
    <col min="6933" max="6933" width="13.85546875" style="1092" customWidth="1"/>
    <col min="6934" max="6934" width="13.5703125" style="1092" customWidth="1"/>
    <col min="6935" max="7168" width="9.140625" style="1092"/>
    <col min="7169" max="7169" width="5.28515625" style="1092" customWidth="1"/>
    <col min="7170" max="7170" width="34" style="1092" customWidth="1"/>
    <col min="7171" max="7171" width="13.42578125" style="1092" customWidth="1"/>
    <col min="7172" max="7172" width="14.42578125" style="1092" customWidth="1"/>
    <col min="7173" max="7173" width="13.5703125" style="1092" customWidth="1"/>
    <col min="7174" max="7174" width="11.7109375" style="1092" customWidth="1"/>
    <col min="7175" max="7175" width="13" style="1092" customWidth="1"/>
    <col min="7176" max="7176" width="13.28515625" style="1092" customWidth="1"/>
    <col min="7177" max="7177" width="14" style="1092" customWidth="1"/>
    <col min="7178" max="7178" width="12.140625" style="1092" customWidth="1"/>
    <col min="7179" max="7179" width="15.28515625" style="1092" customWidth="1"/>
    <col min="7180" max="7180" width="15" style="1092" customWidth="1"/>
    <col min="7181" max="7181" width="14" style="1092" customWidth="1"/>
    <col min="7182" max="7182" width="13.5703125" style="1092" customWidth="1"/>
    <col min="7183" max="7183" width="13.42578125" style="1092" customWidth="1"/>
    <col min="7184" max="7184" width="13.5703125" style="1092" customWidth="1"/>
    <col min="7185" max="7185" width="13.140625" style="1092" customWidth="1"/>
    <col min="7186" max="7186" width="12.42578125" style="1092" customWidth="1"/>
    <col min="7187" max="7187" width="15.42578125" style="1092" customWidth="1"/>
    <col min="7188" max="7188" width="14.7109375" style="1092" customWidth="1"/>
    <col min="7189" max="7189" width="13.85546875" style="1092" customWidth="1"/>
    <col min="7190" max="7190" width="13.5703125" style="1092" customWidth="1"/>
    <col min="7191" max="7424" width="9.140625" style="1092"/>
    <col min="7425" max="7425" width="5.28515625" style="1092" customWidth="1"/>
    <col min="7426" max="7426" width="34" style="1092" customWidth="1"/>
    <col min="7427" max="7427" width="13.42578125" style="1092" customWidth="1"/>
    <col min="7428" max="7428" width="14.42578125" style="1092" customWidth="1"/>
    <col min="7429" max="7429" width="13.5703125" style="1092" customWidth="1"/>
    <col min="7430" max="7430" width="11.7109375" style="1092" customWidth="1"/>
    <col min="7431" max="7431" width="13" style="1092" customWidth="1"/>
    <col min="7432" max="7432" width="13.28515625" style="1092" customWidth="1"/>
    <col min="7433" max="7433" width="14" style="1092" customWidth="1"/>
    <col min="7434" max="7434" width="12.140625" style="1092" customWidth="1"/>
    <col min="7435" max="7435" width="15.28515625" style="1092" customWidth="1"/>
    <col min="7436" max="7436" width="15" style="1092" customWidth="1"/>
    <col min="7437" max="7437" width="14" style="1092" customWidth="1"/>
    <col min="7438" max="7438" width="13.5703125" style="1092" customWidth="1"/>
    <col min="7439" max="7439" width="13.42578125" style="1092" customWidth="1"/>
    <col min="7440" max="7440" width="13.5703125" style="1092" customWidth="1"/>
    <col min="7441" max="7441" width="13.140625" style="1092" customWidth="1"/>
    <col min="7442" max="7442" width="12.42578125" style="1092" customWidth="1"/>
    <col min="7443" max="7443" width="15.42578125" style="1092" customWidth="1"/>
    <col min="7444" max="7444" width="14.7109375" style="1092" customWidth="1"/>
    <col min="7445" max="7445" width="13.85546875" style="1092" customWidth="1"/>
    <col min="7446" max="7446" width="13.5703125" style="1092" customWidth="1"/>
    <col min="7447" max="7680" width="9.140625" style="1092"/>
    <col min="7681" max="7681" width="5.28515625" style="1092" customWidth="1"/>
    <col min="7682" max="7682" width="34" style="1092" customWidth="1"/>
    <col min="7683" max="7683" width="13.42578125" style="1092" customWidth="1"/>
    <col min="7684" max="7684" width="14.42578125" style="1092" customWidth="1"/>
    <col min="7685" max="7685" width="13.5703125" style="1092" customWidth="1"/>
    <col min="7686" max="7686" width="11.7109375" style="1092" customWidth="1"/>
    <col min="7687" max="7687" width="13" style="1092" customWidth="1"/>
    <col min="7688" max="7688" width="13.28515625" style="1092" customWidth="1"/>
    <col min="7689" max="7689" width="14" style="1092" customWidth="1"/>
    <col min="7690" max="7690" width="12.140625" style="1092" customWidth="1"/>
    <col min="7691" max="7691" width="15.28515625" style="1092" customWidth="1"/>
    <col min="7692" max="7692" width="15" style="1092" customWidth="1"/>
    <col min="7693" max="7693" width="14" style="1092" customWidth="1"/>
    <col min="7694" max="7694" width="13.5703125" style="1092" customWidth="1"/>
    <col min="7695" max="7695" width="13.42578125" style="1092" customWidth="1"/>
    <col min="7696" max="7696" width="13.5703125" style="1092" customWidth="1"/>
    <col min="7697" max="7697" width="13.140625" style="1092" customWidth="1"/>
    <col min="7698" max="7698" width="12.42578125" style="1092" customWidth="1"/>
    <col min="7699" max="7699" width="15.42578125" style="1092" customWidth="1"/>
    <col min="7700" max="7700" width="14.7109375" style="1092" customWidth="1"/>
    <col min="7701" max="7701" width="13.85546875" style="1092" customWidth="1"/>
    <col min="7702" max="7702" width="13.5703125" style="1092" customWidth="1"/>
    <col min="7703" max="7936" width="9.140625" style="1092"/>
    <col min="7937" max="7937" width="5.28515625" style="1092" customWidth="1"/>
    <col min="7938" max="7938" width="34" style="1092" customWidth="1"/>
    <col min="7939" max="7939" width="13.42578125" style="1092" customWidth="1"/>
    <col min="7940" max="7940" width="14.42578125" style="1092" customWidth="1"/>
    <col min="7941" max="7941" width="13.5703125" style="1092" customWidth="1"/>
    <col min="7942" max="7942" width="11.7109375" style="1092" customWidth="1"/>
    <col min="7943" max="7943" width="13" style="1092" customWidth="1"/>
    <col min="7944" max="7944" width="13.28515625" style="1092" customWidth="1"/>
    <col min="7945" max="7945" width="14" style="1092" customWidth="1"/>
    <col min="7946" max="7946" width="12.140625" style="1092" customWidth="1"/>
    <col min="7947" max="7947" width="15.28515625" style="1092" customWidth="1"/>
    <col min="7948" max="7948" width="15" style="1092" customWidth="1"/>
    <col min="7949" max="7949" width="14" style="1092" customWidth="1"/>
    <col min="7950" max="7950" width="13.5703125" style="1092" customWidth="1"/>
    <col min="7951" max="7951" width="13.42578125" style="1092" customWidth="1"/>
    <col min="7952" max="7952" width="13.5703125" style="1092" customWidth="1"/>
    <col min="7953" max="7953" width="13.140625" style="1092" customWidth="1"/>
    <col min="7954" max="7954" width="12.42578125" style="1092" customWidth="1"/>
    <col min="7955" max="7955" width="15.42578125" style="1092" customWidth="1"/>
    <col min="7956" max="7956" width="14.7109375" style="1092" customWidth="1"/>
    <col min="7957" max="7957" width="13.85546875" style="1092" customWidth="1"/>
    <col min="7958" max="7958" width="13.5703125" style="1092" customWidth="1"/>
    <col min="7959" max="8192" width="9.140625" style="1092"/>
    <col min="8193" max="8193" width="5.28515625" style="1092" customWidth="1"/>
    <col min="8194" max="8194" width="34" style="1092" customWidth="1"/>
    <col min="8195" max="8195" width="13.42578125" style="1092" customWidth="1"/>
    <col min="8196" max="8196" width="14.42578125" style="1092" customWidth="1"/>
    <col min="8197" max="8197" width="13.5703125" style="1092" customWidth="1"/>
    <col min="8198" max="8198" width="11.7109375" style="1092" customWidth="1"/>
    <col min="8199" max="8199" width="13" style="1092" customWidth="1"/>
    <col min="8200" max="8200" width="13.28515625" style="1092" customWidth="1"/>
    <col min="8201" max="8201" width="14" style="1092" customWidth="1"/>
    <col min="8202" max="8202" width="12.140625" style="1092" customWidth="1"/>
    <col min="8203" max="8203" width="15.28515625" style="1092" customWidth="1"/>
    <col min="8204" max="8204" width="15" style="1092" customWidth="1"/>
    <col min="8205" max="8205" width="14" style="1092" customWidth="1"/>
    <col min="8206" max="8206" width="13.5703125" style="1092" customWidth="1"/>
    <col min="8207" max="8207" width="13.42578125" style="1092" customWidth="1"/>
    <col min="8208" max="8208" width="13.5703125" style="1092" customWidth="1"/>
    <col min="8209" max="8209" width="13.140625" style="1092" customWidth="1"/>
    <col min="8210" max="8210" width="12.42578125" style="1092" customWidth="1"/>
    <col min="8211" max="8211" width="15.42578125" style="1092" customWidth="1"/>
    <col min="8212" max="8212" width="14.7109375" style="1092" customWidth="1"/>
    <col min="8213" max="8213" width="13.85546875" style="1092" customWidth="1"/>
    <col min="8214" max="8214" width="13.5703125" style="1092" customWidth="1"/>
    <col min="8215" max="8448" width="9.140625" style="1092"/>
    <col min="8449" max="8449" width="5.28515625" style="1092" customWidth="1"/>
    <col min="8450" max="8450" width="34" style="1092" customWidth="1"/>
    <col min="8451" max="8451" width="13.42578125" style="1092" customWidth="1"/>
    <col min="8452" max="8452" width="14.42578125" style="1092" customWidth="1"/>
    <col min="8453" max="8453" width="13.5703125" style="1092" customWidth="1"/>
    <col min="8454" max="8454" width="11.7109375" style="1092" customWidth="1"/>
    <col min="8455" max="8455" width="13" style="1092" customWidth="1"/>
    <col min="8456" max="8456" width="13.28515625" style="1092" customWidth="1"/>
    <col min="8457" max="8457" width="14" style="1092" customWidth="1"/>
    <col min="8458" max="8458" width="12.140625" style="1092" customWidth="1"/>
    <col min="8459" max="8459" width="15.28515625" style="1092" customWidth="1"/>
    <col min="8460" max="8460" width="15" style="1092" customWidth="1"/>
    <col min="8461" max="8461" width="14" style="1092" customWidth="1"/>
    <col min="8462" max="8462" width="13.5703125" style="1092" customWidth="1"/>
    <col min="8463" max="8463" width="13.42578125" style="1092" customWidth="1"/>
    <col min="8464" max="8464" width="13.5703125" style="1092" customWidth="1"/>
    <col min="8465" max="8465" width="13.140625" style="1092" customWidth="1"/>
    <col min="8466" max="8466" width="12.42578125" style="1092" customWidth="1"/>
    <col min="8467" max="8467" width="15.42578125" style="1092" customWidth="1"/>
    <col min="8468" max="8468" width="14.7109375" style="1092" customWidth="1"/>
    <col min="8469" max="8469" width="13.85546875" style="1092" customWidth="1"/>
    <col min="8470" max="8470" width="13.5703125" style="1092" customWidth="1"/>
    <col min="8471" max="8704" width="9.140625" style="1092"/>
    <col min="8705" max="8705" width="5.28515625" style="1092" customWidth="1"/>
    <col min="8706" max="8706" width="34" style="1092" customWidth="1"/>
    <col min="8707" max="8707" width="13.42578125" style="1092" customWidth="1"/>
    <col min="8708" max="8708" width="14.42578125" style="1092" customWidth="1"/>
    <col min="8709" max="8709" width="13.5703125" style="1092" customWidth="1"/>
    <col min="8710" max="8710" width="11.7109375" style="1092" customWidth="1"/>
    <col min="8711" max="8711" width="13" style="1092" customWidth="1"/>
    <col min="8712" max="8712" width="13.28515625" style="1092" customWidth="1"/>
    <col min="8713" max="8713" width="14" style="1092" customWidth="1"/>
    <col min="8714" max="8714" width="12.140625" style="1092" customWidth="1"/>
    <col min="8715" max="8715" width="15.28515625" style="1092" customWidth="1"/>
    <col min="8716" max="8716" width="15" style="1092" customWidth="1"/>
    <col min="8717" max="8717" width="14" style="1092" customWidth="1"/>
    <col min="8718" max="8718" width="13.5703125" style="1092" customWidth="1"/>
    <col min="8719" max="8719" width="13.42578125" style="1092" customWidth="1"/>
    <col min="8720" max="8720" width="13.5703125" style="1092" customWidth="1"/>
    <col min="8721" max="8721" width="13.140625" style="1092" customWidth="1"/>
    <col min="8722" max="8722" width="12.42578125" style="1092" customWidth="1"/>
    <col min="8723" max="8723" width="15.42578125" style="1092" customWidth="1"/>
    <col min="8724" max="8724" width="14.7109375" style="1092" customWidth="1"/>
    <col min="8725" max="8725" width="13.85546875" style="1092" customWidth="1"/>
    <col min="8726" max="8726" width="13.5703125" style="1092" customWidth="1"/>
    <col min="8727" max="8960" width="9.140625" style="1092"/>
    <col min="8961" max="8961" width="5.28515625" style="1092" customWidth="1"/>
    <col min="8962" max="8962" width="34" style="1092" customWidth="1"/>
    <col min="8963" max="8963" width="13.42578125" style="1092" customWidth="1"/>
    <col min="8964" max="8964" width="14.42578125" style="1092" customWidth="1"/>
    <col min="8965" max="8965" width="13.5703125" style="1092" customWidth="1"/>
    <col min="8966" max="8966" width="11.7109375" style="1092" customWidth="1"/>
    <col min="8967" max="8967" width="13" style="1092" customWidth="1"/>
    <col min="8968" max="8968" width="13.28515625" style="1092" customWidth="1"/>
    <col min="8969" max="8969" width="14" style="1092" customWidth="1"/>
    <col min="8970" max="8970" width="12.140625" style="1092" customWidth="1"/>
    <col min="8971" max="8971" width="15.28515625" style="1092" customWidth="1"/>
    <col min="8972" max="8972" width="15" style="1092" customWidth="1"/>
    <col min="8973" max="8973" width="14" style="1092" customWidth="1"/>
    <col min="8974" max="8974" width="13.5703125" style="1092" customWidth="1"/>
    <col min="8975" max="8975" width="13.42578125" style="1092" customWidth="1"/>
    <col min="8976" max="8976" width="13.5703125" style="1092" customWidth="1"/>
    <col min="8977" max="8977" width="13.140625" style="1092" customWidth="1"/>
    <col min="8978" max="8978" width="12.42578125" style="1092" customWidth="1"/>
    <col min="8979" max="8979" width="15.42578125" style="1092" customWidth="1"/>
    <col min="8980" max="8980" width="14.7109375" style="1092" customWidth="1"/>
    <col min="8981" max="8981" width="13.85546875" style="1092" customWidth="1"/>
    <col min="8982" max="8982" width="13.5703125" style="1092" customWidth="1"/>
    <col min="8983" max="9216" width="9.140625" style="1092"/>
    <col min="9217" max="9217" width="5.28515625" style="1092" customWidth="1"/>
    <col min="9218" max="9218" width="34" style="1092" customWidth="1"/>
    <col min="9219" max="9219" width="13.42578125" style="1092" customWidth="1"/>
    <col min="9220" max="9220" width="14.42578125" style="1092" customWidth="1"/>
    <col min="9221" max="9221" width="13.5703125" style="1092" customWidth="1"/>
    <col min="9222" max="9222" width="11.7109375" style="1092" customWidth="1"/>
    <col min="9223" max="9223" width="13" style="1092" customWidth="1"/>
    <col min="9224" max="9224" width="13.28515625" style="1092" customWidth="1"/>
    <col min="9225" max="9225" width="14" style="1092" customWidth="1"/>
    <col min="9226" max="9226" width="12.140625" style="1092" customWidth="1"/>
    <col min="9227" max="9227" width="15.28515625" style="1092" customWidth="1"/>
    <col min="9228" max="9228" width="15" style="1092" customWidth="1"/>
    <col min="9229" max="9229" width="14" style="1092" customWidth="1"/>
    <col min="9230" max="9230" width="13.5703125" style="1092" customWidth="1"/>
    <col min="9231" max="9231" width="13.42578125" style="1092" customWidth="1"/>
    <col min="9232" max="9232" width="13.5703125" style="1092" customWidth="1"/>
    <col min="9233" max="9233" width="13.140625" style="1092" customWidth="1"/>
    <col min="9234" max="9234" width="12.42578125" style="1092" customWidth="1"/>
    <col min="9235" max="9235" width="15.42578125" style="1092" customWidth="1"/>
    <col min="9236" max="9236" width="14.7109375" style="1092" customWidth="1"/>
    <col min="9237" max="9237" width="13.85546875" style="1092" customWidth="1"/>
    <col min="9238" max="9238" width="13.5703125" style="1092" customWidth="1"/>
    <col min="9239" max="9472" width="9.140625" style="1092"/>
    <col min="9473" max="9473" width="5.28515625" style="1092" customWidth="1"/>
    <col min="9474" max="9474" width="34" style="1092" customWidth="1"/>
    <col min="9475" max="9475" width="13.42578125" style="1092" customWidth="1"/>
    <col min="9476" max="9476" width="14.42578125" style="1092" customWidth="1"/>
    <col min="9477" max="9477" width="13.5703125" style="1092" customWidth="1"/>
    <col min="9478" max="9478" width="11.7109375" style="1092" customWidth="1"/>
    <col min="9479" max="9479" width="13" style="1092" customWidth="1"/>
    <col min="9480" max="9480" width="13.28515625" style="1092" customWidth="1"/>
    <col min="9481" max="9481" width="14" style="1092" customWidth="1"/>
    <col min="9482" max="9482" width="12.140625" style="1092" customWidth="1"/>
    <col min="9483" max="9483" width="15.28515625" style="1092" customWidth="1"/>
    <col min="9484" max="9484" width="15" style="1092" customWidth="1"/>
    <col min="9485" max="9485" width="14" style="1092" customWidth="1"/>
    <col min="9486" max="9486" width="13.5703125" style="1092" customWidth="1"/>
    <col min="9487" max="9487" width="13.42578125" style="1092" customWidth="1"/>
    <col min="9488" max="9488" width="13.5703125" style="1092" customWidth="1"/>
    <col min="9489" max="9489" width="13.140625" style="1092" customWidth="1"/>
    <col min="9490" max="9490" width="12.42578125" style="1092" customWidth="1"/>
    <col min="9491" max="9491" width="15.42578125" style="1092" customWidth="1"/>
    <col min="9492" max="9492" width="14.7109375" style="1092" customWidth="1"/>
    <col min="9493" max="9493" width="13.85546875" style="1092" customWidth="1"/>
    <col min="9494" max="9494" width="13.5703125" style="1092" customWidth="1"/>
    <col min="9495" max="9728" width="9.140625" style="1092"/>
    <col min="9729" max="9729" width="5.28515625" style="1092" customWidth="1"/>
    <col min="9730" max="9730" width="34" style="1092" customWidth="1"/>
    <col min="9731" max="9731" width="13.42578125" style="1092" customWidth="1"/>
    <col min="9732" max="9732" width="14.42578125" style="1092" customWidth="1"/>
    <col min="9733" max="9733" width="13.5703125" style="1092" customWidth="1"/>
    <col min="9734" max="9734" width="11.7109375" style="1092" customWidth="1"/>
    <col min="9735" max="9735" width="13" style="1092" customWidth="1"/>
    <col min="9736" max="9736" width="13.28515625" style="1092" customWidth="1"/>
    <col min="9737" max="9737" width="14" style="1092" customWidth="1"/>
    <col min="9738" max="9738" width="12.140625" style="1092" customWidth="1"/>
    <col min="9739" max="9739" width="15.28515625" style="1092" customWidth="1"/>
    <col min="9740" max="9740" width="15" style="1092" customWidth="1"/>
    <col min="9741" max="9741" width="14" style="1092" customWidth="1"/>
    <col min="9742" max="9742" width="13.5703125" style="1092" customWidth="1"/>
    <col min="9743" max="9743" width="13.42578125" style="1092" customWidth="1"/>
    <col min="9744" max="9744" width="13.5703125" style="1092" customWidth="1"/>
    <col min="9745" max="9745" width="13.140625" style="1092" customWidth="1"/>
    <col min="9746" max="9746" width="12.42578125" style="1092" customWidth="1"/>
    <col min="9747" max="9747" width="15.42578125" style="1092" customWidth="1"/>
    <col min="9748" max="9748" width="14.7109375" style="1092" customWidth="1"/>
    <col min="9749" max="9749" width="13.85546875" style="1092" customWidth="1"/>
    <col min="9750" max="9750" width="13.5703125" style="1092" customWidth="1"/>
    <col min="9751" max="9984" width="9.140625" style="1092"/>
    <col min="9985" max="9985" width="5.28515625" style="1092" customWidth="1"/>
    <col min="9986" max="9986" width="34" style="1092" customWidth="1"/>
    <col min="9987" max="9987" width="13.42578125" style="1092" customWidth="1"/>
    <col min="9988" max="9988" width="14.42578125" style="1092" customWidth="1"/>
    <col min="9989" max="9989" width="13.5703125" style="1092" customWidth="1"/>
    <col min="9990" max="9990" width="11.7109375" style="1092" customWidth="1"/>
    <col min="9991" max="9991" width="13" style="1092" customWidth="1"/>
    <col min="9992" max="9992" width="13.28515625" style="1092" customWidth="1"/>
    <col min="9993" max="9993" width="14" style="1092" customWidth="1"/>
    <col min="9994" max="9994" width="12.140625" style="1092" customWidth="1"/>
    <col min="9995" max="9995" width="15.28515625" style="1092" customWidth="1"/>
    <col min="9996" max="9996" width="15" style="1092" customWidth="1"/>
    <col min="9997" max="9997" width="14" style="1092" customWidth="1"/>
    <col min="9998" max="9998" width="13.5703125" style="1092" customWidth="1"/>
    <col min="9999" max="9999" width="13.42578125" style="1092" customWidth="1"/>
    <col min="10000" max="10000" width="13.5703125" style="1092" customWidth="1"/>
    <col min="10001" max="10001" width="13.140625" style="1092" customWidth="1"/>
    <col min="10002" max="10002" width="12.42578125" style="1092" customWidth="1"/>
    <col min="10003" max="10003" width="15.42578125" style="1092" customWidth="1"/>
    <col min="10004" max="10004" width="14.7109375" style="1092" customWidth="1"/>
    <col min="10005" max="10005" width="13.85546875" style="1092" customWidth="1"/>
    <col min="10006" max="10006" width="13.5703125" style="1092" customWidth="1"/>
    <col min="10007" max="10240" width="9.140625" style="1092"/>
    <col min="10241" max="10241" width="5.28515625" style="1092" customWidth="1"/>
    <col min="10242" max="10242" width="34" style="1092" customWidth="1"/>
    <col min="10243" max="10243" width="13.42578125" style="1092" customWidth="1"/>
    <col min="10244" max="10244" width="14.42578125" style="1092" customWidth="1"/>
    <col min="10245" max="10245" width="13.5703125" style="1092" customWidth="1"/>
    <col min="10246" max="10246" width="11.7109375" style="1092" customWidth="1"/>
    <col min="10247" max="10247" width="13" style="1092" customWidth="1"/>
    <col min="10248" max="10248" width="13.28515625" style="1092" customWidth="1"/>
    <col min="10249" max="10249" width="14" style="1092" customWidth="1"/>
    <col min="10250" max="10250" width="12.140625" style="1092" customWidth="1"/>
    <col min="10251" max="10251" width="15.28515625" style="1092" customWidth="1"/>
    <col min="10252" max="10252" width="15" style="1092" customWidth="1"/>
    <col min="10253" max="10253" width="14" style="1092" customWidth="1"/>
    <col min="10254" max="10254" width="13.5703125" style="1092" customWidth="1"/>
    <col min="10255" max="10255" width="13.42578125" style="1092" customWidth="1"/>
    <col min="10256" max="10256" width="13.5703125" style="1092" customWidth="1"/>
    <col min="10257" max="10257" width="13.140625" style="1092" customWidth="1"/>
    <col min="10258" max="10258" width="12.42578125" style="1092" customWidth="1"/>
    <col min="10259" max="10259" width="15.42578125" style="1092" customWidth="1"/>
    <col min="10260" max="10260" width="14.7109375" style="1092" customWidth="1"/>
    <col min="10261" max="10261" width="13.85546875" style="1092" customWidth="1"/>
    <col min="10262" max="10262" width="13.5703125" style="1092" customWidth="1"/>
    <col min="10263" max="10496" width="9.140625" style="1092"/>
    <col min="10497" max="10497" width="5.28515625" style="1092" customWidth="1"/>
    <col min="10498" max="10498" width="34" style="1092" customWidth="1"/>
    <col min="10499" max="10499" width="13.42578125" style="1092" customWidth="1"/>
    <col min="10500" max="10500" width="14.42578125" style="1092" customWidth="1"/>
    <col min="10501" max="10501" width="13.5703125" style="1092" customWidth="1"/>
    <col min="10502" max="10502" width="11.7109375" style="1092" customWidth="1"/>
    <col min="10503" max="10503" width="13" style="1092" customWidth="1"/>
    <col min="10504" max="10504" width="13.28515625" style="1092" customWidth="1"/>
    <col min="10505" max="10505" width="14" style="1092" customWidth="1"/>
    <col min="10506" max="10506" width="12.140625" style="1092" customWidth="1"/>
    <col min="10507" max="10507" width="15.28515625" style="1092" customWidth="1"/>
    <col min="10508" max="10508" width="15" style="1092" customWidth="1"/>
    <col min="10509" max="10509" width="14" style="1092" customWidth="1"/>
    <col min="10510" max="10510" width="13.5703125" style="1092" customWidth="1"/>
    <col min="10511" max="10511" width="13.42578125" style="1092" customWidth="1"/>
    <col min="10512" max="10512" width="13.5703125" style="1092" customWidth="1"/>
    <col min="10513" max="10513" width="13.140625" style="1092" customWidth="1"/>
    <col min="10514" max="10514" width="12.42578125" style="1092" customWidth="1"/>
    <col min="10515" max="10515" width="15.42578125" style="1092" customWidth="1"/>
    <col min="10516" max="10516" width="14.7109375" style="1092" customWidth="1"/>
    <col min="10517" max="10517" width="13.85546875" style="1092" customWidth="1"/>
    <col min="10518" max="10518" width="13.5703125" style="1092" customWidth="1"/>
    <col min="10519" max="10752" width="9.140625" style="1092"/>
    <col min="10753" max="10753" width="5.28515625" style="1092" customWidth="1"/>
    <col min="10754" max="10754" width="34" style="1092" customWidth="1"/>
    <col min="10755" max="10755" width="13.42578125" style="1092" customWidth="1"/>
    <col min="10756" max="10756" width="14.42578125" style="1092" customWidth="1"/>
    <col min="10757" max="10757" width="13.5703125" style="1092" customWidth="1"/>
    <col min="10758" max="10758" width="11.7109375" style="1092" customWidth="1"/>
    <col min="10759" max="10759" width="13" style="1092" customWidth="1"/>
    <col min="10760" max="10760" width="13.28515625" style="1092" customWidth="1"/>
    <col min="10761" max="10761" width="14" style="1092" customWidth="1"/>
    <col min="10762" max="10762" width="12.140625" style="1092" customWidth="1"/>
    <col min="10763" max="10763" width="15.28515625" style="1092" customWidth="1"/>
    <col min="10764" max="10764" width="15" style="1092" customWidth="1"/>
    <col min="10765" max="10765" width="14" style="1092" customWidth="1"/>
    <col min="10766" max="10766" width="13.5703125" style="1092" customWidth="1"/>
    <col min="10767" max="10767" width="13.42578125" style="1092" customWidth="1"/>
    <col min="10768" max="10768" width="13.5703125" style="1092" customWidth="1"/>
    <col min="10769" max="10769" width="13.140625" style="1092" customWidth="1"/>
    <col min="10770" max="10770" width="12.42578125" style="1092" customWidth="1"/>
    <col min="10771" max="10771" width="15.42578125" style="1092" customWidth="1"/>
    <col min="10772" max="10772" width="14.7109375" style="1092" customWidth="1"/>
    <col min="10773" max="10773" width="13.85546875" style="1092" customWidth="1"/>
    <col min="10774" max="10774" width="13.5703125" style="1092" customWidth="1"/>
    <col min="10775" max="11008" width="9.140625" style="1092"/>
    <col min="11009" max="11009" width="5.28515625" style="1092" customWidth="1"/>
    <col min="11010" max="11010" width="34" style="1092" customWidth="1"/>
    <col min="11011" max="11011" width="13.42578125" style="1092" customWidth="1"/>
    <col min="11012" max="11012" width="14.42578125" style="1092" customWidth="1"/>
    <col min="11013" max="11013" width="13.5703125" style="1092" customWidth="1"/>
    <col min="11014" max="11014" width="11.7109375" style="1092" customWidth="1"/>
    <col min="11015" max="11015" width="13" style="1092" customWidth="1"/>
    <col min="11016" max="11016" width="13.28515625" style="1092" customWidth="1"/>
    <col min="11017" max="11017" width="14" style="1092" customWidth="1"/>
    <col min="11018" max="11018" width="12.140625" style="1092" customWidth="1"/>
    <col min="11019" max="11019" width="15.28515625" style="1092" customWidth="1"/>
    <col min="11020" max="11020" width="15" style="1092" customWidth="1"/>
    <col min="11021" max="11021" width="14" style="1092" customWidth="1"/>
    <col min="11022" max="11022" width="13.5703125" style="1092" customWidth="1"/>
    <col min="11023" max="11023" width="13.42578125" style="1092" customWidth="1"/>
    <col min="11024" max="11024" width="13.5703125" style="1092" customWidth="1"/>
    <col min="11025" max="11025" width="13.140625" style="1092" customWidth="1"/>
    <col min="11026" max="11026" width="12.42578125" style="1092" customWidth="1"/>
    <col min="11027" max="11027" width="15.42578125" style="1092" customWidth="1"/>
    <col min="11028" max="11028" width="14.7109375" style="1092" customWidth="1"/>
    <col min="11029" max="11029" width="13.85546875" style="1092" customWidth="1"/>
    <col min="11030" max="11030" width="13.5703125" style="1092" customWidth="1"/>
    <col min="11031" max="11264" width="9.140625" style="1092"/>
    <col min="11265" max="11265" width="5.28515625" style="1092" customWidth="1"/>
    <col min="11266" max="11266" width="34" style="1092" customWidth="1"/>
    <col min="11267" max="11267" width="13.42578125" style="1092" customWidth="1"/>
    <col min="11268" max="11268" width="14.42578125" style="1092" customWidth="1"/>
    <col min="11269" max="11269" width="13.5703125" style="1092" customWidth="1"/>
    <col min="11270" max="11270" width="11.7109375" style="1092" customWidth="1"/>
    <col min="11271" max="11271" width="13" style="1092" customWidth="1"/>
    <col min="11272" max="11272" width="13.28515625" style="1092" customWidth="1"/>
    <col min="11273" max="11273" width="14" style="1092" customWidth="1"/>
    <col min="11274" max="11274" width="12.140625" style="1092" customWidth="1"/>
    <col min="11275" max="11275" width="15.28515625" style="1092" customWidth="1"/>
    <col min="11276" max="11276" width="15" style="1092" customWidth="1"/>
    <col min="11277" max="11277" width="14" style="1092" customWidth="1"/>
    <col min="11278" max="11278" width="13.5703125" style="1092" customWidth="1"/>
    <col min="11279" max="11279" width="13.42578125" style="1092" customWidth="1"/>
    <col min="11280" max="11280" width="13.5703125" style="1092" customWidth="1"/>
    <col min="11281" max="11281" width="13.140625" style="1092" customWidth="1"/>
    <col min="11282" max="11282" width="12.42578125" style="1092" customWidth="1"/>
    <col min="11283" max="11283" width="15.42578125" style="1092" customWidth="1"/>
    <col min="11284" max="11284" width="14.7109375" style="1092" customWidth="1"/>
    <col min="11285" max="11285" width="13.85546875" style="1092" customWidth="1"/>
    <col min="11286" max="11286" width="13.5703125" style="1092" customWidth="1"/>
    <col min="11287" max="11520" width="9.140625" style="1092"/>
    <col min="11521" max="11521" width="5.28515625" style="1092" customWidth="1"/>
    <col min="11522" max="11522" width="34" style="1092" customWidth="1"/>
    <col min="11523" max="11523" width="13.42578125" style="1092" customWidth="1"/>
    <col min="11524" max="11524" width="14.42578125" style="1092" customWidth="1"/>
    <col min="11525" max="11525" width="13.5703125" style="1092" customWidth="1"/>
    <col min="11526" max="11526" width="11.7109375" style="1092" customWidth="1"/>
    <col min="11527" max="11527" width="13" style="1092" customWidth="1"/>
    <col min="11528" max="11528" width="13.28515625" style="1092" customWidth="1"/>
    <col min="11529" max="11529" width="14" style="1092" customWidth="1"/>
    <col min="11530" max="11530" width="12.140625" style="1092" customWidth="1"/>
    <col min="11531" max="11531" width="15.28515625" style="1092" customWidth="1"/>
    <col min="11532" max="11532" width="15" style="1092" customWidth="1"/>
    <col min="11533" max="11533" width="14" style="1092" customWidth="1"/>
    <col min="11534" max="11534" width="13.5703125" style="1092" customWidth="1"/>
    <col min="11535" max="11535" width="13.42578125" style="1092" customWidth="1"/>
    <col min="11536" max="11536" width="13.5703125" style="1092" customWidth="1"/>
    <col min="11537" max="11537" width="13.140625" style="1092" customWidth="1"/>
    <col min="11538" max="11538" width="12.42578125" style="1092" customWidth="1"/>
    <col min="11539" max="11539" width="15.42578125" style="1092" customWidth="1"/>
    <col min="11540" max="11540" width="14.7109375" style="1092" customWidth="1"/>
    <col min="11541" max="11541" width="13.85546875" style="1092" customWidth="1"/>
    <col min="11542" max="11542" width="13.5703125" style="1092" customWidth="1"/>
    <col min="11543" max="11776" width="9.140625" style="1092"/>
    <col min="11777" max="11777" width="5.28515625" style="1092" customWidth="1"/>
    <col min="11778" max="11778" width="34" style="1092" customWidth="1"/>
    <col min="11779" max="11779" width="13.42578125" style="1092" customWidth="1"/>
    <col min="11780" max="11780" width="14.42578125" style="1092" customWidth="1"/>
    <col min="11781" max="11781" width="13.5703125" style="1092" customWidth="1"/>
    <col min="11782" max="11782" width="11.7109375" style="1092" customWidth="1"/>
    <col min="11783" max="11783" width="13" style="1092" customWidth="1"/>
    <col min="11784" max="11784" width="13.28515625" style="1092" customWidth="1"/>
    <col min="11785" max="11785" width="14" style="1092" customWidth="1"/>
    <col min="11786" max="11786" width="12.140625" style="1092" customWidth="1"/>
    <col min="11787" max="11787" width="15.28515625" style="1092" customWidth="1"/>
    <col min="11788" max="11788" width="15" style="1092" customWidth="1"/>
    <col min="11789" max="11789" width="14" style="1092" customWidth="1"/>
    <col min="11790" max="11790" width="13.5703125" style="1092" customWidth="1"/>
    <col min="11791" max="11791" width="13.42578125" style="1092" customWidth="1"/>
    <col min="11792" max="11792" width="13.5703125" style="1092" customWidth="1"/>
    <col min="11793" max="11793" width="13.140625" style="1092" customWidth="1"/>
    <col min="11794" max="11794" width="12.42578125" style="1092" customWidth="1"/>
    <col min="11795" max="11795" width="15.42578125" style="1092" customWidth="1"/>
    <col min="11796" max="11796" width="14.7109375" style="1092" customWidth="1"/>
    <col min="11797" max="11797" width="13.85546875" style="1092" customWidth="1"/>
    <col min="11798" max="11798" width="13.5703125" style="1092" customWidth="1"/>
    <col min="11799" max="12032" width="9.140625" style="1092"/>
    <col min="12033" max="12033" width="5.28515625" style="1092" customWidth="1"/>
    <col min="12034" max="12034" width="34" style="1092" customWidth="1"/>
    <col min="12035" max="12035" width="13.42578125" style="1092" customWidth="1"/>
    <col min="12036" max="12036" width="14.42578125" style="1092" customWidth="1"/>
    <col min="12037" max="12037" width="13.5703125" style="1092" customWidth="1"/>
    <col min="12038" max="12038" width="11.7109375" style="1092" customWidth="1"/>
    <col min="12039" max="12039" width="13" style="1092" customWidth="1"/>
    <col min="12040" max="12040" width="13.28515625" style="1092" customWidth="1"/>
    <col min="12041" max="12041" width="14" style="1092" customWidth="1"/>
    <col min="12042" max="12042" width="12.140625" style="1092" customWidth="1"/>
    <col min="12043" max="12043" width="15.28515625" style="1092" customWidth="1"/>
    <col min="12044" max="12044" width="15" style="1092" customWidth="1"/>
    <col min="12045" max="12045" width="14" style="1092" customWidth="1"/>
    <col min="12046" max="12046" width="13.5703125" style="1092" customWidth="1"/>
    <col min="12047" max="12047" width="13.42578125" style="1092" customWidth="1"/>
    <col min="12048" max="12048" width="13.5703125" style="1092" customWidth="1"/>
    <col min="12049" max="12049" width="13.140625" style="1092" customWidth="1"/>
    <col min="12050" max="12050" width="12.42578125" style="1092" customWidth="1"/>
    <col min="12051" max="12051" width="15.42578125" style="1092" customWidth="1"/>
    <col min="12052" max="12052" width="14.7109375" style="1092" customWidth="1"/>
    <col min="12053" max="12053" width="13.85546875" style="1092" customWidth="1"/>
    <col min="12054" max="12054" width="13.5703125" style="1092" customWidth="1"/>
    <col min="12055" max="12288" width="9.140625" style="1092"/>
    <col min="12289" max="12289" width="5.28515625" style="1092" customWidth="1"/>
    <col min="12290" max="12290" width="34" style="1092" customWidth="1"/>
    <col min="12291" max="12291" width="13.42578125" style="1092" customWidth="1"/>
    <col min="12292" max="12292" width="14.42578125" style="1092" customWidth="1"/>
    <col min="12293" max="12293" width="13.5703125" style="1092" customWidth="1"/>
    <col min="12294" max="12294" width="11.7109375" style="1092" customWidth="1"/>
    <col min="12295" max="12295" width="13" style="1092" customWidth="1"/>
    <col min="12296" max="12296" width="13.28515625" style="1092" customWidth="1"/>
    <col min="12297" max="12297" width="14" style="1092" customWidth="1"/>
    <col min="12298" max="12298" width="12.140625" style="1092" customWidth="1"/>
    <col min="12299" max="12299" width="15.28515625" style="1092" customWidth="1"/>
    <col min="12300" max="12300" width="15" style="1092" customWidth="1"/>
    <col min="12301" max="12301" width="14" style="1092" customWidth="1"/>
    <col min="12302" max="12302" width="13.5703125" style="1092" customWidth="1"/>
    <col min="12303" max="12303" width="13.42578125" style="1092" customWidth="1"/>
    <col min="12304" max="12304" width="13.5703125" style="1092" customWidth="1"/>
    <col min="12305" max="12305" width="13.140625" style="1092" customWidth="1"/>
    <col min="12306" max="12306" width="12.42578125" style="1092" customWidth="1"/>
    <col min="12307" max="12307" width="15.42578125" style="1092" customWidth="1"/>
    <col min="12308" max="12308" width="14.7109375" style="1092" customWidth="1"/>
    <col min="12309" max="12309" width="13.85546875" style="1092" customWidth="1"/>
    <col min="12310" max="12310" width="13.5703125" style="1092" customWidth="1"/>
    <col min="12311" max="12544" width="9.140625" style="1092"/>
    <col min="12545" max="12545" width="5.28515625" style="1092" customWidth="1"/>
    <col min="12546" max="12546" width="34" style="1092" customWidth="1"/>
    <col min="12547" max="12547" width="13.42578125" style="1092" customWidth="1"/>
    <col min="12548" max="12548" width="14.42578125" style="1092" customWidth="1"/>
    <col min="12549" max="12549" width="13.5703125" style="1092" customWidth="1"/>
    <col min="12550" max="12550" width="11.7109375" style="1092" customWidth="1"/>
    <col min="12551" max="12551" width="13" style="1092" customWidth="1"/>
    <col min="12552" max="12552" width="13.28515625" style="1092" customWidth="1"/>
    <col min="12553" max="12553" width="14" style="1092" customWidth="1"/>
    <col min="12554" max="12554" width="12.140625" style="1092" customWidth="1"/>
    <col min="12555" max="12555" width="15.28515625" style="1092" customWidth="1"/>
    <col min="12556" max="12556" width="15" style="1092" customWidth="1"/>
    <col min="12557" max="12557" width="14" style="1092" customWidth="1"/>
    <col min="12558" max="12558" width="13.5703125" style="1092" customWidth="1"/>
    <col min="12559" max="12559" width="13.42578125" style="1092" customWidth="1"/>
    <col min="12560" max="12560" width="13.5703125" style="1092" customWidth="1"/>
    <col min="12561" max="12561" width="13.140625" style="1092" customWidth="1"/>
    <col min="12562" max="12562" width="12.42578125" style="1092" customWidth="1"/>
    <col min="12563" max="12563" width="15.42578125" style="1092" customWidth="1"/>
    <col min="12564" max="12564" width="14.7109375" style="1092" customWidth="1"/>
    <col min="12565" max="12565" width="13.85546875" style="1092" customWidth="1"/>
    <col min="12566" max="12566" width="13.5703125" style="1092" customWidth="1"/>
    <col min="12567" max="12800" width="9.140625" style="1092"/>
    <col min="12801" max="12801" width="5.28515625" style="1092" customWidth="1"/>
    <col min="12802" max="12802" width="34" style="1092" customWidth="1"/>
    <col min="12803" max="12803" width="13.42578125" style="1092" customWidth="1"/>
    <col min="12804" max="12804" width="14.42578125" style="1092" customWidth="1"/>
    <col min="12805" max="12805" width="13.5703125" style="1092" customWidth="1"/>
    <col min="12806" max="12806" width="11.7109375" style="1092" customWidth="1"/>
    <col min="12807" max="12807" width="13" style="1092" customWidth="1"/>
    <col min="12808" max="12808" width="13.28515625" style="1092" customWidth="1"/>
    <col min="12809" max="12809" width="14" style="1092" customWidth="1"/>
    <col min="12810" max="12810" width="12.140625" style="1092" customWidth="1"/>
    <col min="12811" max="12811" width="15.28515625" style="1092" customWidth="1"/>
    <col min="12812" max="12812" width="15" style="1092" customWidth="1"/>
    <col min="12813" max="12813" width="14" style="1092" customWidth="1"/>
    <col min="12814" max="12814" width="13.5703125" style="1092" customWidth="1"/>
    <col min="12815" max="12815" width="13.42578125" style="1092" customWidth="1"/>
    <col min="12816" max="12816" width="13.5703125" style="1092" customWidth="1"/>
    <col min="12817" max="12817" width="13.140625" style="1092" customWidth="1"/>
    <col min="12818" max="12818" width="12.42578125" style="1092" customWidth="1"/>
    <col min="12819" max="12819" width="15.42578125" style="1092" customWidth="1"/>
    <col min="12820" max="12820" width="14.7109375" style="1092" customWidth="1"/>
    <col min="12821" max="12821" width="13.85546875" style="1092" customWidth="1"/>
    <col min="12822" max="12822" width="13.5703125" style="1092" customWidth="1"/>
    <col min="12823" max="13056" width="9.140625" style="1092"/>
    <col min="13057" max="13057" width="5.28515625" style="1092" customWidth="1"/>
    <col min="13058" max="13058" width="34" style="1092" customWidth="1"/>
    <col min="13059" max="13059" width="13.42578125" style="1092" customWidth="1"/>
    <col min="13060" max="13060" width="14.42578125" style="1092" customWidth="1"/>
    <col min="13061" max="13061" width="13.5703125" style="1092" customWidth="1"/>
    <col min="13062" max="13062" width="11.7109375" style="1092" customWidth="1"/>
    <col min="13063" max="13063" width="13" style="1092" customWidth="1"/>
    <col min="13064" max="13064" width="13.28515625" style="1092" customWidth="1"/>
    <col min="13065" max="13065" width="14" style="1092" customWidth="1"/>
    <col min="13066" max="13066" width="12.140625" style="1092" customWidth="1"/>
    <col min="13067" max="13067" width="15.28515625" style="1092" customWidth="1"/>
    <col min="13068" max="13068" width="15" style="1092" customWidth="1"/>
    <col min="13069" max="13069" width="14" style="1092" customWidth="1"/>
    <col min="13070" max="13070" width="13.5703125" style="1092" customWidth="1"/>
    <col min="13071" max="13071" width="13.42578125" style="1092" customWidth="1"/>
    <col min="13072" max="13072" width="13.5703125" style="1092" customWidth="1"/>
    <col min="13073" max="13073" width="13.140625" style="1092" customWidth="1"/>
    <col min="13074" max="13074" width="12.42578125" style="1092" customWidth="1"/>
    <col min="13075" max="13075" width="15.42578125" style="1092" customWidth="1"/>
    <col min="13076" max="13076" width="14.7109375" style="1092" customWidth="1"/>
    <col min="13077" max="13077" width="13.85546875" style="1092" customWidth="1"/>
    <col min="13078" max="13078" width="13.5703125" style="1092" customWidth="1"/>
    <col min="13079" max="13312" width="9.140625" style="1092"/>
    <col min="13313" max="13313" width="5.28515625" style="1092" customWidth="1"/>
    <col min="13314" max="13314" width="34" style="1092" customWidth="1"/>
    <col min="13315" max="13315" width="13.42578125" style="1092" customWidth="1"/>
    <col min="13316" max="13316" width="14.42578125" style="1092" customWidth="1"/>
    <col min="13317" max="13317" width="13.5703125" style="1092" customWidth="1"/>
    <col min="13318" max="13318" width="11.7109375" style="1092" customWidth="1"/>
    <col min="13319" max="13319" width="13" style="1092" customWidth="1"/>
    <col min="13320" max="13320" width="13.28515625" style="1092" customWidth="1"/>
    <col min="13321" max="13321" width="14" style="1092" customWidth="1"/>
    <col min="13322" max="13322" width="12.140625" style="1092" customWidth="1"/>
    <col min="13323" max="13323" width="15.28515625" style="1092" customWidth="1"/>
    <col min="13324" max="13324" width="15" style="1092" customWidth="1"/>
    <col min="13325" max="13325" width="14" style="1092" customWidth="1"/>
    <col min="13326" max="13326" width="13.5703125" style="1092" customWidth="1"/>
    <col min="13327" max="13327" width="13.42578125" style="1092" customWidth="1"/>
    <col min="13328" max="13328" width="13.5703125" style="1092" customWidth="1"/>
    <col min="13329" max="13329" width="13.140625" style="1092" customWidth="1"/>
    <col min="13330" max="13330" width="12.42578125" style="1092" customWidth="1"/>
    <col min="13331" max="13331" width="15.42578125" style="1092" customWidth="1"/>
    <col min="13332" max="13332" width="14.7109375" style="1092" customWidth="1"/>
    <col min="13333" max="13333" width="13.85546875" style="1092" customWidth="1"/>
    <col min="13334" max="13334" width="13.5703125" style="1092" customWidth="1"/>
    <col min="13335" max="13568" width="9.140625" style="1092"/>
    <col min="13569" max="13569" width="5.28515625" style="1092" customWidth="1"/>
    <col min="13570" max="13570" width="34" style="1092" customWidth="1"/>
    <col min="13571" max="13571" width="13.42578125" style="1092" customWidth="1"/>
    <col min="13572" max="13572" width="14.42578125" style="1092" customWidth="1"/>
    <col min="13573" max="13573" width="13.5703125" style="1092" customWidth="1"/>
    <col min="13574" max="13574" width="11.7109375" style="1092" customWidth="1"/>
    <col min="13575" max="13575" width="13" style="1092" customWidth="1"/>
    <col min="13576" max="13576" width="13.28515625" style="1092" customWidth="1"/>
    <col min="13577" max="13577" width="14" style="1092" customWidth="1"/>
    <col min="13578" max="13578" width="12.140625" style="1092" customWidth="1"/>
    <col min="13579" max="13579" width="15.28515625" style="1092" customWidth="1"/>
    <col min="13580" max="13580" width="15" style="1092" customWidth="1"/>
    <col min="13581" max="13581" width="14" style="1092" customWidth="1"/>
    <col min="13582" max="13582" width="13.5703125" style="1092" customWidth="1"/>
    <col min="13583" max="13583" width="13.42578125" style="1092" customWidth="1"/>
    <col min="13584" max="13584" width="13.5703125" style="1092" customWidth="1"/>
    <col min="13585" max="13585" width="13.140625" style="1092" customWidth="1"/>
    <col min="13586" max="13586" width="12.42578125" style="1092" customWidth="1"/>
    <col min="13587" max="13587" width="15.42578125" style="1092" customWidth="1"/>
    <col min="13588" max="13588" width="14.7109375" style="1092" customWidth="1"/>
    <col min="13589" max="13589" width="13.85546875" style="1092" customWidth="1"/>
    <col min="13590" max="13590" width="13.5703125" style="1092" customWidth="1"/>
    <col min="13591" max="13824" width="9.140625" style="1092"/>
    <col min="13825" max="13825" width="5.28515625" style="1092" customWidth="1"/>
    <col min="13826" max="13826" width="34" style="1092" customWidth="1"/>
    <col min="13827" max="13827" width="13.42578125" style="1092" customWidth="1"/>
    <col min="13828" max="13828" width="14.42578125" style="1092" customWidth="1"/>
    <col min="13829" max="13829" width="13.5703125" style="1092" customWidth="1"/>
    <col min="13830" max="13830" width="11.7109375" style="1092" customWidth="1"/>
    <col min="13831" max="13831" width="13" style="1092" customWidth="1"/>
    <col min="13832" max="13832" width="13.28515625" style="1092" customWidth="1"/>
    <col min="13833" max="13833" width="14" style="1092" customWidth="1"/>
    <col min="13834" max="13834" width="12.140625" style="1092" customWidth="1"/>
    <col min="13835" max="13835" width="15.28515625" style="1092" customWidth="1"/>
    <col min="13836" max="13836" width="15" style="1092" customWidth="1"/>
    <col min="13837" max="13837" width="14" style="1092" customWidth="1"/>
    <col min="13838" max="13838" width="13.5703125" style="1092" customWidth="1"/>
    <col min="13839" max="13839" width="13.42578125" style="1092" customWidth="1"/>
    <col min="13840" max="13840" width="13.5703125" style="1092" customWidth="1"/>
    <col min="13841" max="13841" width="13.140625" style="1092" customWidth="1"/>
    <col min="13842" max="13842" width="12.42578125" style="1092" customWidth="1"/>
    <col min="13843" max="13843" width="15.42578125" style="1092" customWidth="1"/>
    <col min="13844" max="13844" width="14.7109375" style="1092" customWidth="1"/>
    <col min="13845" max="13845" width="13.85546875" style="1092" customWidth="1"/>
    <col min="13846" max="13846" width="13.5703125" style="1092" customWidth="1"/>
    <col min="13847" max="14080" width="9.140625" style="1092"/>
    <col min="14081" max="14081" width="5.28515625" style="1092" customWidth="1"/>
    <col min="14082" max="14082" width="34" style="1092" customWidth="1"/>
    <col min="14083" max="14083" width="13.42578125" style="1092" customWidth="1"/>
    <col min="14084" max="14084" width="14.42578125" style="1092" customWidth="1"/>
    <col min="14085" max="14085" width="13.5703125" style="1092" customWidth="1"/>
    <col min="14086" max="14086" width="11.7109375" style="1092" customWidth="1"/>
    <col min="14087" max="14087" width="13" style="1092" customWidth="1"/>
    <col min="14088" max="14088" width="13.28515625" style="1092" customWidth="1"/>
    <col min="14089" max="14089" width="14" style="1092" customWidth="1"/>
    <col min="14090" max="14090" width="12.140625" style="1092" customWidth="1"/>
    <col min="14091" max="14091" width="15.28515625" style="1092" customWidth="1"/>
    <col min="14092" max="14092" width="15" style="1092" customWidth="1"/>
    <col min="14093" max="14093" width="14" style="1092" customWidth="1"/>
    <col min="14094" max="14094" width="13.5703125" style="1092" customWidth="1"/>
    <col min="14095" max="14095" width="13.42578125" style="1092" customWidth="1"/>
    <col min="14096" max="14096" width="13.5703125" style="1092" customWidth="1"/>
    <col min="14097" max="14097" width="13.140625" style="1092" customWidth="1"/>
    <col min="14098" max="14098" width="12.42578125" style="1092" customWidth="1"/>
    <col min="14099" max="14099" width="15.42578125" style="1092" customWidth="1"/>
    <col min="14100" max="14100" width="14.7109375" style="1092" customWidth="1"/>
    <col min="14101" max="14101" width="13.85546875" style="1092" customWidth="1"/>
    <col min="14102" max="14102" width="13.5703125" style="1092" customWidth="1"/>
    <col min="14103" max="14336" width="9.140625" style="1092"/>
    <col min="14337" max="14337" width="5.28515625" style="1092" customWidth="1"/>
    <col min="14338" max="14338" width="34" style="1092" customWidth="1"/>
    <col min="14339" max="14339" width="13.42578125" style="1092" customWidth="1"/>
    <col min="14340" max="14340" width="14.42578125" style="1092" customWidth="1"/>
    <col min="14341" max="14341" width="13.5703125" style="1092" customWidth="1"/>
    <col min="14342" max="14342" width="11.7109375" style="1092" customWidth="1"/>
    <col min="14343" max="14343" width="13" style="1092" customWidth="1"/>
    <col min="14344" max="14344" width="13.28515625" style="1092" customWidth="1"/>
    <col min="14345" max="14345" width="14" style="1092" customWidth="1"/>
    <col min="14346" max="14346" width="12.140625" style="1092" customWidth="1"/>
    <col min="14347" max="14347" width="15.28515625" style="1092" customWidth="1"/>
    <col min="14348" max="14348" width="15" style="1092" customWidth="1"/>
    <col min="14349" max="14349" width="14" style="1092" customWidth="1"/>
    <col min="14350" max="14350" width="13.5703125" style="1092" customWidth="1"/>
    <col min="14351" max="14351" width="13.42578125" style="1092" customWidth="1"/>
    <col min="14352" max="14352" width="13.5703125" style="1092" customWidth="1"/>
    <col min="14353" max="14353" width="13.140625" style="1092" customWidth="1"/>
    <col min="14354" max="14354" width="12.42578125" style="1092" customWidth="1"/>
    <col min="14355" max="14355" width="15.42578125" style="1092" customWidth="1"/>
    <col min="14356" max="14356" width="14.7109375" style="1092" customWidth="1"/>
    <col min="14357" max="14357" width="13.85546875" style="1092" customWidth="1"/>
    <col min="14358" max="14358" width="13.5703125" style="1092" customWidth="1"/>
    <col min="14359" max="14592" width="9.140625" style="1092"/>
    <col min="14593" max="14593" width="5.28515625" style="1092" customWidth="1"/>
    <col min="14594" max="14594" width="34" style="1092" customWidth="1"/>
    <col min="14595" max="14595" width="13.42578125" style="1092" customWidth="1"/>
    <col min="14596" max="14596" width="14.42578125" style="1092" customWidth="1"/>
    <col min="14597" max="14597" width="13.5703125" style="1092" customWidth="1"/>
    <col min="14598" max="14598" width="11.7109375" style="1092" customWidth="1"/>
    <col min="14599" max="14599" width="13" style="1092" customWidth="1"/>
    <col min="14600" max="14600" width="13.28515625" style="1092" customWidth="1"/>
    <col min="14601" max="14601" width="14" style="1092" customWidth="1"/>
    <col min="14602" max="14602" width="12.140625" style="1092" customWidth="1"/>
    <col min="14603" max="14603" width="15.28515625" style="1092" customWidth="1"/>
    <col min="14604" max="14604" width="15" style="1092" customWidth="1"/>
    <col min="14605" max="14605" width="14" style="1092" customWidth="1"/>
    <col min="14606" max="14606" width="13.5703125" style="1092" customWidth="1"/>
    <col min="14607" max="14607" width="13.42578125" style="1092" customWidth="1"/>
    <col min="14608" max="14608" width="13.5703125" style="1092" customWidth="1"/>
    <col min="14609" max="14609" width="13.140625" style="1092" customWidth="1"/>
    <col min="14610" max="14610" width="12.42578125" style="1092" customWidth="1"/>
    <col min="14611" max="14611" width="15.42578125" style="1092" customWidth="1"/>
    <col min="14612" max="14612" width="14.7109375" style="1092" customWidth="1"/>
    <col min="14613" max="14613" width="13.85546875" style="1092" customWidth="1"/>
    <col min="14614" max="14614" width="13.5703125" style="1092" customWidth="1"/>
    <col min="14615" max="14848" width="9.140625" style="1092"/>
    <col min="14849" max="14849" width="5.28515625" style="1092" customWidth="1"/>
    <col min="14850" max="14850" width="34" style="1092" customWidth="1"/>
    <col min="14851" max="14851" width="13.42578125" style="1092" customWidth="1"/>
    <col min="14852" max="14852" width="14.42578125" style="1092" customWidth="1"/>
    <col min="14853" max="14853" width="13.5703125" style="1092" customWidth="1"/>
    <col min="14854" max="14854" width="11.7109375" style="1092" customWidth="1"/>
    <col min="14855" max="14855" width="13" style="1092" customWidth="1"/>
    <col min="14856" max="14856" width="13.28515625" style="1092" customWidth="1"/>
    <col min="14857" max="14857" width="14" style="1092" customWidth="1"/>
    <col min="14858" max="14858" width="12.140625" style="1092" customWidth="1"/>
    <col min="14859" max="14859" width="15.28515625" style="1092" customWidth="1"/>
    <col min="14860" max="14860" width="15" style="1092" customWidth="1"/>
    <col min="14861" max="14861" width="14" style="1092" customWidth="1"/>
    <col min="14862" max="14862" width="13.5703125" style="1092" customWidth="1"/>
    <col min="14863" max="14863" width="13.42578125" style="1092" customWidth="1"/>
    <col min="14864" max="14864" width="13.5703125" style="1092" customWidth="1"/>
    <col min="14865" max="14865" width="13.140625" style="1092" customWidth="1"/>
    <col min="14866" max="14866" width="12.42578125" style="1092" customWidth="1"/>
    <col min="14867" max="14867" width="15.42578125" style="1092" customWidth="1"/>
    <col min="14868" max="14868" width="14.7109375" style="1092" customWidth="1"/>
    <col min="14869" max="14869" width="13.85546875" style="1092" customWidth="1"/>
    <col min="14870" max="14870" width="13.5703125" style="1092" customWidth="1"/>
    <col min="14871" max="15104" width="9.140625" style="1092"/>
    <col min="15105" max="15105" width="5.28515625" style="1092" customWidth="1"/>
    <col min="15106" max="15106" width="34" style="1092" customWidth="1"/>
    <col min="15107" max="15107" width="13.42578125" style="1092" customWidth="1"/>
    <col min="15108" max="15108" width="14.42578125" style="1092" customWidth="1"/>
    <col min="15109" max="15109" width="13.5703125" style="1092" customWidth="1"/>
    <col min="15110" max="15110" width="11.7109375" style="1092" customWidth="1"/>
    <col min="15111" max="15111" width="13" style="1092" customWidth="1"/>
    <col min="15112" max="15112" width="13.28515625" style="1092" customWidth="1"/>
    <col min="15113" max="15113" width="14" style="1092" customWidth="1"/>
    <col min="15114" max="15114" width="12.140625" style="1092" customWidth="1"/>
    <col min="15115" max="15115" width="15.28515625" style="1092" customWidth="1"/>
    <col min="15116" max="15116" width="15" style="1092" customWidth="1"/>
    <col min="15117" max="15117" width="14" style="1092" customWidth="1"/>
    <col min="15118" max="15118" width="13.5703125" style="1092" customWidth="1"/>
    <col min="15119" max="15119" width="13.42578125" style="1092" customWidth="1"/>
    <col min="15120" max="15120" width="13.5703125" style="1092" customWidth="1"/>
    <col min="15121" max="15121" width="13.140625" style="1092" customWidth="1"/>
    <col min="15122" max="15122" width="12.42578125" style="1092" customWidth="1"/>
    <col min="15123" max="15123" width="15.42578125" style="1092" customWidth="1"/>
    <col min="15124" max="15124" width="14.7109375" style="1092" customWidth="1"/>
    <col min="15125" max="15125" width="13.85546875" style="1092" customWidth="1"/>
    <col min="15126" max="15126" width="13.5703125" style="1092" customWidth="1"/>
    <col min="15127" max="15360" width="9.140625" style="1092"/>
    <col min="15361" max="15361" width="5.28515625" style="1092" customWidth="1"/>
    <col min="15362" max="15362" width="34" style="1092" customWidth="1"/>
    <col min="15363" max="15363" width="13.42578125" style="1092" customWidth="1"/>
    <col min="15364" max="15364" width="14.42578125" style="1092" customWidth="1"/>
    <col min="15365" max="15365" width="13.5703125" style="1092" customWidth="1"/>
    <col min="15366" max="15366" width="11.7109375" style="1092" customWidth="1"/>
    <col min="15367" max="15367" width="13" style="1092" customWidth="1"/>
    <col min="15368" max="15368" width="13.28515625" style="1092" customWidth="1"/>
    <col min="15369" max="15369" width="14" style="1092" customWidth="1"/>
    <col min="15370" max="15370" width="12.140625" style="1092" customWidth="1"/>
    <col min="15371" max="15371" width="15.28515625" style="1092" customWidth="1"/>
    <col min="15372" max="15372" width="15" style="1092" customWidth="1"/>
    <col min="15373" max="15373" width="14" style="1092" customWidth="1"/>
    <col min="15374" max="15374" width="13.5703125" style="1092" customWidth="1"/>
    <col min="15375" max="15375" width="13.42578125" style="1092" customWidth="1"/>
    <col min="15376" max="15376" width="13.5703125" style="1092" customWidth="1"/>
    <col min="15377" max="15377" width="13.140625" style="1092" customWidth="1"/>
    <col min="15378" max="15378" width="12.42578125" style="1092" customWidth="1"/>
    <col min="15379" max="15379" width="15.42578125" style="1092" customWidth="1"/>
    <col min="15380" max="15380" width="14.7109375" style="1092" customWidth="1"/>
    <col min="15381" max="15381" width="13.85546875" style="1092" customWidth="1"/>
    <col min="15382" max="15382" width="13.5703125" style="1092" customWidth="1"/>
    <col min="15383" max="15616" width="9.140625" style="1092"/>
    <col min="15617" max="15617" width="5.28515625" style="1092" customWidth="1"/>
    <col min="15618" max="15618" width="34" style="1092" customWidth="1"/>
    <col min="15619" max="15619" width="13.42578125" style="1092" customWidth="1"/>
    <col min="15620" max="15620" width="14.42578125" style="1092" customWidth="1"/>
    <col min="15621" max="15621" width="13.5703125" style="1092" customWidth="1"/>
    <col min="15622" max="15622" width="11.7109375" style="1092" customWidth="1"/>
    <col min="15623" max="15623" width="13" style="1092" customWidth="1"/>
    <col min="15624" max="15624" width="13.28515625" style="1092" customWidth="1"/>
    <col min="15625" max="15625" width="14" style="1092" customWidth="1"/>
    <col min="15626" max="15626" width="12.140625" style="1092" customWidth="1"/>
    <col min="15627" max="15627" width="15.28515625" style="1092" customWidth="1"/>
    <col min="15628" max="15628" width="15" style="1092" customWidth="1"/>
    <col min="15629" max="15629" width="14" style="1092" customWidth="1"/>
    <col min="15630" max="15630" width="13.5703125" style="1092" customWidth="1"/>
    <col min="15631" max="15631" width="13.42578125" style="1092" customWidth="1"/>
    <col min="15632" max="15632" width="13.5703125" style="1092" customWidth="1"/>
    <col min="15633" max="15633" width="13.140625" style="1092" customWidth="1"/>
    <col min="15634" max="15634" width="12.42578125" style="1092" customWidth="1"/>
    <col min="15635" max="15635" width="15.42578125" style="1092" customWidth="1"/>
    <col min="15636" max="15636" width="14.7109375" style="1092" customWidth="1"/>
    <col min="15637" max="15637" width="13.85546875" style="1092" customWidth="1"/>
    <col min="15638" max="15638" width="13.5703125" style="1092" customWidth="1"/>
    <col min="15639" max="15872" width="9.140625" style="1092"/>
    <col min="15873" max="15873" width="5.28515625" style="1092" customWidth="1"/>
    <col min="15874" max="15874" width="34" style="1092" customWidth="1"/>
    <col min="15875" max="15875" width="13.42578125" style="1092" customWidth="1"/>
    <col min="15876" max="15876" width="14.42578125" style="1092" customWidth="1"/>
    <col min="15877" max="15877" width="13.5703125" style="1092" customWidth="1"/>
    <col min="15878" max="15878" width="11.7109375" style="1092" customWidth="1"/>
    <col min="15879" max="15879" width="13" style="1092" customWidth="1"/>
    <col min="15880" max="15880" width="13.28515625" style="1092" customWidth="1"/>
    <col min="15881" max="15881" width="14" style="1092" customWidth="1"/>
    <col min="15882" max="15882" width="12.140625" style="1092" customWidth="1"/>
    <col min="15883" max="15883" width="15.28515625" style="1092" customWidth="1"/>
    <col min="15884" max="15884" width="15" style="1092" customWidth="1"/>
    <col min="15885" max="15885" width="14" style="1092" customWidth="1"/>
    <col min="15886" max="15886" width="13.5703125" style="1092" customWidth="1"/>
    <col min="15887" max="15887" width="13.42578125" style="1092" customWidth="1"/>
    <col min="15888" max="15888" width="13.5703125" style="1092" customWidth="1"/>
    <col min="15889" max="15889" width="13.140625" style="1092" customWidth="1"/>
    <col min="15890" max="15890" width="12.42578125" style="1092" customWidth="1"/>
    <col min="15891" max="15891" width="15.42578125" style="1092" customWidth="1"/>
    <col min="15892" max="15892" width="14.7109375" style="1092" customWidth="1"/>
    <col min="15893" max="15893" width="13.85546875" style="1092" customWidth="1"/>
    <col min="15894" max="15894" width="13.5703125" style="1092" customWidth="1"/>
    <col min="15895" max="16128" width="9.140625" style="1092"/>
    <col min="16129" max="16129" width="5.28515625" style="1092" customWidth="1"/>
    <col min="16130" max="16130" width="34" style="1092" customWidth="1"/>
    <col min="16131" max="16131" width="13.42578125" style="1092" customWidth="1"/>
    <col min="16132" max="16132" width="14.42578125" style="1092" customWidth="1"/>
    <col min="16133" max="16133" width="13.5703125" style="1092" customWidth="1"/>
    <col min="16134" max="16134" width="11.7109375" style="1092" customWidth="1"/>
    <col min="16135" max="16135" width="13" style="1092" customWidth="1"/>
    <col min="16136" max="16136" width="13.28515625" style="1092" customWidth="1"/>
    <col min="16137" max="16137" width="14" style="1092" customWidth="1"/>
    <col min="16138" max="16138" width="12.140625" style="1092" customWidth="1"/>
    <col min="16139" max="16139" width="15.28515625" style="1092" customWidth="1"/>
    <col min="16140" max="16140" width="15" style="1092" customWidth="1"/>
    <col min="16141" max="16141" width="14" style="1092" customWidth="1"/>
    <col min="16142" max="16142" width="13.5703125" style="1092" customWidth="1"/>
    <col min="16143" max="16143" width="13.42578125" style="1092" customWidth="1"/>
    <col min="16144" max="16144" width="13.5703125" style="1092" customWidth="1"/>
    <col min="16145" max="16145" width="13.140625" style="1092" customWidth="1"/>
    <col min="16146" max="16146" width="12.42578125" style="1092" customWidth="1"/>
    <col min="16147" max="16147" width="15.42578125" style="1092" customWidth="1"/>
    <col min="16148" max="16148" width="14.7109375" style="1092" customWidth="1"/>
    <col min="16149" max="16149" width="13.85546875" style="1092" customWidth="1"/>
    <col min="16150" max="16150" width="13.5703125" style="1092" customWidth="1"/>
    <col min="16151" max="16384" width="9.140625" style="1092"/>
  </cols>
  <sheetData>
    <row r="1" spans="1:23" ht="27" customHeight="1" x14ac:dyDescent="0.25">
      <c r="A1" s="2010" t="s">
        <v>1927</v>
      </c>
      <c r="B1" s="2010"/>
      <c r="C1" s="2010"/>
      <c r="D1" s="2010"/>
      <c r="E1" s="2010"/>
      <c r="F1" s="2010"/>
      <c r="G1" s="2010"/>
      <c r="H1" s="2010"/>
      <c r="I1" s="2010"/>
      <c r="J1" s="2010"/>
      <c r="K1" s="2010"/>
      <c r="L1" s="2010"/>
      <c r="M1" s="2010"/>
      <c r="N1" s="2010"/>
      <c r="O1" s="2010"/>
      <c r="P1" s="2010"/>
      <c r="Q1" s="2010"/>
      <c r="R1" s="2010"/>
      <c r="S1" s="2010"/>
      <c r="T1" s="1091"/>
      <c r="U1" s="1091"/>
      <c r="V1" s="1091"/>
      <c r="W1" s="1091"/>
    </row>
    <row r="2" spans="1:23" x14ac:dyDescent="0.25">
      <c r="A2" s="1071"/>
      <c r="B2" s="1071"/>
      <c r="C2" s="1071"/>
      <c r="D2" s="1071"/>
      <c r="E2" s="1071"/>
      <c r="F2" s="1071"/>
      <c r="G2" s="1071"/>
      <c r="H2" s="1071"/>
      <c r="I2" s="1071"/>
      <c r="J2" s="1071"/>
      <c r="K2" s="1071"/>
      <c r="L2" s="1071"/>
      <c r="M2" s="1071"/>
      <c r="N2" s="1071"/>
      <c r="O2" s="1071"/>
      <c r="P2" s="1071"/>
      <c r="Q2" s="1071"/>
      <c r="R2" s="1071"/>
      <c r="S2" s="1071"/>
    </row>
    <row r="3" spans="1:23" ht="22.5" customHeight="1" x14ac:dyDescent="0.25">
      <c r="A3" s="2130" t="s">
        <v>1724</v>
      </c>
      <c r="B3" s="2130"/>
      <c r="C3" s="2130"/>
      <c r="D3" s="2130"/>
      <c r="E3" s="2130"/>
      <c r="F3" s="2130"/>
      <c r="G3" s="2130"/>
      <c r="H3" s="2130"/>
      <c r="I3" s="2130"/>
      <c r="J3" s="2130"/>
      <c r="K3" s="2130"/>
      <c r="L3" s="2130"/>
      <c r="M3" s="2130"/>
      <c r="N3" s="2130"/>
      <c r="O3" s="2130"/>
      <c r="P3" s="2130"/>
      <c r="Q3" s="2130"/>
      <c r="R3" s="2130"/>
      <c r="S3" s="2130"/>
    </row>
    <row r="4" spans="1:23" ht="22.5" customHeight="1" x14ac:dyDescent="0.25">
      <c r="A4" s="937"/>
      <c r="B4" s="937"/>
      <c r="C4" s="937"/>
      <c r="D4" s="937"/>
      <c r="E4" s="937"/>
      <c r="F4" s="937"/>
      <c r="G4" s="937"/>
      <c r="H4" s="937"/>
      <c r="I4" s="937"/>
      <c r="J4" s="937"/>
      <c r="K4" s="937"/>
      <c r="L4" s="1072"/>
      <c r="M4" s="937"/>
      <c r="N4" s="937"/>
      <c r="O4" s="937"/>
      <c r="P4" s="937"/>
      <c r="Q4" s="937"/>
      <c r="R4" s="937"/>
      <c r="S4" s="1178" t="s">
        <v>444</v>
      </c>
    </row>
    <row r="5" spans="1:23" ht="21" customHeight="1" x14ac:dyDescent="0.25">
      <c r="A5" s="2131" t="s">
        <v>37</v>
      </c>
      <c r="B5" s="2133" t="s">
        <v>136</v>
      </c>
      <c r="C5" s="2135" t="s">
        <v>1644</v>
      </c>
      <c r="D5" s="2135"/>
      <c r="E5" s="2135"/>
      <c r="F5" s="2135"/>
      <c r="G5" s="2135"/>
      <c r="H5" s="2135"/>
      <c r="I5" s="2135"/>
      <c r="J5" s="2136"/>
      <c r="K5" s="1177"/>
      <c r="L5" s="2137" t="s">
        <v>1645</v>
      </c>
      <c r="M5" s="2135"/>
      <c r="N5" s="2135"/>
      <c r="O5" s="2135"/>
      <c r="P5" s="2135"/>
      <c r="Q5" s="2135"/>
      <c r="R5" s="2135"/>
      <c r="S5" s="2138"/>
    </row>
    <row r="6" spans="1:23" ht="78.75" customHeight="1" x14ac:dyDescent="0.25">
      <c r="A6" s="2132"/>
      <c r="B6" s="2134"/>
      <c r="C6" s="1093" t="s">
        <v>1725</v>
      </c>
      <c r="D6" s="1093" t="s">
        <v>1726</v>
      </c>
      <c r="E6" s="1093" t="s">
        <v>1718</v>
      </c>
      <c r="F6" s="1093" t="s">
        <v>1727</v>
      </c>
      <c r="G6" s="1093" t="s">
        <v>1728</v>
      </c>
      <c r="H6" s="1094" t="s">
        <v>1672</v>
      </c>
      <c r="I6" s="1093" t="s">
        <v>1729</v>
      </c>
      <c r="J6" s="1094" t="s">
        <v>1653</v>
      </c>
      <c r="K6" s="1095" t="s">
        <v>1654</v>
      </c>
      <c r="L6" s="1176" t="s">
        <v>1655</v>
      </c>
      <c r="M6" s="1094" t="s">
        <v>1656</v>
      </c>
      <c r="N6" s="1093" t="s">
        <v>1721</v>
      </c>
      <c r="O6" s="1093" t="s">
        <v>1730</v>
      </c>
      <c r="P6" s="1094" t="s">
        <v>1659</v>
      </c>
      <c r="Q6" s="1094" t="s">
        <v>1660</v>
      </c>
      <c r="R6" s="1094" t="s">
        <v>1661</v>
      </c>
      <c r="S6" s="1095" t="s">
        <v>1731</v>
      </c>
    </row>
    <row r="7" spans="1:23" ht="26.25" customHeight="1" x14ac:dyDescent="0.25">
      <c r="A7" s="1591" t="s">
        <v>194</v>
      </c>
      <c r="B7" s="1593" t="s">
        <v>451</v>
      </c>
      <c r="C7" s="1347">
        <f>+'1.sz.függ.Önkormány bev-kiad'!H253</f>
        <v>-96289</v>
      </c>
      <c r="D7" s="1347">
        <f>+'1.sz.függ.Önkormány bev-kiad'!I253</f>
        <v>-18720</v>
      </c>
      <c r="E7" s="1347">
        <f>+'1.sz.függ.Önkormány bev-kiad'!J253</f>
        <v>180725027</v>
      </c>
      <c r="F7" s="1347">
        <f>+'1.sz.függ.Önkormány bev-kiad'!K253</f>
        <v>-68810</v>
      </c>
      <c r="G7" s="1347">
        <f>+'1.sz.függ.Önkormány bev-kiad'!L253</f>
        <v>-161436043</v>
      </c>
      <c r="H7" s="1347">
        <f>+'1.sz.függ.Önkormány bev-kiad'!M253</f>
        <v>-71751194</v>
      </c>
      <c r="I7" s="1347">
        <f>+'1.sz.függ.Önkormány bev-kiad'!N253</f>
        <v>45310293</v>
      </c>
      <c r="J7" s="1347">
        <f>+'1.sz.függ.Önkormány bev-kiad'!O253</f>
        <v>699400</v>
      </c>
      <c r="K7" s="1348">
        <f>+'1.sz.függ.Önkormány bev-kiad'!P253</f>
        <v>147540408</v>
      </c>
      <c r="L7" s="1353">
        <f>+'1.sz.függ.Önkormány bev-kiad'!Q253</f>
        <v>28626291</v>
      </c>
      <c r="M7" s="1347">
        <f>+'1.sz.függ.Önkormány bev-kiad'!R253</f>
        <v>4690003</v>
      </c>
      <c r="N7" s="1347">
        <f>+'1.sz.függ.Önkormány bev-kiad'!S253</f>
        <v>2976629</v>
      </c>
      <c r="O7" s="1347">
        <f>+'1.sz.függ.Önkormány bev-kiad'!T253</f>
        <v>3027875</v>
      </c>
      <c r="P7" s="1347">
        <f>+'1.sz.függ.Önkormány bev-kiad'!U253</f>
        <v>0</v>
      </c>
      <c r="Q7" s="1347">
        <f>+'1.sz.függ.Önkormány bev-kiad'!V253</f>
        <v>0</v>
      </c>
      <c r="R7" s="1347">
        <f>+'1.sz.függ.Önkormány bev-kiad'!W253</f>
        <v>599400</v>
      </c>
      <c r="S7" s="1348">
        <f>+'1.sz.függ.Önkormány bev-kiad'!X253</f>
        <v>100983874</v>
      </c>
    </row>
    <row r="8" spans="1:23" ht="26.25" customHeight="1" x14ac:dyDescent="0.25">
      <c r="A8" s="1096" t="s">
        <v>195</v>
      </c>
      <c r="B8" s="1097" t="s">
        <v>86</v>
      </c>
      <c r="C8" s="1349">
        <f>+'2.sz.függ.PMH bev-kiad'!H29</f>
        <v>7982849</v>
      </c>
      <c r="D8" s="1349">
        <f>+'2.sz.függ.PMH bev-kiad'!I29</f>
        <v>1057300</v>
      </c>
      <c r="E8" s="1349">
        <f>+'2.sz.függ.PMH bev-kiad'!J29</f>
        <v>542152</v>
      </c>
      <c r="F8" s="1349">
        <f>+'2.sz.függ.PMH bev-kiad'!K29</f>
        <v>0</v>
      </c>
      <c r="G8" s="1349">
        <f>+'2.sz.függ.PMH bev-kiad'!L29</f>
        <v>0</v>
      </c>
      <c r="H8" s="1349">
        <f>+'2.sz.függ.PMH bev-kiad'!M29</f>
        <v>0</v>
      </c>
      <c r="I8" s="1349">
        <f>+'2.sz.függ.PMH bev-kiad'!N29</f>
        <v>0</v>
      </c>
      <c r="J8" s="1349">
        <f>+'2.sz.függ.PMH bev-kiad'!O29</f>
        <v>1154400</v>
      </c>
      <c r="K8" s="1350">
        <f>+'2.sz.függ.PMH bev-kiad'!P29</f>
        <v>0</v>
      </c>
      <c r="L8" s="1354">
        <f>+'2.sz.függ.PMH bev-kiad'!Q29</f>
        <v>6385700</v>
      </c>
      <c r="M8" s="1349">
        <f>+'2.sz.függ.PMH bev-kiad'!R29</f>
        <v>0</v>
      </c>
      <c r="N8" s="1349">
        <f>+'2.sz.függ.PMH bev-kiad'!S29</f>
        <v>10000</v>
      </c>
      <c r="O8" s="1349">
        <f>+'2.sz.függ.PMH bev-kiad'!T29</f>
        <v>1</v>
      </c>
      <c r="P8" s="1349">
        <f>+'2.sz.függ.PMH bev-kiad'!U29</f>
        <v>0</v>
      </c>
      <c r="Q8" s="1349">
        <f>+'2.sz.függ.PMH bev-kiad'!V29</f>
        <v>0</v>
      </c>
      <c r="R8" s="1349">
        <f>+'2.sz.függ.PMH bev-kiad'!W29</f>
        <v>1154400</v>
      </c>
      <c r="S8" s="1350">
        <f>+'2.sz.függ.PMH bev-kiad'!X29</f>
        <v>3186600</v>
      </c>
    </row>
    <row r="9" spans="1:23" ht="26.25" customHeight="1" x14ac:dyDescent="0.25">
      <c r="A9" s="1096" t="s">
        <v>196</v>
      </c>
      <c r="B9" s="1097" t="s">
        <v>23</v>
      </c>
      <c r="C9" s="1349">
        <f>+'7.sz.függ.Bölcsőde'!H28</f>
        <v>0</v>
      </c>
      <c r="D9" s="1349">
        <f>+'7.sz.függ.Bölcsőde'!I28</f>
        <v>0</v>
      </c>
      <c r="E9" s="1349">
        <f>+'7.sz.függ.Bölcsőde'!J28</f>
        <v>1136751</v>
      </c>
      <c r="F9" s="1349">
        <f>+'7.sz.függ.Bölcsőde'!K28</f>
        <v>0</v>
      </c>
      <c r="G9" s="1349">
        <f>+'7.sz.függ.Bölcsőde'!L28</f>
        <v>0</v>
      </c>
      <c r="H9" s="1349">
        <f>+'7.sz.függ.Bölcsőde'!M28</f>
        <v>0</v>
      </c>
      <c r="I9" s="1349">
        <f>+'7.sz.függ.Bölcsőde'!N28</f>
        <v>0</v>
      </c>
      <c r="J9" s="1349">
        <f>+'7.sz.függ.Bölcsőde'!O28</f>
        <v>0</v>
      </c>
      <c r="K9" s="1350">
        <f>+'7.sz.függ.Bölcsőde'!P28</f>
        <v>0</v>
      </c>
      <c r="L9" s="1354">
        <f>+'7.sz.függ.Bölcsőde'!Q28</f>
        <v>0</v>
      </c>
      <c r="M9" s="1349">
        <f>+'7.sz.függ.Bölcsőde'!R28</f>
        <v>0</v>
      </c>
      <c r="N9" s="1349">
        <f>+'7.sz.függ.Bölcsőde'!S28</f>
        <v>0</v>
      </c>
      <c r="O9" s="1349">
        <f>+'7.sz.függ.Bölcsőde'!T28</f>
        <v>1136751</v>
      </c>
      <c r="P9" s="1349">
        <f>+'7.sz.függ.Bölcsőde'!U28</f>
        <v>0</v>
      </c>
      <c r="Q9" s="1349">
        <f>+'7.sz.függ.Bölcsőde'!V28</f>
        <v>0</v>
      </c>
      <c r="R9" s="1349">
        <f>+'7.sz.függ.Bölcsőde'!W28</f>
        <v>0</v>
      </c>
      <c r="S9" s="1350">
        <f>+'7.sz.függ.Bölcsőde'!X28</f>
        <v>0</v>
      </c>
    </row>
    <row r="10" spans="1:23" ht="26.25" customHeight="1" x14ac:dyDescent="0.25">
      <c r="A10" s="1096" t="s">
        <v>197</v>
      </c>
      <c r="B10" s="1097" t="s">
        <v>87</v>
      </c>
      <c r="C10" s="1349">
        <f>+'6.sz.függ.Mese Ó.  '!H20</f>
        <v>0</v>
      </c>
      <c r="D10" s="1349">
        <f>+'6.sz.függ.Mese Ó.  '!I20</f>
        <v>0</v>
      </c>
      <c r="E10" s="1349">
        <f>+'6.sz.függ.Mese Ó.  '!J20</f>
        <v>8938114</v>
      </c>
      <c r="F10" s="1349">
        <f>+'6.sz.függ.Mese Ó.  '!K20</f>
        <v>0</v>
      </c>
      <c r="G10" s="1349">
        <f>+'6.sz.függ.Mese Ó.  '!L20</f>
        <v>0</v>
      </c>
      <c r="H10" s="1349">
        <f>+'6.sz.függ.Mese Ó.  '!M20</f>
        <v>360000</v>
      </c>
      <c r="I10" s="1349">
        <f>+'6.sz.függ.Mese Ó.  '!N20</f>
        <v>0</v>
      </c>
      <c r="J10" s="1349">
        <f>+'6.sz.függ.Mese Ó.  '!O20</f>
        <v>0</v>
      </c>
      <c r="K10" s="1350">
        <f>+'6.sz.függ.Mese Ó.  '!P20</f>
        <v>0</v>
      </c>
      <c r="L10" s="1354">
        <f>+'6.sz.függ.Mese Ó.  '!Q20</f>
        <v>0</v>
      </c>
      <c r="M10" s="1349">
        <f>+'6.sz.függ.Mese Ó.  '!R20</f>
        <v>0</v>
      </c>
      <c r="N10" s="1349">
        <f>+'6.sz.függ.Mese Ó.  '!S20</f>
        <v>0</v>
      </c>
      <c r="O10" s="1349">
        <f>+'6.sz.függ.Mese Ó.  '!T20</f>
        <v>1250314</v>
      </c>
      <c r="P10" s="1349">
        <f>+'6.sz.függ.Mese Ó.  '!U20</f>
        <v>0</v>
      </c>
      <c r="Q10" s="1349">
        <f>+'6.sz.függ.Mese Ó.  '!V20</f>
        <v>0</v>
      </c>
      <c r="R10" s="1349">
        <f>+'6.sz.függ.Mese Ó.  '!W20</f>
        <v>0</v>
      </c>
      <c r="S10" s="1350">
        <f>+'6.sz.függ.Mese Ó.  '!X20</f>
        <v>8047800</v>
      </c>
    </row>
    <row r="11" spans="1:23" ht="26.25" customHeight="1" x14ac:dyDescent="0.25">
      <c r="A11" s="1096" t="s">
        <v>198</v>
      </c>
      <c r="B11" s="1097" t="s">
        <v>24</v>
      </c>
      <c r="C11" s="1349">
        <f>+'5.sz.függ.Hétszínvirág Ó. '!H26</f>
        <v>0</v>
      </c>
      <c r="D11" s="1349">
        <f>+'5.sz.függ.Hétszínvirág Ó. '!I26</f>
        <v>0</v>
      </c>
      <c r="E11" s="1349">
        <f>+'5.sz.függ.Hétszínvirág Ó. '!J26</f>
        <v>7915200</v>
      </c>
      <c r="F11" s="1349">
        <f>+'5.sz.függ.Hétszínvirág Ó. '!K26</f>
        <v>0</v>
      </c>
      <c r="G11" s="1349">
        <f>+'5.sz.függ.Hétszínvirág Ó. '!L26</f>
        <v>0</v>
      </c>
      <c r="H11" s="1349">
        <f>+'5.sz.függ.Hétszínvirág Ó. '!M26</f>
        <v>0</v>
      </c>
      <c r="I11" s="1349">
        <f>+'5.sz.függ.Hétszínvirág Ó. '!N26</f>
        <v>0</v>
      </c>
      <c r="J11" s="1349">
        <f>+'5.sz.függ.Hétszínvirág Ó. '!O26</f>
        <v>0</v>
      </c>
      <c r="K11" s="1350">
        <f>+'5.sz.függ.Hétszínvirág Ó. '!P26</f>
        <v>0</v>
      </c>
      <c r="L11" s="1354">
        <f>+'5.sz.függ.Hétszínvirág Ó. '!Q26</f>
        <v>350000</v>
      </c>
      <c r="M11" s="1349">
        <f>+'5.sz.függ.Hétszínvirág Ó. '!R26</f>
        <v>0</v>
      </c>
      <c r="N11" s="1349">
        <f>+'5.sz.függ.Hétszínvirág Ó. '!S26</f>
        <v>0</v>
      </c>
      <c r="O11" s="1349">
        <f>+'5.sz.függ.Hétszínvirág Ó. '!T26</f>
        <v>0</v>
      </c>
      <c r="P11" s="1349">
        <f>+'5.sz.függ.Hétszínvirág Ó. '!U26</f>
        <v>0</v>
      </c>
      <c r="Q11" s="1349">
        <f>+'5.sz.függ.Hétszínvirág Ó. '!V26</f>
        <v>0</v>
      </c>
      <c r="R11" s="1349">
        <f>+'5.sz.függ.Hétszínvirág Ó. '!W26</f>
        <v>0</v>
      </c>
      <c r="S11" s="1350">
        <f>+'5.sz.függ.Hétszínvirág Ó. '!X26</f>
        <v>7565200</v>
      </c>
    </row>
    <row r="12" spans="1:23" ht="26.25" customHeight="1" x14ac:dyDescent="0.25">
      <c r="A12" s="1096" t="s">
        <v>199</v>
      </c>
      <c r="B12" s="1097" t="s">
        <v>618</v>
      </c>
      <c r="C12" s="1349">
        <f>+'9.sz.függ.Szivárvány Ó.'!H16</f>
        <v>0</v>
      </c>
      <c r="D12" s="1349">
        <f>+'9.sz.függ.Szivárvány Ó.'!I16</f>
        <v>0</v>
      </c>
      <c r="E12" s="1349">
        <f>+'9.sz.függ.Szivárvány Ó.'!J16</f>
        <v>6955600</v>
      </c>
      <c r="F12" s="1349">
        <f>+'9.sz.függ.Szivárvány Ó.'!K16</f>
        <v>0</v>
      </c>
      <c r="G12" s="1349">
        <f>+'9.sz.függ.Szivárvány Ó.'!L16</f>
        <v>0</v>
      </c>
      <c r="H12" s="1349">
        <f>+'9.sz.függ.Szivárvány Ó.'!M16</f>
        <v>0</v>
      </c>
      <c r="I12" s="1349">
        <f>+'9.sz.függ.Szivárvány Ó.'!N16</f>
        <v>0</v>
      </c>
      <c r="J12" s="1349">
        <f>+'9.sz.függ.Szivárvány Ó.'!O16</f>
        <v>0</v>
      </c>
      <c r="K12" s="1350">
        <f>+'9.sz.függ.Szivárvány Ó.'!P16</f>
        <v>0</v>
      </c>
      <c r="L12" s="1354">
        <f>+'9.sz.függ.Szivárvány Ó.'!Q16</f>
        <v>0</v>
      </c>
      <c r="M12" s="1349">
        <f>+'9.sz.függ.Szivárvány Ó.'!R16</f>
        <v>0</v>
      </c>
      <c r="N12" s="1349">
        <f>+'9.sz.függ.Szivárvány Ó.'!S16</f>
        <v>0</v>
      </c>
      <c r="O12" s="1349">
        <f>+'9.sz.függ.Szivárvány Ó.'!T16</f>
        <v>0</v>
      </c>
      <c r="P12" s="1349">
        <f>+'9.sz.függ.Szivárvány Ó.'!U16</f>
        <v>0</v>
      </c>
      <c r="Q12" s="1349">
        <f>+'9.sz.függ.Szivárvány Ó.'!V16</f>
        <v>0</v>
      </c>
      <c r="R12" s="1349">
        <f>+'9.sz.függ.Szivárvány Ó.'!W16</f>
        <v>0</v>
      </c>
      <c r="S12" s="1350">
        <f>+'9.sz.függ.Szivárvány Ó.'!X16</f>
        <v>6955600</v>
      </c>
    </row>
    <row r="13" spans="1:23" ht="26.25" customHeight="1" x14ac:dyDescent="0.25">
      <c r="A13" s="1096" t="s">
        <v>200</v>
      </c>
      <c r="B13" s="1097" t="s">
        <v>25</v>
      </c>
      <c r="C13" s="1349">
        <f>+'3.sz.függ.Ter.Gond. '!H46</f>
        <v>0</v>
      </c>
      <c r="D13" s="1349">
        <f>+'3.sz.függ.Ter.Gond. '!I46</f>
        <v>0</v>
      </c>
      <c r="E13" s="1349">
        <f>+'3.sz.függ.Ter.Gond. '!J46</f>
        <v>765228</v>
      </c>
      <c r="F13" s="1349">
        <f>+'3.sz.függ.Ter.Gond. '!K46</f>
        <v>0</v>
      </c>
      <c r="G13" s="1349">
        <f>+'3.sz.függ.Ter.Gond. '!L46</f>
        <v>0</v>
      </c>
      <c r="H13" s="1349">
        <f>+'3.sz.függ.Ter.Gond. '!M46</f>
        <v>0</v>
      </c>
      <c r="I13" s="1349">
        <f>+'3.sz.függ.Ter.Gond. '!N46</f>
        <v>0</v>
      </c>
      <c r="J13" s="1349">
        <f>+'3.sz.függ.Ter.Gond. '!O46</f>
        <v>0</v>
      </c>
      <c r="K13" s="1350">
        <f>+'3.sz.függ.Ter.Gond. '!P46</f>
        <v>0</v>
      </c>
      <c r="L13" s="1354">
        <f>+'3.sz.függ.Ter.Gond. '!Q46</f>
        <v>0</v>
      </c>
      <c r="M13" s="1349">
        <f>+'3.sz.függ.Ter.Gond. '!R46</f>
        <v>0</v>
      </c>
      <c r="N13" s="1349">
        <f>+'3.sz.függ.Ter.Gond. '!S46</f>
        <v>0</v>
      </c>
      <c r="O13" s="1349">
        <f>+'3.sz.függ.Ter.Gond. '!T46</f>
        <v>765228</v>
      </c>
      <c r="P13" s="1349">
        <f>+'3.sz.függ.Ter.Gond. '!U46</f>
        <v>0</v>
      </c>
      <c r="Q13" s="1349">
        <f>+'3.sz.függ.Ter.Gond. '!V46</f>
        <v>0</v>
      </c>
      <c r="R13" s="1349">
        <f>+'3.sz.függ.Ter.Gond. '!W46</f>
        <v>0</v>
      </c>
      <c r="S13" s="1350">
        <f>+'3.sz.függ.Ter.Gond. '!X46</f>
        <v>0</v>
      </c>
    </row>
    <row r="14" spans="1:23" ht="30.75" customHeight="1" x14ac:dyDescent="0.25">
      <c r="A14" s="1096" t="s">
        <v>201</v>
      </c>
      <c r="B14" s="1097" t="s">
        <v>1732</v>
      </c>
      <c r="C14" s="1349">
        <f>+'8.sz.függ.Gyermekjóléti  '!H11</f>
        <v>2654867</v>
      </c>
      <c r="D14" s="1349">
        <f>+'8.sz.függ.Gyermekjóléti  '!I11</f>
        <v>345133</v>
      </c>
      <c r="E14" s="1349">
        <f>+'8.sz.függ.Gyermekjóléti  '!J11</f>
        <v>0</v>
      </c>
      <c r="F14" s="1349">
        <f>+'8.sz.függ.Gyermekjóléti  '!K11</f>
        <v>0</v>
      </c>
      <c r="G14" s="1349">
        <f>+'8.sz.függ.Gyermekjóléti  '!L11</f>
        <v>0</v>
      </c>
      <c r="H14" s="1349">
        <f>+'8.sz.függ.Gyermekjóléti  '!M11</f>
        <v>0</v>
      </c>
      <c r="I14" s="1349">
        <f>+'8.sz.függ.Gyermekjóléti  '!N11</f>
        <v>0</v>
      </c>
      <c r="J14" s="1349">
        <f>+'8.sz.függ.Gyermekjóléti  '!O11</f>
        <v>0</v>
      </c>
      <c r="K14" s="1350">
        <f>+'8.sz.függ.Gyermekjóléti  '!P11</f>
        <v>0</v>
      </c>
      <c r="L14" s="1354">
        <f>+'8.sz.függ.Gyermekjóléti  '!Q11</f>
        <v>0</v>
      </c>
      <c r="M14" s="1349">
        <f>+'8.sz.függ.Gyermekjóléti  '!R11</f>
        <v>0</v>
      </c>
      <c r="N14" s="1349">
        <f>+'8.sz.függ.Gyermekjóléti  '!S11</f>
        <v>0</v>
      </c>
      <c r="O14" s="1349">
        <f>+'8.sz.függ.Gyermekjóléti  '!T11</f>
        <v>0</v>
      </c>
      <c r="P14" s="1349">
        <f>+'8.sz.függ.Gyermekjóléti  '!U11</f>
        <v>0</v>
      </c>
      <c r="Q14" s="1349">
        <f>+'8.sz.függ.Gyermekjóléti  '!V11</f>
        <v>0</v>
      </c>
      <c r="R14" s="1349">
        <f>+'8.sz.függ.Gyermekjóléti  '!W11</f>
        <v>0</v>
      </c>
      <c r="S14" s="1350">
        <f>+'8.sz.függ.Gyermekjóléti  '!X11</f>
        <v>3000000</v>
      </c>
    </row>
    <row r="15" spans="1:23" ht="24" customHeight="1" x14ac:dyDescent="0.25">
      <c r="A15" s="1096" t="s">
        <v>202</v>
      </c>
      <c r="B15" s="1097" t="s">
        <v>632</v>
      </c>
      <c r="C15" s="1349">
        <f>+'4.sz.függ.Könyvtár '!H12</f>
        <v>6834720</v>
      </c>
      <c r="D15" s="1349">
        <f>+'4.sz.függ.Könyvtár '!I12</f>
        <v>888514</v>
      </c>
      <c r="E15" s="1349">
        <f>+'4.sz.függ.Könyvtár '!J12</f>
        <v>16415</v>
      </c>
      <c r="F15" s="1349">
        <f>+'4.sz.függ.Könyvtár '!K12</f>
        <v>0</v>
      </c>
      <c r="G15" s="1349">
        <f>+'4.sz.függ.Könyvtár '!L12</f>
        <v>0</v>
      </c>
      <c r="H15" s="1349">
        <f>+'4.sz.függ.Könyvtár '!M12</f>
        <v>0</v>
      </c>
      <c r="I15" s="1349">
        <f>+'4.sz.függ.Könyvtár '!N12</f>
        <v>0</v>
      </c>
      <c r="J15" s="1349">
        <f>+'4.sz.függ.Könyvtár '!O12</f>
        <v>0</v>
      </c>
      <c r="K15" s="1350">
        <f>+'4.sz.függ.Könyvtár '!P12</f>
        <v>0</v>
      </c>
      <c r="L15" s="1354">
        <f>+'4.sz.függ.Könyvtár '!Q12</f>
        <v>0</v>
      </c>
      <c r="M15" s="1349">
        <f>+'4.sz.függ.Könyvtár '!R12</f>
        <v>0</v>
      </c>
      <c r="N15" s="1349">
        <f>+'4.sz.függ.Könyvtár '!S12</f>
        <v>0</v>
      </c>
      <c r="O15" s="1349">
        <f>+'4.sz.függ.Könyvtár '!T12</f>
        <v>11415</v>
      </c>
      <c r="P15" s="1349">
        <f>+'4.sz.függ.Könyvtár '!U12</f>
        <v>5000</v>
      </c>
      <c r="Q15" s="1349">
        <f>+'4.sz.függ.Könyvtár '!V12</f>
        <v>0</v>
      </c>
      <c r="R15" s="1349">
        <f>+'4.sz.függ.Könyvtár '!W12</f>
        <v>0</v>
      </c>
      <c r="S15" s="1350">
        <f>+'4.sz.függ.Könyvtár '!X12</f>
        <v>7723234</v>
      </c>
    </row>
    <row r="16" spans="1:23" ht="24" customHeight="1" x14ac:dyDescent="0.25">
      <c r="A16" s="1592" t="s">
        <v>203</v>
      </c>
      <c r="B16" s="1594" t="s">
        <v>619</v>
      </c>
      <c r="C16" s="1351">
        <f>+'10.sz.függ.József A.Műv.Ház'!H22</f>
        <v>7789214</v>
      </c>
      <c r="D16" s="1351">
        <f>+'10.sz.függ.József A.Műv.Ház'!I22</f>
        <v>1017120</v>
      </c>
      <c r="E16" s="1351">
        <f>+'10.sz.függ.József A.Műv.Ház'!J22</f>
        <v>1271766</v>
      </c>
      <c r="F16" s="1351">
        <f>+'10.sz.függ.József A.Műv.Ház'!K22</f>
        <v>0</v>
      </c>
      <c r="G16" s="1351">
        <f>+'10.sz.függ.József A.Műv.Ház'!L22</f>
        <v>0</v>
      </c>
      <c r="H16" s="1351">
        <f>+'10.sz.függ.József A.Műv.Ház'!M22</f>
        <v>0</v>
      </c>
      <c r="I16" s="1351">
        <f>+'10.sz.függ.József A.Műv.Ház'!N22</f>
        <v>0</v>
      </c>
      <c r="J16" s="1351">
        <f>+'10.sz.függ.József A.Műv.Ház'!O22</f>
        <v>0</v>
      </c>
      <c r="K16" s="1352">
        <f>+'10.sz.függ.József A.Műv.Ház'!P22</f>
        <v>0</v>
      </c>
      <c r="L16" s="1355">
        <f>+'10.sz.függ.József A.Műv.Ház'!Q22</f>
        <v>0</v>
      </c>
      <c r="M16" s="1351">
        <f>+'10.sz.függ.József A.Műv.Ház'!R22</f>
        <v>0</v>
      </c>
      <c r="N16" s="1351">
        <f>+'10.sz.függ.József A.Műv.Ház'!S22</f>
        <v>0</v>
      </c>
      <c r="O16" s="1351">
        <f>+'10.sz.függ.József A.Műv.Ház'!T22</f>
        <v>0</v>
      </c>
      <c r="P16" s="1351">
        <f>+'10.sz.függ.József A.Műv.Ház'!U22</f>
        <v>0</v>
      </c>
      <c r="Q16" s="1351">
        <f>+'10.sz.függ.József A.Műv.Ház'!V22</f>
        <v>0</v>
      </c>
      <c r="R16" s="1351">
        <f>+'10.sz.függ.József A.Műv.Ház'!W22</f>
        <v>0</v>
      </c>
      <c r="S16" s="1352">
        <f>+'10.sz.függ.József A.Műv.Ház'!X22</f>
        <v>10078100</v>
      </c>
    </row>
    <row r="17" spans="1:19" ht="27" customHeight="1" x14ac:dyDescent="0.25">
      <c r="A17" s="2128" t="s">
        <v>1204</v>
      </c>
      <c r="B17" s="2129"/>
      <c r="C17" s="1098">
        <f>SUM(C7:C16)</f>
        <v>25165361</v>
      </c>
      <c r="D17" s="1098">
        <f t="shared" ref="D17:J17" si="0">SUM(D7:D16)</f>
        <v>3289347</v>
      </c>
      <c r="E17" s="1098">
        <f t="shared" si="0"/>
        <v>208266253</v>
      </c>
      <c r="F17" s="1098">
        <f t="shared" si="0"/>
        <v>-68810</v>
      </c>
      <c r="G17" s="1098">
        <f t="shared" si="0"/>
        <v>-161436043</v>
      </c>
      <c r="H17" s="1098">
        <f t="shared" si="0"/>
        <v>-71391194</v>
      </c>
      <c r="I17" s="1098">
        <f t="shared" si="0"/>
        <v>45310293</v>
      </c>
      <c r="J17" s="1098">
        <f t="shared" si="0"/>
        <v>1853800</v>
      </c>
      <c r="K17" s="1099">
        <f t="shared" ref="K17:S17" si="1">SUM(K7:K16)</f>
        <v>147540408</v>
      </c>
      <c r="L17" s="1100">
        <f t="shared" si="1"/>
        <v>35361991</v>
      </c>
      <c r="M17" s="1098">
        <f t="shared" si="1"/>
        <v>4690003</v>
      </c>
      <c r="N17" s="1098">
        <f t="shared" si="1"/>
        <v>2986629</v>
      </c>
      <c r="O17" s="1098">
        <f t="shared" si="1"/>
        <v>6191584</v>
      </c>
      <c r="P17" s="1098">
        <f t="shared" si="1"/>
        <v>5000</v>
      </c>
      <c r="Q17" s="1098">
        <f t="shared" si="1"/>
        <v>0</v>
      </c>
      <c r="R17" s="1098">
        <f t="shared" si="1"/>
        <v>1753800</v>
      </c>
      <c r="S17" s="1099">
        <f t="shared" si="1"/>
        <v>147540408</v>
      </c>
    </row>
    <row r="18" spans="1:19" x14ac:dyDescent="0.25">
      <c r="A18" s="937"/>
      <c r="B18" s="937"/>
      <c r="C18" s="966"/>
      <c r="D18" s="966"/>
      <c r="E18" s="966"/>
      <c r="F18" s="966"/>
      <c r="G18" s="966"/>
      <c r="H18" s="966"/>
      <c r="I18" s="966"/>
      <c r="J18" s="966"/>
      <c r="K18" s="966"/>
      <c r="L18" s="966"/>
      <c r="M18" s="966"/>
      <c r="N18" s="966"/>
      <c r="O18" s="966"/>
      <c r="P18" s="966"/>
      <c r="Q18" s="966"/>
      <c r="R18" s="966"/>
      <c r="S18" s="966"/>
    </row>
    <row r="19" spans="1:19" x14ac:dyDescent="0.25">
      <c r="A19" s="937"/>
      <c r="B19" s="937"/>
      <c r="C19" s="937"/>
      <c r="D19" s="937"/>
      <c r="E19" s="937"/>
      <c r="F19" s="937"/>
      <c r="G19" s="937"/>
      <c r="H19" s="937"/>
      <c r="I19" s="937"/>
      <c r="J19" s="937"/>
      <c r="K19" s="937"/>
      <c r="L19" s="937"/>
      <c r="M19" s="937"/>
      <c r="N19" s="937"/>
      <c r="O19" s="937"/>
      <c r="P19" s="937"/>
      <c r="Q19" s="937"/>
      <c r="R19" s="937"/>
      <c r="S19" s="937"/>
    </row>
    <row r="20" spans="1:19" ht="21.75" customHeight="1" x14ac:dyDescent="0.25">
      <c r="A20" s="937"/>
      <c r="B20" s="937"/>
      <c r="C20" s="937"/>
      <c r="D20" s="2001" t="s">
        <v>1664</v>
      </c>
      <c r="E20" s="2001"/>
      <c r="F20" s="2001"/>
      <c r="G20" s="2001">
        <v>14255990475</v>
      </c>
      <c r="H20" s="2001"/>
      <c r="I20" s="937"/>
      <c r="J20" s="937"/>
      <c r="K20" s="937"/>
      <c r="L20" s="937"/>
      <c r="M20" s="2001" t="s">
        <v>1665</v>
      </c>
      <c r="N20" s="2001"/>
      <c r="O20" s="2001"/>
      <c r="P20" s="2001">
        <v>14255990475</v>
      </c>
      <c r="Q20" s="2001"/>
      <c r="R20" s="937"/>
      <c r="S20" s="937"/>
    </row>
    <row r="21" spans="1:19" ht="21.75" customHeight="1" x14ac:dyDescent="0.25">
      <c r="A21" s="937"/>
      <c r="B21" s="937"/>
      <c r="C21" s="937"/>
      <c r="D21" s="2001" t="s">
        <v>1666</v>
      </c>
      <c r="E21" s="2001"/>
      <c r="F21" s="2001"/>
      <c r="G21" s="2001">
        <f>SUM(C17:K17)</f>
        <v>198529415</v>
      </c>
      <c r="H21" s="2001"/>
      <c r="I21" s="966"/>
      <c r="J21" s="937"/>
      <c r="K21" s="937"/>
      <c r="L21" s="937"/>
      <c r="M21" s="2001" t="s">
        <v>1666</v>
      </c>
      <c r="N21" s="2001"/>
      <c r="O21" s="2001"/>
      <c r="P21" s="2001">
        <f>SUM(L17:S17)</f>
        <v>198529415</v>
      </c>
      <c r="Q21" s="2001"/>
      <c r="R21" s="937"/>
      <c r="S21" s="937"/>
    </row>
    <row r="22" spans="1:19" ht="21.75" customHeight="1" x14ac:dyDescent="0.25">
      <c r="A22" s="937"/>
      <c r="B22" s="937"/>
      <c r="C22" s="937"/>
      <c r="D22" s="2001" t="s">
        <v>1512</v>
      </c>
      <c r="E22" s="2001"/>
      <c r="F22" s="2001"/>
      <c r="G22" s="2001">
        <f>+G20+G21</f>
        <v>14454519890</v>
      </c>
      <c r="H22" s="2001"/>
      <c r="I22" s="937"/>
      <c r="J22" s="937"/>
      <c r="K22" s="937"/>
      <c r="L22" s="937"/>
      <c r="M22" s="2001" t="s">
        <v>1512</v>
      </c>
      <c r="N22" s="2001"/>
      <c r="O22" s="2001"/>
      <c r="P22" s="2001">
        <f>+P20+P21</f>
        <v>14454519890</v>
      </c>
      <c r="Q22" s="2001"/>
      <c r="R22" s="937"/>
      <c r="S22" s="937"/>
    </row>
    <row r="23" spans="1:19" x14ac:dyDescent="0.25">
      <c r="A23" s="937"/>
      <c r="B23" s="937"/>
      <c r="C23" s="937"/>
      <c r="D23" s="937"/>
      <c r="E23" s="937"/>
      <c r="F23" s="937"/>
      <c r="G23" s="937"/>
      <c r="H23" s="937"/>
      <c r="I23" s="937"/>
      <c r="J23" s="937"/>
      <c r="K23" s="937"/>
      <c r="L23" s="937"/>
      <c r="M23" s="937"/>
      <c r="N23" s="937"/>
      <c r="O23" s="937"/>
      <c r="P23" s="937"/>
      <c r="Q23" s="937"/>
      <c r="R23" s="937"/>
      <c r="S23" s="937"/>
    </row>
    <row r="24" spans="1:19" x14ac:dyDescent="0.25">
      <c r="A24" s="937"/>
      <c r="B24" s="937"/>
      <c r="C24" s="937"/>
      <c r="D24" s="937"/>
      <c r="E24" s="937"/>
      <c r="F24" s="937"/>
      <c r="G24" s="937"/>
      <c r="H24" s="937"/>
      <c r="I24" s="937"/>
      <c r="J24" s="937"/>
      <c r="K24" s="937"/>
      <c r="L24" s="937"/>
      <c r="M24" s="937"/>
      <c r="N24" s="937"/>
      <c r="O24" s="937"/>
      <c r="P24" s="937"/>
      <c r="Q24" s="937"/>
      <c r="R24" s="937"/>
      <c r="S24" s="937"/>
    </row>
    <row r="25" spans="1:19" x14ac:dyDescent="0.25">
      <c r="A25" s="937"/>
      <c r="B25" s="937"/>
      <c r="C25" s="937"/>
      <c r="D25" s="937"/>
      <c r="E25" s="937"/>
      <c r="F25" s="937"/>
      <c r="G25" s="937"/>
      <c r="H25" s="937"/>
      <c r="I25" s="937"/>
      <c r="J25" s="937"/>
      <c r="K25" s="937"/>
      <c r="L25" s="937"/>
      <c r="M25" s="937"/>
      <c r="N25" s="937"/>
      <c r="O25" s="937"/>
      <c r="P25" s="937"/>
      <c r="Q25" s="937"/>
      <c r="R25" s="937"/>
      <c r="S25" s="937"/>
    </row>
    <row r="26" spans="1:19" ht="15.75" x14ac:dyDescent="0.25">
      <c r="A26" s="2010" t="s">
        <v>2555</v>
      </c>
      <c r="B26" s="2010"/>
      <c r="C26" s="2010"/>
      <c r="D26" s="2010"/>
      <c r="E26" s="2010"/>
      <c r="F26" s="2010"/>
      <c r="G26" s="2010"/>
      <c r="H26" s="2010"/>
      <c r="I26" s="2010"/>
      <c r="J26" s="2010"/>
      <c r="K26" s="2010"/>
      <c r="L26" s="2010"/>
      <c r="M26" s="2010"/>
      <c r="N26" s="2010"/>
      <c r="O26" s="2010"/>
      <c r="P26" s="2010"/>
      <c r="Q26" s="2010"/>
      <c r="R26" s="2010"/>
      <c r="S26" s="2010"/>
    </row>
    <row r="27" spans="1:19" ht="24" customHeight="1" x14ac:dyDescent="0.25">
      <c r="A27" s="1071"/>
      <c r="B27" s="1071"/>
      <c r="C27" s="1071"/>
      <c r="D27" s="1071"/>
      <c r="E27" s="1071"/>
      <c r="F27" s="1071"/>
      <c r="G27" s="1071"/>
      <c r="H27" s="1071"/>
      <c r="I27" s="1071"/>
      <c r="J27" s="1071"/>
      <c r="K27" s="1071"/>
      <c r="L27" s="1071"/>
      <c r="M27" s="1071"/>
      <c r="N27" s="1071"/>
      <c r="O27" s="1071"/>
      <c r="P27" s="1071"/>
      <c r="Q27" s="1071"/>
      <c r="R27" s="1071"/>
      <c r="S27" s="1071"/>
    </row>
    <row r="28" spans="1:19" x14ac:dyDescent="0.25">
      <c r="A28" s="2130" t="s">
        <v>1724</v>
      </c>
      <c r="B28" s="2130"/>
      <c r="C28" s="2130"/>
      <c r="D28" s="2130"/>
      <c r="E28" s="2130"/>
      <c r="F28" s="2130"/>
      <c r="G28" s="2130"/>
      <c r="H28" s="2130"/>
      <c r="I28" s="2130"/>
      <c r="J28" s="2130"/>
      <c r="K28" s="2130"/>
      <c r="L28" s="2130"/>
      <c r="M28" s="2130"/>
      <c r="N28" s="2130"/>
      <c r="O28" s="2130"/>
      <c r="P28" s="2130"/>
      <c r="Q28" s="2130"/>
      <c r="R28" s="2130"/>
      <c r="S28" s="2130"/>
    </row>
    <row r="29" spans="1:19" x14ac:dyDescent="0.25">
      <c r="A29" s="937"/>
      <c r="B29" s="937"/>
      <c r="C29" s="937"/>
      <c r="D29" s="937"/>
      <c r="E29" s="937"/>
      <c r="F29" s="937"/>
      <c r="G29" s="937"/>
      <c r="H29" s="937"/>
      <c r="I29" s="937"/>
      <c r="J29" s="937"/>
      <c r="K29" s="937"/>
      <c r="L29" s="937"/>
      <c r="M29" s="937"/>
      <c r="N29" s="937"/>
      <c r="O29" s="937"/>
      <c r="P29" s="937"/>
      <c r="Q29" s="937"/>
      <c r="R29" s="937"/>
    </row>
    <row r="30" spans="1:19" x14ac:dyDescent="0.25">
      <c r="A30" s="937"/>
      <c r="B30" s="937"/>
      <c r="C30" s="937"/>
      <c r="D30" s="937"/>
      <c r="E30" s="937"/>
      <c r="F30" s="937"/>
      <c r="G30" s="937"/>
      <c r="H30" s="937"/>
      <c r="I30" s="937"/>
      <c r="J30" s="937"/>
      <c r="K30" s="937"/>
      <c r="L30" s="937"/>
      <c r="M30" s="937"/>
      <c r="N30" s="937"/>
      <c r="O30" s="937"/>
      <c r="P30" s="937"/>
      <c r="Q30" s="937"/>
      <c r="R30" s="937"/>
      <c r="S30" s="1178" t="s">
        <v>444</v>
      </c>
    </row>
    <row r="31" spans="1:19" ht="18" customHeight="1" x14ac:dyDescent="0.25">
      <c r="A31" s="2131" t="s">
        <v>37</v>
      </c>
      <c r="B31" s="2133" t="s">
        <v>136</v>
      </c>
      <c r="C31" s="2135" t="s">
        <v>1644</v>
      </c>
      <c r="D31" s="2135"/>
      <c r="E31" s="2135"/>
      <c r="F31" s="2135"/>
      <c r="G31" s="2135"/>
      <c r="H31" s="2135"/>
      <c r="I31" s="2135"/>
      <c r="J31" s="2136"/>
      <c r="K31" s="1177"/>
      <c r="L31" s="2137" t="s">
        <v>1645</v>
      </c>
      <c r="M31" s="2135"/>
      <c r="N31" s="2135"/>
      <c r="O31" s="2135"/>
      <c r="P31" s="2135"/>
      <c r="Q31" s="2135"/>
      <c r="R31" s="2135"/>
      <c r="S31" s="2138"/>
    </row>
    <row r="32" spans="1:19" ht="88.5" customHeight="1" x14ac:dyDescent="0.25">
      <c r="A32" s="2132"/>
      <c r="B32" s="2134"/>
      <c r="C32" s="1093" t="s">
        <v>1725</v>
      </c>
      <c r="D32" s="1093" t="s">
        <v>1726</v>
      </c>
      <c r="E32" s="1093" t="s">
        <v>1718</v>
      </c>
      <c r="F32" s="1093" t="s">
        <v>1727</v>
      </c>
      <c r="G32" s="1093" t="s">
        <v>1728</v>
      </c>
      <c r="H32" s="1094" t="s">
        <v>1672</v>
      </c>
      <c r="I32" s="1093" t="s">
        <v>1729</v>
      </c>
      <c r="J32" s="1094" t="s">
        <v>1653</v>
      </c>
      <c r="K32" s="1095" t="s">
        <v>1654</v>
      </c>
      <c r="L32" s="1176" t="s">
        <v>1655</v>
      </c>
      <c r="M32" s="1094" t="s">
        <v>1656</v>
      </c>
      <c r="N32" s="1093" t="s">
        <v>1721</v>
      </c>
      <c r="O32" s="1093" t="s">
        <v>1730</v>
      </c>
      <c r="P32" s="1094" t="s">
        <v>1659</v>
      </c>
      <c r="Q32" s="1094" t="s">
        <v>1660</v>
      </c>
      <c r="R32" s="1094" t="s">
        <v>1661</v>
      </c>
      <c r="S32" s="1095" t="s">
        <v>1731</v>
      </c>
    </row>
    <row r="33" spans="1:19" ht="30.75" customHeight="1" x14ac:dyDescent="0.25">
      <c r="A33" s="1591" t="s">
        <v>194</v>
      </c>
      <c r="B33" s="1593" t="s">
        <v>451</v>
      </c>
      <c r="C33" s="1347">
        <f>+'1.sz.függ.Önkormány bev-kiad'!H623</f>
        <v>32955288</v>
      </c>
      <c r="D33" s="1347">
        <f>+'1.sz.függ.Önkormány bev-kiad'!I623</f>
        <v>4271729</v>
      </c>
      <c r="E33" s="1347">
        <f>+'1.sz.függ.Önkormány bev-kiad'!J623</f>
        <v>222463143</v>
      </c>
      <c r="F33" s="1347">
        <f>+'1.sz.függ.Önkormány bev-kiad'!K623</f>
        <v>-68810</v>
      </c>
      <c r="G33" s="1347">
        <f>+'1.sz.függ.Önkormány bev-kiad'!L623</f>
        <v>212843501</v>
      </c>
      <c r="H33" s="1347">
        <f>+'1.sz.függ.Önkormány bev-kiad'!M623</f>
        <v>185037626</v>
      </c>
      <c r="I33" s="1347">
        <f>+'1.sz.függ.Önkormány bev-kiad'!N623</f>
        <v>42453147</v>
      </c>
      <c r="J33" s="1347">
        <f>+'1.sz.függ.Önkormány bev-kiad'!O623</f>
        <v>3602301</v>
      </c>
      <c r="K33" s="1348">
        <f>+'1.sz.függ.Önkormány bev-kiad'!P623</f>
        <v>312411252</v>
      </c>
      <c r="L33" s="1353">
        <f>+'1.sz.függ.Önkormány bev-kiad'!Q623</f>
        <v>649406109</v>
      </c>
      <c r="M33" s="1347">
        <f>+'1.sz.függ.Önkormány bev-kiad'!R623</f>
        <v>54255209</v>
      </c>
      <c r="N33" s="1347">
        <f>+'1.sz.függ.Önkormány bev-kiad'!S623</f>
        <v>9261930</v>
      </c>
      <c r="O33" s="1347">
        <f>+'1.sz.függ.Önkormány bev-kiad'!T623</f>
        <v>12816564</v>
      </c>
      <c r="P33" s="1347">
        <f>+'1.sz.függ.Önkormány bev-kiad'!U623</f>
        <v>0</v>
      </c>
      <c r="Q33" s="1347">
        <f>+'1.sz.függ.Önkormány bev-kiad'!V623</f>
        <v>0</v>
      </c>
      <c r="R33" s="1347">
        <f>+'1.sz.függ.Önkormány bev-kiad'!W623</f>
        <v>990750</v>
      </c>
      <c r="S33" s="1348">
        <f>+'1.sz.függ.Önkormány bev-kiad'!X623</f>
        <v>289238615</v>
      </c>
    </row>
    <row r="34" spans="1:19" ht="25.5" customHeight="1" x14ac:dyDescent="0.25">
      <c r="A34" s="1096" t="s">
        <v>195</v>
      </c>
      <c r="B34" s="1097" t="s">
        <v>86</v>
      </c>
      <c r="C34" s="1349">
        <f>+'2.sz.függ.PMH bev-kiad'!H79</f>
        <v>47847983</v>
      </c>
      <c r="D34" s="1349">
        <f>+'2.sz.függ.PMH bev-kiad'!I79</f>
        <v>6409428</v>
      </c>
      <c r="E34" s="1349">
        <f>+'2.sz.függ.PMH bev-kiad'!J79</f>
        <v>2562624</v>
      </c>
      <c r="F34" s="1349">
        <f>+'2.sz.függ.PMH bev-kiad'!K79</f>
        <v>0</v>
      </c>
      <c r="G34" s="1349">
        <f>+'2.sz.függ.PMH bev-kiad'!L79</f>
        <v>34588794</v>
      </c>
      <c r="H34" s="1349">
        <f>+'2.sz.függ.PMH bev-kiad'!M79</f>
        <v>2080500</v>
      </c>
      <c r="I34" s="1349">
        <f>+'2.sz.függ.PMH bev-kiad'!N79</f>
        <v>0</v>
      </c>
      <c r="J34" s="1349">
        <f>+'2.sz.függ.PMH bev-kiad'!O79</f>
        <v>1759800</v>
      </c>
      <c r="K34" s="1350">
        <f>+'2.sz.függ.PMH bev-kiad'!P79</f>
        <v>0</v>
      </c>
      <c r="L34" s="1354">
        <f>+'2.sz.függ.PMH bev-kiad'!Q79</f>
        <v>23447447</v>
      </c>
      <c r="M34" s="1349">
        <f>+'2.sz.függ.PMH bev-kiad'!R79</f>
        <v>0</v>
      </c>
      <c r="N34" s="1349">
        <f>+'2.sz.függ.PMH bev-kiad'!S79</f>
        <v>100000</v>
      </c>
      <c r="O34" s="1349">
        <f>+'2.sz.függ.PMH bev-kiad'!T79</f>
        <v>21268</v>
      </c>
      <c r="P34" s="1349">
        <f>+'2.sz.függ.PMH bev-kiad'!U79</f>
        <v>75000</v>
      </c>
      <c r="Q34" s="1349">
        <f>+'2.sz.függ.PMH bev-kiad'!V79</f>
        <v>0</v>
      </c>
      <c r="R34" s="1349">
        <f>+'2.sz.függ.PMH bev-kiad'!W79</f>
        <v>1759800</v>
      </c>
      <c r="S34" s="1350">
        <f>+'2.sz.függ.PMH bev-kiad'!X79</f>
        <v>69845614</v>
      </c>
    </row>
    <row r="35" spans="1:19" ht="25.5" customHeight="1" x14ac:dyDescent="0.25">
      <c r="A35" s="1096" t="s">
        <v>196</v>
      </c>
      <c r="B35" s="1097" t="s">
        <v>23</v>
      </c>
      <c r="C35" s="1349">
        <f>+'7.sz.függ.Bölcsőde'!H72</f>
        <v>5475000</v>
      </c>
      <c r="D35" s="1349">
        <f>+'7.sz.függ.Bölcsőde'!I72</f>
        <v>685750</v>
      </c>
      <c r="E35" s="1349">
        <f>+'7.sz.függ.Bölcsőde'!J72</f>
        <v>1136751</v>
      </c>
      <c r="F35" s="1349">
        <f>+'7.sz.függ.Bölcsőde'!K72</f>
        <v>0</v>
      </c>
      <c r="G35" s="1349">
        <f>+'7.sz.függ.Bölcsőde'!L72</f>
        <v>19044359</v>
      </c>
      <c r="H35" s="1349">
        <f>+'7.sz.függ.Bölcsőde'!M72</f>
        <v>3627948</v>
      </c>
      <c r="I35" s="1349">
        <f>+'7.sz.függ.Bölcsőde'!N72</f>
        <v>0</v>
      </c>
      <c r="J35" s="1349">
        <f>+'7.sz.függ.Bölcsőde'!O72</f>
        <v>0</v>
      </c>
      <c r="K35" s="1350">
        <f>+'7.sz.függ.Bölcsőde'!P72</f>
        <v>0</v>
      </c>
      <c r="L35" s="1354">
        <f>+'7.sz.függ.Bölcsőde'!Q72</f>
        <v>0</v>
      </c>
      <c r="M35" s="1349">
        <f>+'7.sz.függ.Bölcsőde'!R72</f>
        <v>0</v>
      </c>
      <c r="N35" s="1349">
        <f>+'7.sz.függ.Bölcsőde'!S72</f>
        <v>0</v>
      </c>
      <c r="O35" s="1349">
        <f>+'7.sz.függ.Bölcsőde'!T72</f>
        <v>1136751</v>
      </c>
      <c r="P35" s="1349">
        <f>+'7.sz.függ.Bölcsőde'!U72</f>
        <v>0</v>
      </c>
      <c r="Q35" s="1349">
        <f>+'7.sz.függ.Bölcsőde'!V72</f>
        <v>0</v>
      </c>
      <c r="R35" s="1349">
        <f>+'7.sz.függ.Bölcsőde'!W72</f>
        <v>0</v>
      </c>
      <c r="S35" s="1350">
        <f>+'7.sz.függ.Bölcsőde'!X72</f>
        <v>28833057</v>
      </c>
    </row>
    <row r="36" spans="1:19" ht="27" customHeight="1" x14ac:dyDescent="0.25">
      <c r="A36" s="1096" t="s">
        <v>197</v>
      </c>
      <c r="B36" s="1097" t="s">
        <v>87</v>
      </c>
      <c r="C36" s="1349">
        <f>+'6.sz.függ.Mese Ó.  '!H65</f>
        <v>7775000</v>
      </c>
      <c r="D36" s="1349">
        <f>+'6.sz.függ.Mese Ó.  '!I65</f>
        <v>1010750</v>
      </c>
      <c r="E36" s="1349">
        <f>+'6.sz.függ.Mese Ó.  '!J65</f>
        <v>12565639</v>
      </c>
      <c r="F36" s="1349">
        <f>+'6.sz.függ.Mese Ó.  '!K65</f>
        <v>0</v>
      </c>
      <c r="G36" s="1349">
        <f>+'6.sz.függ.Mese Ó.  '!L65</f>
        <v>5540351</v>
      </c>
      <c r="H36" s="1349">
        <f>+'6.sz.függ.Mese Ó.  '!M65</f>
        <v>3500610</v>
      </c>
      <c r="I36" s="1349">
        <f>+'6.sz.függ.Mese Ó.  '!N65</f>
        <v>0</v>
      </c>
      <c r="J36" s="1349">
        <f>+'6.sz.függ.Mese Ó.  '!O65</f>
        <v>0</v>
      </c>
      <c r="K36" s="1350">
        <f>+'6.sz.függ.Mese Ó.  '!P65</f>
        <v>0</v>
      </c>
      <c r="L36" s="1354">
        <f>+'6.sz.függ.Mese Ó.  '!Q65</f>
        <v>350000</v>
      </c>
      <c r="M36" s="1349">
        <f>+'6.sz.függ.Mese Ó.  '!R65</f>
        <v>0</v>
      </c>
      <c r="N36" s="1349">
        <f>+'6.sz.függ.Mese Ó.  '!S65</f>
        <v>0</v>
      </c>
      <c r="O36" s="1349">
        <f>+'6.sz.függ.Mese Ó.  '!T65</f>
        <v>1650314</v>
      </c>
      <c r="P36" s="1349">
        <f>+'6.sz.függ.Mese Ó.  '!U65</f>
        <v>0</v>
      </c>
      <c r="Q36" s="1349">
        <f>+'6.sz.függ.Mese Ó.  '!V65</f>
        <v>0</v>
      </c>
      <c r="R36" s="1349">
        <f>+'6.sz.függ.Mese Ó.  '!W65</f>
        <v>0</v>
      </c>
      <c r="S36" s="1350">
        <f>+'6.sz.függ.Mese Ó.  '!X65</f>
        <v>28392036</v>
      </c>
    </row>
    <row r="37" spans="1:19" ht="26.25" customHeight="1" x14ac:dyDescent="0.25">
      <c r="A37" s="1096" t="s">
        <v>198</v>
      </c>
      <c r="B37" s="1097" t="s">
        <v>24</v>
      </c>
      <c r="C37" s="1349">
        <f>+'5.sz.függ.Hétszínvirág Ó. '!H61</f>
        <v>5175000</v>
      </c>
      <c r="D37" s="1349">
        <f>+'5.sz.függ.Hétszínvirág Ó. '!I61</f>
        <v>672750</v>
      </c>
      <c r="E37" s="1349">
        <f>+'5.sz.függ.Hétszínvirág Ó. '!J61</f>
        <v>8471600</v>
      </c>
      <c r="F37" s="1349">
        <f>+'5.sz.függ.Hétszínvirág Ó. '!K61</f>
        <v>0</v>
      </c>
      <c r="G37" s="1349">
        <f>+'5.sz.függ.Hétszínvirág Ó. '!L61</f>
        <v>11118964</v>
      </c>
      <c r="H37" s="1349">
        <f>+'5.sz.függ.Hétszínvirág Ó. '!M61</f>
        <v>50000</v>
      </c>
      <c r="I37" s="1349">
        <f>+'5.sz.függ.Hétszínvirág Ó. '!N61</f>
        <v>0</v>
      </c>
      <c r="J37" s="1349">
        <f>+'5.sz.függ.Hétszínvirág Ó. '!O61</f>
        <v>0</v>
      </c>
      <c r="K37" s="1350">
        <f>+'5.sz.függ.Hétszínvirág Ó. '!P61</f>
        <v>0</v>
      </c>
      <c r="L37" s="1354">
        <f>+'5.sz.függ.Hétszínvirág Ó. '!Q61</f>
        <v>350000</v>
      </c>
      <c r="M37" s="1349">
        <f>+'5.sz.függ.Hétszínvirág Ó. '!R61</f>
        <v>0</v>
      </c>
      <c r="N37" s="1349">
        <f>+'5.sz.függ.Hétszínvirág Ó. '!S61</f>
        <v>0</v>
      </c>
      <c r="O37" s="1349">
        <f>+'5.sz.függ.Hétszínvirág Ó. '!T61</f>
        <v>200000</v>
      </c>
      <c r="P37" s="1349">
        <f>+'5.sz.függ.Hétszínvirág Ó. '!U61</f>
        <v>0</v>
      </c>
      <c r="Q37" s="1349">
        <f>+'5.sz.függ.Hétszínvirág Ó. '!V61</f>
        <v>0</v>
      </c>
      <c r="R37" s="1349">
        <f>+'5.sz.függ.Hétszínvirág Ó. '!W61</f>
        <v>0</v>
      </c>
      <c r="S37" s="1350">
        <f>+'5.sz.függ.Hétszínvirág Ó. '!X61</f>
        <v>24938314</v>
      </c>
    </row>
    <row r="38" spans="1:19" ht="23.25" customHeight="1" x14ac:dyDescent="0.25">
      <c r="A38" s="1096" t="s">
        <v>199</v>
      </c>
      <c r="B38" s="1097" t="s">
        <v>618</v>
      </c>
      <c r="C38" s="1349">
        <f>+'9.sz.függ.Szivárvány Ó.'!H62</f>
        <v>5129237</v>
      </c>
      <c r="D38" s="1349">
        <f>+'9.sz.függ.Szivárvány Ó.'!I62</f>
        <v>607750</v>
      </c>
      <c r="E38" s="1349">
        <f>+'9.sz.függ.Szivárvány Ó.'!J62</f>
        <v>7151231</v>
      </c>
      <c r="F38" s="1349">
        <f>+'9.sz.függ.Szivárvány Ó.'!K62</f>
        <v>0</v>
      </c>
      <c r="G38" s="1349">
        <f>+'9.sz.függ.Szivárvány Ó.'!L62</f>
        <v>5378111</v>
      </c>
      <c r="H38" s="1349">
        <f>+'9.sz.függ.Szivárvány Ó.'!M62</f>
        <v>1820213</v>
      </c>
      <c r="I38" s="1349">
        <f>+'9.sz.függ.Szivárvány Ó.'!N62</f>
        <v>0</v>
      </c>
      <c r="J38" s="1349">
        <f>+'9.sz.függ.Szivárvány Ó.'!O62</f>
        <v>0</v>
      </c>
      <c r="K38" s="1350">
        <f>+'9.sz.függ.Szivárvány Ó.'!P62</f>
        <v>0</v>
      </c>
      <c r="L38" s="1354">
        <f>+'9.sz.függ.Szivárvány Ó.'!Q62</f>
        <v>0</v>
      </c>
      <c r="M38" s="1349">
        <f>+'9.sz.függ.Szivárvány Ó.'!R62</f>
        <v>0</v>
      </c>
      <c r="N38" s="1349">
        <f>+'9.sz.függ.Szivárvány Ó.'!S62</f>
        <v>0</v>
      </c>
      <c r="O38" s="1349">
        <f>+'9.sz.függ.Szivárvány Ó.'!T62</f>
        <v>254851</v>
      </c>
      <c r="P38" s="1349">
        <f>+'9.sz.függ.Szivárvány Ó.'!U62</f>
        <v>0</v>
      </c>
      <c r="Q38" s="1349">
        <f>+'9.sz.függ.Szivárvány Ó.'!V62</f>
        <v>0</v>
      </c>
      <c r="R38" s="1349">
        <f>+'9.sz.függ.Szivárvány Ó.'!W62</f>
        <v>0</v>
      </c>
      <c r="S38" s="1350">
        <f>+'9.sz.függ.Szivárvány Ó.'!X62</f>
        <v>19831691</v>
      </c>
    </row>
    <row r="39" spans="1:19" ht="27" customHeight="1" x14ac:dyDescent="0.25">
      <c r="A39" s="1096" t="s">
        <v>200</v>
      </c>
      <c r="B39" s="1097" t="s">
        <v>25</v>
      </c>
      <c r="C39" s="1349">
        <f>+'3.sz.függ.Ter.Gond. '!H122</f>
        <v>3875000</v>
      </c>
      <c r="D39" s="1349">
        <f>+'3.sz.függ.Ter.Gond. '!I122</f>
        <v>503750</v>
      </c>
      <c r="E39" s="1349">
        <f>+'3.sz.függ.Ter.Gond. '!J122</f>
        <v>12404338</v>
      </c>
      <c r="F39" s="1349">
        <f>+'3.sz.függ.Ter.Gond. '!K122</f>
        <v>0</v>
      </c>
      <c r="G39" s="1349">
        <f>+'3.sz.függ.Ter.Gond. '!L122</f>
        <v>63201781</v>
      </c>
      <c r="H39" s="1349">
        <f>+'3.sz.függ.Ter.Gond. '!M122</f>
        <v>92342</v>
      </c>
      <c r="I39" s="1349">
        <f>+'3.sz.függ.Ter.Gond. '!N122</f>
        <v>0</v>
      </c>
      <c r="J39" s="1349">
        <f>+'3.sz.függ.Ter.Gond. '!O122</f>
        <v>0</v>
      </c>
      <c r="K39" s="1350">
        <f>+'3.sz.függ.Ter.Gond. '!P122</f>
        <v>0</v>
      </c>
      <c r="L39" s="1354">
        <f>+'3.sz.függ.Ter.Gond. '!Q122</f>
        <v>0</v>
      </c>
      <c r="M39" s="1349">
        <f>+'3.sz.függ.Ter.Gond. '!R122</f>
        <v>0</v>
      </c>
      <c r="N39" s="1349">
        <f>+'3.sz.függ.Ter.Gond. '!S122</f>
        <v>0</v>
      </c>
      <c r="O39" s="1349">
        <f>+'3.sz.függ.Ter.Gond. '!T122</f>
        <v>5439220</v>
      </c>
      <c r="P39" s="1349">
        <f>+'3.sz.függ.Ter.Gond. '!U122</f>
        <v>0</v>
      </c>
      <c r="Q39" s="1349">
        <f>+'3.sz.függ.Ter.Gond. '!V122</f>
        <v>0</v>
      </c>
      <c r="R39" s="1349">
        <f>+'3.sz.függ.Ter.Gond. '!W122</f>
        <v>0</v>
      </c>
      <c r="S39" s="1350">
        <f>+'3.sz.függ.Ter.Gond. '!X122</f>
        <v>74637991</v>
      </c>
    </row>
    <row r="40" spans="1:19" ht="25.5" x14ac:dyDescent="0.25">
      <c r="A40" s="1096" t="s">
        <v>201</v>
      </c>
      <c r="B40" s="1097" t="s">
        <v>1732</v>
      </c>
      <c r="C40" s="1349">
        <f>+'8.sz.függ.Gyermekjóléti  '!H38</f>
        <v>3929867</v>
      </c>
      <c r="D40" s="1349">
        <f>+'8.sz.függ.Gyermekjóléti  '!I38</f>
        <v>510883</v>
      </c>
      <c r="E40" s="1349">
        <f>+'8.sz.függ.Gyermekjóléti  '!J38</f>
        <v>2285472</v>
      </c>
      <c r="F40" s="1349">
        <f>+'8.sz.függ.Gyermekjóléti  '!K38</f>
        <v>0</v>
      </c>
      <c r="G40" s="1349">
        <f>+'8.sz.függ.Gyermekjóléti  '!L38</f>
        <v>3068287</v>
      </c>
      <c r="H40" s="1349">
        <f>+'8.sz.függ.Gyermekjóléti  '!M38</f>
        <v>0</v>
      </c>
      <c r="I40" s="1349">
        <f>+'8.sz.függ.Gyermekjóléti  '!N38</f>
        <v>0</v>
      </c>
      <c r="J40" s="1349">
        <f>+'8.sz.függ.Gyermekjóléti  '!O38</f>
        <v>0</v>
      </c>
      <c r="K40" s="1350">
        <f>+'8.sz.függ.Gyermekjóléti  '!P38</f>
        <v>0</v>
      </c>
      <c r="L40" s="1354">
        <f>+'8.sz.függ.Gyermekjóléti  '!Q38</f>
        <v>0</v>
      </c>
      <c r="M40" s="1349">
        <f>+'8.sz.függ.Gyermekjóléti  '!R38</f>
        <v>0</v>
      </c>
      <c r="N40" s="1349">
        <f>+'8.sz.függ.Gyermekjóléti  '!S38</f>
        <v>0</v>
      </c>
      <c r="O40" s="1349">
        <f>+'8.sz.függ.Gyermekjóléti  '!T38</f>
        <v>2285472</v>
      </c>
      <c r="P40" s="1349">
        <f>+'8.sz.függ.Gyermekjóléti  '!U38</f>
        <v>0</v>
      </c>
      <c r="Q40" s="1349">
        <f>+'8.sz.függ.Gyermekjóléti  '!V38</f>
        <v>0</v>
      </c>
      <c r="R40" s="1349">
        <f>+'8.sz.függ.Gyermekjóléti  '!W38</f>
        <v>0</v>
      </c>
      <c r="S40" s="1350">
        <f>+'8.sz.függ.Gyermekjóléti  '!X38</f>
        <v>7509037</v>
      </c>
    </row>
    <row r="41" spans="1:19" ht="24" customHeight="1" x14ac:dyDescent="0.25">
      <c r="A41" s="1096" t="s">
        <v>202</v>
      </c>
      <c r="B41" s="1097" t="s">
        <v>632</v>
      </c>
      <c r="C41" s="1349">
        <f>+'4.sz.függ.Könyvtár '!H49</f>
        <v>8059720</v>
      </c>
      <c r="D41" s="1349">
        <f>+'4.sz.függ.Könyvtár '!I49</f>
        <v>1047764</v>
      </c>
      <c r="E41" s="1349">
        <f>+'4.sz.függ.Könyvtár '!J49</f>
        <v>517781</v>
      </c>
      <c r="F41" s="1349">
        <f>+'4.sz.függ.Könyvtár '!K49</f>
        <v>0</v>
      </c>
      <c r="G41" s="1349">
        <f>+'4.sz.függ.Könyvtár '!L49</f>
        <v>6237769</v>
      </c>
      <c r="H41" s="1349">
        <f>+'4.sz.függ.Könyvtár '!M49</f>
        <v>-1365</v>
      </c>
      <c r="I41" s="1349">
        <f>+'4.sz.függ.Könyvtár '!N49</f>
        <v>0</v>
      </c>
      <c r="J41" s="1349">
        <f>+'4.sz.függ.Könyvtár '!O49</f>
        <v>0</v>
      </c>
      <c r="K41" s="1350">
        <f>+'4.sz.függ.Könyvtár '!P49</f>
        <v>0</v>
      </c>
      <c r="L41" s="1354">
        <f>+'4.sz.függ.Könyvtár '!Q49</f>
        <v>0</v>
      </c>
      <c r="M41" s="1349">
        <f>+'4.sz.függ.Könyvtár '!R49</f>
        <v>0</v>
      </c>
      <c r="N41" s="1349">
        <f>+'4.sz.függ.Könyvtár '!S49</f>
        <v>0</v>
      </c>
      <c r="O41" s="1349">
        <f>+'4.sz.függ.Könyvtár '!T49</f>
        <v>511416</v>
      </c>
      <c r="P41" s="1349">
        <f>+'4.sz.függ.Könyvtár '!U49</f>
        <v>5000</v>
      </c>
      <c r="Q41" s="1349">
        <f>+'4.sz.függ.Könyvtár '!V49</f>
        <v>0</v>
      </c>
      <c r="R41" s="1349">
        <f>+'4.sz.függ.Könyvtár '!W49</f>
        <v>0</v>
      </c>
      <c r="S41" s="1350">
        <f>+'4.sz.függ.Könyvtár '!X49</f>
        <v>15345253</v>
      </c>
    </row>
    <row r="42" spans="1:19" ht="24.75" customHeight="1" x14ac:dyDescent="0.25">
      <c r="A42" s="1592" t="s">
        <v>203</v>
      </c>
      <c r="B42" s="1594" t="s">
        <v>619</v>
      </c>
      <c r="C42" s="1351">
        <f>+'10.sz.függ.József A.Műv.Ház'!H60</f>
        <v>9264214</v>
      </c>
      <c r="D42" s="1351">
        <f>+'10.sz.függ.József A.Műv.Ház'!I60</f>
        <v>1208870</v>
      </c>
      <c r="E42" s="1351">
        <f>+'10.sz.függ.József A.Műv.Ház'!J60</f>
        <v>1759840</v>
      </c>
      <c r="F42" s="1351">
        <f>+'10.sz.függ.József A.Műv.Ház'!K60</f>
        <v>0</v>
      </c>
      <c r="G42" s="1351">
        <f>+'10.sz.függ.József A.Műv.Ház'!L60</f>
        <v>11154291</v>
      </c>
      <c r="H42" s="1351">
        <f>+'10.sz.függ.József A.Műv.Ház'!M60</f>
        <v>457200</v>
      </c>
      <c r="I42" s="1351">
        <f>+'10.sz.függ.József A.Műv.Ház'!N60</f>
        <v>0</v>
      </c>
      <c r="J42" s="1351">
        <f>+'10.sz.függ.József A.Műv.Ház'!O60</f>
        <v>0</v>
      </c>
      <c r="K42" s="1352">
        <f>+'10.sz.függ.József A.Műv.Ház'!P60</f>
        <v>0</v>
      </c>
      <c r="L42" s="1355">
        <f>+'10.sz.függ.József A.Műv.Ház'!Q60</f>
        <v>0</v>
      </c>
      <c r="M42" s="1351">
        <f>+'10.sz.függ.József A.Műv.Ház'!R60</f>
        <v>0</v>
      </c>
      <c r="N42" s="1351">
        <f>+'10.sz.függ.József A.Műv.Ház'!S60</f>
        <v>0</v>
      </c>
      <c r="O42" s="1351">
        <f>+'10.sz.függ.József A.Műv.Ház'!T60</f>
        <v>411874</v>
      </c>
      <c r="P42" s="1351">
        <f>+'10.sz.függ.József A.Műv.Ház'!U60</f>
        <v>0</v>
      </c>
      <c r="Q42" s="1351">
        <f>+'10.sz.függ.József A.Műv.Ház'!V60</f>
        <v>0</v>
      </c>
      <c r="R42" s="1351">
        <f>+'10.sz.függ.József A.Műv.Ház'!W60</f>
        <v>0</v>
      </c>
      <c r="S42" s="1352">
        <f>+'10.sz.függ.József A.Műv.Ház'!X60</f>
        <v>23432541</v>
      </c>
    </row>
    <row r="43" spans="1:19" ht="26.25" customHeight="1" x14ac:dyDescent="0.25">
      <c r="A43" s="2128" t="s">
        <v>1204</v>
      </c>
      <c r="B43" s="2129"/>
      <c r="C43" s="1098">
        <f>SUM(C33:C42)</f>
        <v>129486309</v>
      </c>
      <c r="D43" s="1098">
        <f t="shared" ref="D43:S43" si="2">SUM(D33:D42)</f>
        <v>16929424</v>
      </c>
      <c r="E43" s="1098">
        <f t="shared" si="2"/>
        <v>271318419</v>
      </c>
      <c r="F43" s="1098">
        <f t="shared" si="2"/>
        <v>-68810</v>
      </c>
      <c r="G43" s="1098">
        <f>SUM(G33:G42)</f>
        <v>372176208</v>
      </c>
      <c r="H43" s="1098">
        <f>SUM(H33:H42)</f>
        <v>196665074</v>
      </c>
      <c r="I43" s="1098">
        <f t="shared" si="2"/>
        <v>42453147</v>
      </c>
      <c r="J43" s="1098">
        <f t="shared" si="2"/>
        <v>5362101</v>
      </c>
      <c r="K43" s="1099">
        <f t="shared" si="2"/>
        <v>312411252</v>
      </c>
      <c r="L43" s="1100">
        <f t="shared" si="2"/>
        <v>673553556</v>
      </c>
      <c r="M43" s="1098">
        <f t="shared" si="2"/>
        <v>54255209</v>
      </c>
      <c r="N43" s="1098">
        <f t="shared" si="2"/>
        <v>9361930</v>
      </c>
      <c r="O43" s="1098">
        <f t="shared" si="2"/>
        <v>24727730</v>
      </c>
      <c r="P43" s="1098">
        <f t="shared" si="2"/>
        <v>80000</v>
      </c>
      <c r="Q43" s="1098">
        <f t="shared" si="2"/>
        <v>0</v>
      </c>
      <c r="R43" s="1098">
        <f t="shared" si="2"/>
        <v>2750550</v>
      </c>
      <c r="S43" s="1099">
        <f t="shared" si="2"/>
        <v>582004149</v>
      </c>
    </row>
    <row r="44" spans="1:19" x14ac:dyDescent="0.25">
      <c r="A44" s="937"/>
      <c r="B44" s="937"/>
      <c r="C44" s="966"/>
      <c r="D44" s="966"/>
      <c r="E44" s="966"/>
      <c r="F44" s="966"/>
      <c r="G44" s="966"/>
      <c r="H44" s="966"/>
      <c r="I44" s="966"/>
      <c r="J44" s="966"/>
      <c r="K44" s="966"/>
      <c r="L44" s="966"/>
      <c r="M44" s="966"/>
      <c r="N44" s="966"/>
      <c r="O44" s="966"/>
      <c r="P44" s="966"/>
      <c r="Q44" s="966"/>
      <c r="R44" s="966"/>
      <c r="S44" s="966"/>
    </row>
    <row r="45" spans="1:19" x14ac:dyDescent="0.25">
      <c r="A45" s="937"/>
      <c r="B45" s="937"/>
      <c r="C45" s="937"/>
      <c r="D45" s="937"/>
      <c r="E45" s="937"/>
      <c r="F45" s="937"/>
      <c r="G45" s="937"/>
      <c r="H45" s="937"/>
      <c r="I45" s="937"/>
      <c r="J45" s="937"/>
      <c r="K45" s="937"/>
      <c r="L45" s="937"/>
      <c r="M45" s="937"/>
      <c r="N45" s="937"/>
      <c r="O45" s="937"/>
      <c r="P45" s="937"/>
      <c r="Q45" s="937"/>
      <c r="R45" s="937"/>
      <c r="S45" s="937"/>
    </row>
    <row r="46" spans="1:19" ht="21.75" customHeight="1" x14ac:dyDescent="0.25">
      <c r="A46" s="937"/>
      <c r="B46" s="937"/>
      <c r="C46" s="937"/>
      <c r="D46" s="2001" t="s">
        <v>1664</v>
      </c>
      <c r="E46" s="2001"/>
      <c r="F46" s="2001"/>
      <c r="G46" s="2001">
        <v>14255990475</v>
      </c>
      <c r="H46" s="2001"/>
      <c r="I46" s="937"/>
      <c r="J46" s="937"/>
      <c r="K46" s="937"/>
      <c r="L46" s="937"/>
      <c r="M46" s="2001" t="s">
        <v>1665</v>
      </c>
      <c r="N46" s="2001"/>
      <c r="O46" s="2001"/>
      <c r="P46" s="2001">
        <v>14255990475</v>
      </c>
      <c r="Q46" s="2001"/>
      <c r="R46" s="937"/>
      <c r="S46" s="937"/>
    </row>
    <row r="47" spans="1:19" ht="21.75" customHeight="1" x14ac:dyDescent="0.25">
      <c r="A47" s="937"/>
      <c r="B47" s="937"/>
      <c r="C47" s="937"/>
      <c r="D47" s="2001" t="s">
        <v>1666</v>
      </c>
      <c r="E47" s="2001"/>
      <c r="F47" s="2001"/>
      <c r="G47" s="2001">
        <f>SUM(C43:K43)</f>
        <v>1346733124</v>
      </c>
      <c r="H47" s="2001"/>
      <c r="I47" s="966"/>
      <c r="J47" s="937"/>
      <c r="K47" s="937"/>
      <c r="L47" s="937"/>
      <c r="M47" s="2001" t="s">
        <v>1666</v>
      </c>
      <c r="N47" s="2001"/>
      <c r="O47" s="2001"/>
      <c r="P47" s="2001">
        <f>SUM(L43:S43)</f>
        <v>1346733124</v>
      </c>
      <c r="Q47" s="2001"/>
      <c r="R47" s="937"/>
      <c r="S47" s="937"/>
    </row>
    <row r="48" spans="1:19" ht="21.75" customHeight="1" x14ac:dyDescent="0.25">
      <c r="A48" s="937"/>
      <c r="B48" s="937"/>
      <c r="C48" s="937"/>
      <c r="D48" s="2001" t="s">
        <v>1512</v>
      </c>
      <c r="E48" s="2001"/>
      <c r="F48" s="2001"/>
      <c r="G48" s="2001">
        <f>+G46+G47</f>
        <v>15602723599</v>
      </c>
      <c r="H48" s="2001"/>
      <c r="I48" s="937"/>
      <c r="J48" s="937"/>
      <c r="K48" s="937"/>
      <c r="L48" s="937"/>
      <c r="M48" s="2001" t="s">
        <v>1512</v>
      </c>
      <c r="N48" s="2001"/>
      <c r="O48" s="2001"/>
      <c r="P48" s="2001">
        <f>+P46+P47</f>
        <v>15602723599</v>
      </c>
      <c r="Q48" s="2001"/>
      <c r="R48" s="937"/>
      <c r="S48" s="937"/>
    </row>
    <row r="49" spans="1:19" x14ac:dyDescent="0.25">
      <c r="A49" s="937"/>
      <c r="B49" s="937"/>
      <c r="C49" s="937"/>
      <c r="D49" s="937"/>
      <c r="E49" s="937"/>
      <c r="F49" s="937"/>
      <c r="G49" s="937"/>
      <c r="H49" s="937"/>
      <c r="I49" s="937"/>
      <c r="J49" s="937"/>
      <c r="K49" s="937"/>
      <c r="L49" s="937"/>
      <c r="M49" s="937"/>
      <c r="N49" s="937"/>
      <c r="O49" s="937"/>
      <c r="P49" s="937"/>
      <c r="Q49" s="937"/>
      <c r="R49" s="937"/>
      <c r="S49" s="937"/>
    </row>
    <row r="50" spans="1:19" x14ac:dyDescent="0.25">
      <c r="A50" s="937"/>
      <c r="B50" s="937"/>
      <c r="C50" s="937"/>
      <c r="D50" s="937"/>
      <c r="E50" s="937"/>
      <c r="F50" s="937"/>
      <c r="G50" s="937"/>
      <c r="H50" s="937"/>
      <c r="I50" s="937"/>
      <c r="J50" s="937"/>
      <c r="K50" s="937"/>
      <c r="L50" s="937"/>
      <c r="M50" s="937"/>
      <c r="N50" s="937"/>
      <c r="O50" s="937"/>
      <c r="P50" s="937"/>
      <c r="Q50" s="937"/>
      <c r="R50" s="937"/>
      <c r="S50" s="937"/>
    </row>
    <row r="51" spans="1:19" x14ac:dyDescent="0.25">
      <c r="A51" s="937"/>
      <c r="B51" s="937"/>
      <c r="C51" s="937"/>
      <c r="D51" s="937"/>
      <c r="E51" s="937"/>
      <c r="F51" s="937"/>
      <c r="G51" s="937"/>
      <c r="H51" s="937"/>
      <c r="I51" s="937"/>
      <c r="J51" s="937"/>
      <c r="K51" s="937"/>
      <c r="L51" s="937"/>
      <c r="M51" s="937"/>
      <c r="N51" s="937"/>
      <c r="O51" s="937"/>
      <c r="P51" s="937"/>
      <c r="Q51" s="937"/>
      <c r="R51" s="937"/>
      <c r="S51" s="937"/>
    </row>
    <row r="52" spans="1:19" x14ac:dyDescent="0.25">
      <c r="A52" s="937"/>
      <c r="B52" s="937"/>
      <c r="C52" s="937"/>
      <c r="D52" s="937"/>
      <c r="E52" s="937"/>
      <c r="F52" s="937"/>
      <c r="G52" s="937"/>
      <c r="H52" s="937"/>
      <c r="I52" s="937"/>
      <c r="J52" s="937"/>
      <c r="K52" s="937"/>
      <c r="L52" s="937"/>
      <c r="M52" s="937"/>
      <c r="N52" s="937"/>
      <c r="O52" s="937"/>
      <c r="P52" s="937"/>
      <c r="Q52" s="937"/>
      <c r="R52" s="937"/>
      <c r="S52" s="937"/>
    </row>
    <row r="53" spans="1:19" ht="15.75" x14ac:dyDescent="0.25">
      <c r="A53" s="2010" t="s">
        <v>2861</v>
      </c>
      <c r="B53" s="2010"/>
      <c r="C53" s="2010"/>
      <c r="D53" s="2010"/>
      <c r="E53" s="2010"/>
      <c r="F53" s="2010"/>
      <c r="G53" s="2010"/>
      <c r="H53" s="2010"/>
      <c r="I53" s="2010"/>
      <c r="J53" s="2010"/>
      <c r="K53" s="2010"/>
      <c r="L53" s="2010"/>
      <c r="M53" s="2010"/>
      <c r="N53" s="2010"/>
      <c r="O53" s="2010"/>
      <c r="P53" s="2010"/>
      <c r="Q53" s="2010"/>
      <c r="R53" s="2010"/>
      <c r="S53" s="2010"/>
    </row>
    <row r="54" spans="1:19" ht="24" customHeight="1" x14ac:dyDescent="0.25">
      <c r="A54" s="1071"/>
      <c r="B54" s="1071"/>
      <c r="C54" s="1071"/>
      <c r="D54" s="1071"/>
      <c r="E54" s="1071"/>
      <c r="F54" s="1071"/>
      <c r="G54" s="1071"/>
      <c r="H54" s="1071"/>
      <c r="I54" s="1071"/>
      <c r="J54" s="1071"/>
      <c r="K54" s="1071"/>
      <c r="L54" s="1071"/>
      <c r="M54" s="1071"/>
      <c r="N54" s="1071"/>
      <c r="O54" s="1071"/>
      <c r="P54" s="1071"/>
      <c r="Q54" s="1071"/>
      <c r="R54" s="1071"/>
      <c r="S54" s="1071"/>
    </row>
    <row r="55" spans="1:19" x14ac:dyDescent="0.25">
      <c r="A55" s="2130" t="s">
        <v>1724</v>
      </c>
      <c r="B55" s="2130"/>
      <c r="C55" s="2130"/>
      <c r="D55" s="2130"/>
      <c r="E55" s="2130"/>
      <c r="F55" s="2130"/>
      <c r="G55" s="2130"/>
      <c r="H55" s="2130"/>
      <c r="I55" s="2130"/>
      <c r="J55" s="2130"/>
      <c r="K55" s="2130"/>
      <c r="L55" s="2130"/>
      <c r="M55" s="2130"/>
      <c r="N55" s="2130"/>
      <c r="O55" s="2130"/>
      <c r="P55" s="2130"/>
      <c r="Q55" s="2130"/>
      <c r="R55" s="2130"/>
      <c r="S55" s="2130"/>
    </row>
    <row r="56" spans="1:19" x14ac:dyDescent="0.25">
      <c r="A56" s="937"/>
      <c r="B56" s="937"/>
      <c r="C56" s="937"/>
      <c r="D56" s="937"/>
      <c r="E56" s="937"/>
      <c r="F56" s="937"/>
      <c r="G56" s="937"/>
      <c r="H56" s="937"/>
      <c r="I56" s="937"/>
      <c r="J56" s="937"/>
      <c r="K56" s="937"/>
      <c r="L56" s="937"/>
      <c r="M56" s="937"/>
      <c r="N56" s="937"/>
      <c r="O56" s="937"/>
      <c r="P56" s="937"/>
      <c r="Q56" s="937"/>
      <c r="R56" s="937"/>
    </row>
    <row r="57" spans="1:19" x14ac:dyDescent="0.25">
      <c r="A57" s="937"/>
      <c r="B57" s="937"/>
      <c r="C57" s="937"/>
      <c r="D57" s="937"/>
      <c r="E57" s="937"/>
      <c r="F57" s="937"/>
      <c r="G57" s="937"/>
      <c r="H57" s="937"/>
      <c r="I57" s="937"/>
      <c r="J57" s="937"/>
      <c r="K57" s="937"/>
      <c r="L57" s="937"/>
      <c r="M57" s="937"/>
      <c r="N57" s="937"/>
      <c r="O57" s="937"/>
      <c r="P57" s="937"/>
      <c r="Q57" s="937"/>
      <c r="R57" s="937"/>
      <c r="S57" s="1178" t="s">
        <v>444</v>
      </c>
    </row>
    <row r="58" spans="1:19" ht="18" customHeight="1" x14ac:dyDescent="0.25">
      <c r="A58" s="2131" t="s">
        <v>37</v>
      </c>
      <c r="B58" s="2133" t="s">
        <v>136</v>
      </c>
      <c r="C58" s="2135" t="s">
        <v>1644</v>
      </c>
      <c r="D58" s="2135"/>
      <c r="E58" s="2135"/>
      <c r="F58" s="2135"/>
      <c r="G58" s="2135"/>
      <c r="H58" s="2135"/>
      <c r="I58" s="2135"/>
      <c r="J58" s="2136"/>
      <c r="K58" s="1177"/>
      <c r="L58" s="2137" t="s">
        <v>1645</v>
      </c>
      <c r="M58" s="2135"/>
      <c r="N58" s="2135"/>
      <c r="O58" s="2135"/>
      <c r="P58" s="2135"/>
      <c r="Q58" s="2135"/>
      <c r="R58" s="2135"/>
      <c r="S58" s="2138"/>
    </row>
    <row r="59" spans="1:19" ht="89.25" customHeight="1" x14ac:dyDescent="0.25">
      <c r="A59" s="2132"/>
      <c r="B59" s="2134"/>
      <c r="C59" s="1093" t="s">
        <v>1725</v>
      </c>
      <c r="D59" s="1093" t="s">
        <v>1726</v>
      </c>
      <c r="E59" s="1093" t="s">
        <v>1718</v>
      </c>
      <c r="F59" s="1093" t="s">
        <v>1727</v>
      </c>
      <c r="G59" s="1093" t="s">
        <v>1728</v>
      </c>
      <c r="H59" s="1094" t="s">
        <v>1672</v>
      </c>
      <c r="I59" s="1093" t="s">
        <v>1729</v>
      </c>
      <c r="J59" s="1094" t="s">
        <v>1653</v>
      </c>
      <c r="K59" s="1095" t="s">
        <v>1654</v>
      </c>
      <c r="L59" s="1176" t="s">
        <v>1655</v>
      </c>
      <c r="M59" s="1094" t="s">
        <v>1656</v>
      </c>
      <c r="N59" s="1093" t="s">
        <v>1721</v>
      </c>
      <c r="O59" s="1093" t="s">
        <v>1730</v>
      </c>
      <c r="P59" s="1094" t="s">
        <v>1659</v>
      </c>
      <c r="Q59" s="1094" t="s">
        <v>1660</v>
      </c>
      <c r="R59" s="1094" t="s">
        <v>1661</v>
      </c>
      <c r="S59" s="1095" t="s">
        <v>1731</v>
      </c>
    </row>
    <row r="60" spans="1:19" ht="28.5" customHeight="1" x14ac:dyDescent="0.25">
      <c r="A60" s="1591" t="s">
        <v>194</v>
      </c>
      <c r="B60" s="1593" t="s">
        <v>451</v>
      </c>
      <c r="C60" s="1347">
        <f>+'1.sz.függ.Önkormány bev-kiad'!H827</f>
        <v>33155288</v>
      </c>
      <c r="D60" s="1347">
        <f>+'1.sz.függ.Önkormány bev-kiad'!I827</f>
        <v>4271729</v>
      </c>
      <c r="E60" s="1347">
        <f>+'1.sz.függ.Önkormány bev-kiad'!J827</f>
        <v>308279326</v>
      </c>
      <c r="F60" s="1347">
        <f>+'1.sz.függ.Önkormány bev-kiad'!K827</f>
        <v>-68810</v>
      </c>
      <c r="G60" s="1347">
        <f>+'1.sz.függ.Önkormány bev-kiad'!L827</f>
        <v>768957637</v>
      </c>
      <c r="H60" s="1347">
        <f>+'1.sz.függ.Önkormány bev-kiad'!M827</f>
        <v>227738488</v>
      </c>
      <c r="I60" s="1347">
        <f>+'1.sz.függ.Önkormány bev-kiad'!N827</f>
        <v>19205227</v>
      </c>
      <c r="J60" s="1347">
        <f>+'1.sz.függ.Önkormány bev-kiad'!O827</f>
        <v>4462301</v>
      </c>
      <c r="K60" s="1348">
        <f>+'1.sz.függ.Önkormány bev-kiad'!P827</f>
        <v>336741224</v>
      </c>
      <c r="L60" s="1454">
        <f>+'1.sz.függ.Önkormány bev-kiad'!Q827</f>
        <v>654439667</v>
      </c>
      <c r="M60" s="1347">
        <f>+'1.sz.függ.Önkormány bev-kiad'!R827</f>
        <v>54255209</v>
      </c>
      <c r="N60" s="1347">
        <f>+'1.sz.függ.Önkormány bev-kiad'!S827</f>
        <v>624147343</v>
      </c>
      <c r="O60" s="1347">
        <f>+'1.sz.függ.Önkormány bev-kiad'!T827</f>
        <v>70690326</v>
      </c>
      <c r="P60" s="1347">
        <f>+'1.sz.függ.Önkormány bev-kiad'!U827</f>
        <v>0</v>
      </c>
      <c r="Q60" s="1347">
        <f>+'1.sz.függ.Önkormány bev-kiad'!V827</f>
        <v>0</v>
      </c>
      <c r="R60" s="1347">
        <f>+'1.sz.függ.Önkormány bev-kiad'!W827</f>
        <v>990750</v>
      </c>
      <c r="S60" s="1348">
        <f>+'1.sz.függ.Önkormány bev-kiad'!X827</f>
        <v>298219115</v>
      </c>
    </row>
    <row r="61" spans="1:19" ht="30" customHeight="1" x14ac:dyDescent="0.25">
      <c r="A61" s="1096" t="s">
        <v>195</v>
      </c>
      <c r="B61" s="1097" t="s">
        <v>86</v>
      </c>
      <c r="C61" s="1349">
        <f>+'2.sz.függ.PMH bev-kiad'!H123</f>
        <v>47847983</v>
      </c>
      <c r="D61" s="1349">
        <f>+'2.sz.függ.PMH bev-kiad'!I123</f>
        <v>6409428</v>
      </c>
      <c r="E61" s="1349">
        <f>+'2.sz.függ.PMH bev-kiad'!J123</f>
        <v>1570769</v>
      </c>
      <c r="F61" s="1349">
        <f>+'2.sz.függ.PMH bev-kiad'!K123</f>
        <v>0</v>
      </c>
      <c r="G61" s="1349">
        <f>+'2.sz.függ.PMH bev-kiad'!L123</f>
        <v>34588794</v>
      </c>
      <c r="H61" s="1349">
        <f>+'2.sz.függ.PMH bev-kiad'!M123</f>
        <v>2284300</v>
      </c>
      <c r="I61" s="1349">
        <f>+'2.sz.függ.PMH bev-kiad'!N123</f>
        <v>0</v>
      </c>
      <c r="J61" s="1349">
        <f>+'2.sz.függ.PMH bev-kiad'!O123</f>
        <v>5500000</v>
      </c>
      <c r="K61" s="1350">
        <f>+'2.sz.függ.PMH bev-kiad'!P123</f>
        <v>0</v>
      </c>
      <c r="L61" s="1455">
        <f>+'2.sz.függ.PMH bev-kiad'!Q123</f>
        <v>23447447</v>
      </c>
      <c r="M61" s="1349">
        <f>+'2.sz.függ.PMH bev-kiad'!R123</f>
        <v>0</v>
      </c>
      <c r="N61" s="1349">
        <f>+'2.sz.függ.PMH bev-kiad'!S123</f>
        <v>100000</v>
      </c>
      <c r="O61" s="1349">
        <f>+'2.sz.függ.PMH bev-kiad'!T123</f>
        <v>21270</v>
      </c>
      <c r="P61" s="1349">
        <f>+'2.sz.függ.PMH bev-kiad'!U123</f>
        <v>75000</v>
      </c>
      <c r="Q61" s="1349">
        <f>+'2.sz.függ.PMH bev-kiad'!V123</f>
        <v>0</v>
      </c>
      <c r="R61" s="1349">
        <f>+'2.sz.függ.PMH bev-kiad'!W123</f>
        <v>1963600</v>
      </c>
      <c r="S61" s="1350">
        <f>+'2.sz.függ.PMH bev-kiad'!X123</f>
        <v>72593957</v>
      </c>
    </row>
    <row r="62" spans="1:19" ht="29.25" customHeight="1" x14ac:dyDescent="0.25">
      <c r="A62" s="1096" t="s">
        <v>196</v>
      </c>
      <c r="B62" s="1097" t="s">
        <v>23</v>
      </c>
      <c r="C62" s="1349">
        <f>+'7.sz.függ.Bölcsőde'!H101</f>
        <v>5475000</v>
      </c>
      <c r="D62" s="1349">
        <f>+'7.sz.függ.Bölcsőde'!I101</f>
        <v>685750</v>
      </c>
      <c r="E62" s="1349">
        <f>+'7.sz.függ.Bölcsőde'!J101</f>
        <v>2133701</v>
      </c>
      <c r="F62" s="1349">
        <f>+'7.sz.függ.Bölcsőde'!K101</f>
        <v>0</v>
      </c>
      <c r="G62" s="1349">
        <f>+'7.sz.függ.Bölcsőde'!L101</f>
        <v>19044359</v>
      </c>
      <c r="H62" s="1349">
        <f>+'7.sz.függ.Bölcsőde'!M101</f>
        <v>3627948</v>
      </c>
      <c r="I62" s="1349">
        <f>+'7.sz.függ.Bölcsőde'!N101</f>
        <v>0</v>
      </c>
      <c r="J62" s="1349">
        <f>+'7.sz.függ.Bölcsőde'!O101</f>
        <v>0</v>
      </c>
      <c r="K62" s="1350">
        <f>+'7.sz.függ.Bölcsőde'!P101</f>
        <v>0</v>
      </c>
      <c r="L62" s="1455">
        <f>+'7.sz.függ.Bölcsőde'!Q101</f>
        <v>0</v>
      </c>
      <c r="M62" s="1349">
        <f>+'7.sz.függ.Bölcsőde'!R101</f>
        <v>0</v>
      </c>
      <c r="N62" s="1349">
        <f>+'7.sz.függ.Bölcsőde'!S101</f>
        <v>0</v>
      </c>
      <c r="O62" s="1349">
        <f>+'7.sz.függ.Bölcsőde'!T101</f>
        <v>2025751</v>
      </c>
      <c r="P62" s="1349">
        <f>+'7.sz.függ.Bölcsőde'!U101</f>
        <v>0</v>
      </c>
      <c r="Q62" s="1349">
        <f>+'7.sz.függ.Bölcsőde'!V101</f>
        <v>0</v>
      </c>
      <c r="R62" s="1349">
        <f>+'7.sz.függ.Bölcsőde'!W101</f>
        <v>0</v>
      </c>
      <c r="S62" s="1350">
        <f>+'7.sz.függ.Bölcsőde'!X101</f>
        <v>28941007</v>
      </c>
    </row>
    <row r="63" spans="1:19" ht="30" customHeight="1" x14ac:dyDescent="0.25">
      <c r="A63" s="1096" t="s">
        <v>197</v>
      </c>
      <c r="B63" s="1097" t="s">
        <v>87</v>
      </c>
      <c r="C63" s="1349">
        <f>+'6.sz.függ.Mese Ó.  '!H87</f>
        <v>7775000</v>
      </c>
      <c r="D63" s="1349">
        <f>+'6.sz.függ.Mese Ó.  '!I87</f>
        <v>1010750</v>
      </c>
      <c r="E63" s="1349">
        <f>+'6.sz.függ.Mese Ó.  '!J87</f>
        <v>12414609</v>
      </c>
      <c r="F63" s="1349">
        <f>+'6.sz.függ.Mese Ó.  '!K87</f>
        <v>0</v>
      </c>
      <c r="G63" s="1349">
        <f>+'6.sz.függ.Mese Ó.  '!L87</f>
        <v>5540351</v>
      </c>
      <c r="H63" s="1349">
        <f>+'6.sz.függ.Mese Ó.  '!M87</f>
        <v>3651640</v>
      </c>
      <c r="I63" s="1349">
        <f>+'6.sz.függ.Mese Ó.  '!N87</f>
        <v>0</v>
      </c>
      <c r="J63" s="1349">
        <f>+'6.sz.függ.Mese Ó.  '!O87</f>
        <v>0</v>
      </c>
      <c r="K63" s="1350">
        <f>+'6.sz.függ.Mese Ó.  '!P87</f>
        <v>0</v>
      </c>
      <c r="L63" s="1455">
        <f>+'6.sz.függ.Mese Ó.  '!Q87</f>
        <v>350000</v>
      </c>
      <c r="M63" s="1349">
        <f>+'6.sz.függ.Mese Ó.  '!R87</f>
        <v>0</v>
      </c>
      <c r="N63" s="1349">
        <f>+'6.sz.függ.Mese Ó.  '!S87</f>
        <v>0</v>
      </c>
      <c r="O63" s="1349">
        <f>+'6.sz.függ.Mese Ó.  '!T87</f>
        <v>1650314</v>
      </c>
      <c r="P63" s="1349">
        <f>+'6.sz.függ.Mese Ó.  '!U87</f>
        <v>0</v>
      </c>
      <c r="Q63" s="1349">
        <f>+'6.sz.függ.Mese Ó.  '!V87</f>
        <v>0</v>
      </c>
      <c r="R63" s="1349">
        <f>+'6.sz.függ.Mese Ó.  '!W87</f>
        <v>0</v>
      </c>
      <c r="S63" s="1350">
        <f>+'6.sz.függ.Mese Ó.  '!X87</f>
        <v>28392036</v>
      </c>
    </row>
    <row r="64" spans="1:19" ht="30.75" customHeight="1" x14ac:dyDescent="0.25">
      <c r="A64" s="1096" t="s">
        <v>198</v>
      </c>
      <c r="B64" s="1097" t="s">
        <v>24</v>
      </c>
      <c r="C64" s="1349">
        <f>+'5.sz.függ.Hétszínvirág Ó. '!H93</f>
        <v>5351850</v>
      </c>
      <c r="D64" s="1349">
        <f>+'5.sz.függ.Hétszínvirág Ó. '!I93</f>
        <v>672750</v>
      </c>
      <c r="E64" s="1349">
        <f>+'5.sz.függ.Hétszínvirág Ó. '!J93</f>
        <v>7984750</v>
      </c>
      <c r="F64" s="1349">
        <f>+'5.sz.függ.Hétszínvirág Ó. '!K93</f>
        <v>0</v>
      </c>
      <c r="G64" s="1349">
        <f>+'5.sz.függ.Hétszínvirág Ó. '!L93</f>
        <v>11118964</v>
      </c>
      <c r="H64" s="1349">
        <f>+'5.sz.függ.Hétszínvirág Ó. '!M93</f>
        <v>3937301</v>
      </c>
      <c r="I64" s="1349">
        <f>+'5.sz.függ.Hétszínvirág Ó. '!N93</f>
        <v>0</v>
      </c>
      <c r="J64" s="1349">
        <f>+'5.sz.függ.Hétszínvirág Ó. '!O93</f>
        <v>0</v>
      </c>
      <c r="K64" s="1350">
        <f>+'5.sz.függ.Hétszínvirág Ó. '!P93</f>
        <v>0</v>
      </c>
      <c r="L64" s="1455">
        <f>+'5.sz.függ.Hétszínvirág Ó. '!Q93</f>
        <v>350000</v>
      </c>
      <c r="M64" s="1349">
        <f>+'5.sz.függ.Hétszínvirág Ó. '!R93</f>
        <v>0</v>
      </c>
      <c r="N64" s="1349">
        <f>+'5.sz.függ.Hétszínvirág Ó. '!S93</f>
        <v>0</v>
      </c>
      <c r="O64" s="1349">
        <f>+'5.sz.függ.Hétszínvirág Ó. '!T93</f>
        <v>200000</v>
      </c>
      <c r="P64" s="1349">
        <f>+'5.sz.függ.Hétszínvirág Ó. '!U93</f>
        <v>0</v>
      </c>
      <c r="Q64" s="1349">
        <f>+'5.sz.függ.Hétszínvirág Ó. '!V93</f>
        <v>0</v>
      </c>
      <c r="R64" s="1349">
        <f>+'5.sz.függ.Hétszínvirág Ó. '!W93</f>
        <v>0</v>
      </c>
      <c r="S64" s="1350">
        <f>+'5.sz.függ.Hétszínvirág Ó. '!X93</f>
        <v>28515615</v>
      </c>
    </row>
    <row r="65" spans="1:19" ht="30" customHeight="1" x14ac:dyDescent="0.25">
      <c r="A65" s="1096" t="s">
        <v>199</v>
      </c>
      <c r="B65" s="1097" t="s">
        <v>618</v>
      </c>
      <c r="C65" s="1349">
        <f>+'9.sz.függ.Szivárvány Ó.'!H88</f>
        <v>5129237</v>
      </c>
      <c r="D65" s="1349">
        <f>+'9.sz.függ.Szivárvány Ó.'!I88</f>
        <v>607750</v>
      </c>
      <c r="E65" s="1349">
        <f>+'9.sz.függ.Szivárvány Ó.'!J88</f>
        <v>7151231</v>
      </c>
      <c r="F65" s="1349">
        <f>+'9.sz.függ.Szivárvány Ó.'!K88</f>
        <v>0</v>
      </c>
      <c r="G65" s="1349">
        <f>+'9.sz.függ.Szivárvány Ó.'!L88</f>
        <v>5378111</v>
      </c>
      <c r="H65" s="1349">
        <f>+'9.sz.függ.Szivárvány Ó.'!M88</f>
        <v>1820213</v>
      </c>
      <c r="I65" s="1349">
        <f>+'9.sz.függ.Szivárvány Ó.'!N88</f>
        <v>0</v>
      </c>
      <c r="J65" s="1349">
        <f>+'9.sz.függ.Szivárvány Ó.'!O88</f>
        <v>0</v>
      </c>
      <c r="K65" s="1350">
        <f>+'9.sz.függ.Szivárvány Ó.'!P88</f>
        <v>0</v>
      </c>
      <c r="L65" s="1455">
        <f>+'9.sz.függ.Szivárvány Ó.'!Q88</f>
        <v>0</v>
      </c>
      <c r="M65" s="1349">
        <f>+'9.sz.függ.Szivárvány Ó.'!R88</f>
        <v>0</v>
      </c>
      <c r="N65" s="1349">
        <f>+'9.sz.függ.Szivárvány Ó.'!S88</f>
        <v>0</v>
      </c>
      <c r="O65" s="1349">
        <f>+'9.sz.függ.Szivárvány Ó.'!T88</f>
        <v>254851</v>
      </c>
      <c r="P65" s="1349">
        <f>+'9.sz.függ.Szivárvány Ó.'!U88</f>
        <v>0</v>
      </c>
      <c r="Q65" s="1349">
        <f>+'9.sz.függ.Szivárvány Ó.'!V88</f>
        <v>0</v>
      </c>
      <c r="R65" s="1349">
        <f>+'9.sz.függ.Szivárvány Ó.'!W88</f>
        <v>0</v>
      </c>
      <c r="S65" s="1350">
        <f>+'9.sz.függ.Szivárvány Ó.'!X88</f>
        <v>19831691</v>
      </c>
    </row>
    <row r="66" spans="1:19" ht="28.5" customHeight="1" x14ac:dyDescent="0.25">
      <c r="A66" s="1096" t="s">
        <v>200</v>
      </c>
      <c r="B66" s="1097" t="s">
        <v>25</v>
      </c>
      <c r="C66" s="1349">
        <f>+'3.sz.függ.Ter.Gond. '!H192</f>
        <v>4835000</v>
      </c>
      <c r="D66" s="1349">
        <f>+'3.sz.függ.Ter.Gond. '!I192</f>
        <v>503750</v>
      </c>
      <c r="E66" s="1349">
        <f>+'3.sz.függ.Ter.Gond. '!J192</f>
        <v>19255325</v>
      </c>
      <c r="F66" s="1349">
        <f>+'3.sz.függ.Ter.Gond. '!K192</f>
        <v>0</v>
      </c>
      <c r="G66" s="1349">
        <f>+'3.sz.függ.Ter.Gond. '!L192</f>
        <v>63201781</v>
      </c>
      <c r="H66" s="1349">
        <f>+'3.sz.függ.Ter.Gond. '!M192</f>
        <v>-168012</v>
      </c>
      <c r="I66" s="1349">
        <f>+'3.sz.függ.Ter.Gond. '!N192</f>
        <v>0</v>
      </c>
      <c r="J66" s="1349">
        <f>+'3.sz.függ.Ter.Gond. '!O192</f>
        <v>0</v>
      </c>
      <c r="K66" s="1350">
        <f>+'3.sz.függ.Ter.Gond. '!P192</f>
        <v>0</v>
      </c>
      <c r="L66" s="1455">
        <f>+'3.sz.függ.Ter.Gond. '!Q192</f>
        <v>0</v>
      </c>
      <c r="M66" s="1349">
        <f>+'3.sz.függ.Ter.Gond. '!R192</f>
        <v>0</v>
      </c>
      <c r="N66" s="1349">
        <f>+'3.sz.függ.Ter.Gond. '!S192</f>
        <v>0</v>
      </c>
      <c r="O66" s="1349">
        <f>+'3.sz.függ.Ter.Gond. '!T192</f>
        <v>5482475</v>
      </c>
      <c r="P66" s="1349">
        <f>+'3.sz.függ.Ter.Gond. '!U192</f>
        <v>0</v>
      </c>
      <c r="Q66" s="1349">
        <f>+'3.sz.függ.Ter.Gond. '!V192</f>
        <v>0</v>
      </c>
      <c r="R66" s="1349">
        <f>+'3.sz.függ.Ter.Gond. '!W192</f>
        <v>0</v>
      </c>
      <c r="S66" s="1350">
        <f>+'3.sz.függ.Ter.Gond. '!X192</f>
        <v>82145369</v>
      </c>
    </row>
    <row r="67" spans="1:19" ht="30" customHeight="1" x14ac:dyDescent="0.25">
      <c r="A67" s="1096" t="s">
        <v>201</v>
      </c>
      <c r="B67" s="1097" t="s">
        <v>1732</v>
      </c>
      <c r="C67" s="1349">
        <f>+'8.sz.függ.Gyermekjóléti  '!H58</f>
        <v>3929867</v>
      </c>
      <c r="D67" s="1349">
        <f>+'8.sz.függ.Gyermekjóléti  '!I58</f>
        <v>510883</v>
      </c>
      <c r="E67" s="1349">
        <f>+'8.sz.függ.Gyermekjóléti  '!J58</f>
        <v>2285472</v>
      </c>
      <c r="F67" s="1349">
        <f>+'8.sz.függ.Gyermekjóléti  '!K58</f>
        <v>0</v>
      </c>
      <c r="G67" s="1349">
        <f>+'8.sz.függ.Gyermekjóléti  '!L58</f>
        <v>3068287</v>
      </c>
      <c r="H67" s="1349">
        <f>+'8.sz.függ.Gyermekjóléti  '!M58</f>
        <v>0</v>
      </c>
      <c r="I67" s="1349">
        <f>+'8.sz.függ.Gyermekjóléti  '!N58</f>
        <v>0</v>
      </c>
      <c r="J67" s="1349">
        <f>+'8.sz.függ.Gyermekjóléti  '!O58</f>
        <v>0</v>
      </c>
      <c r="K67" s="1350">
        <f>+'8.sz.függ.Gyermekjóléti  '!P58</f>
        <v>0</v>
      </c>
      <c r="L67" s="1455">
        <f>+'8.sz.függ.Gyermekjóléti  '!Q58</f>
        <v>0</v>
      </c>
      <c r="M67" s="1349">
        <f>+'8.sz.függ.Gyermekjóléti  '!R58</f>
        <v>0</v>
      </c>
      <c r="N67" s="1349">
        <f>+'8.sz.függ.Gyermekjóléti  '!S58</f>
        <v>0</v>
      </c>
      <c r="O67" s="1349">
        <f>+'8.sz.függ.Gyermekjóléti  '!T58</f>
        <v>2285472</v>
      </c>
      <c r="P67" s="1349">
        <f>+'8.sz.függ.Gyermekjóléti  '!U58</f>
        <v>0</v>
      </c>
      <c r="Q67" s="1349">
        <f>+'8.sz.függ.Gyermekjóléti  '!V58</f>
        <v>0</v>
      </c>
      <c r="R67" s="1349">
        <f>+'8.sz.függ.Gyermekjóléti  '!W58</f>
        <v>0</v>
      </c>
      <c r="S67" s="1350">
        <f>+'8.sz.függ.Gyermekjóléti  '!X58</f>
        <v>7509037</v>
      </c>
    </row>
    <row r="68" spans="1:19" ht="32.25" customHeight="1" x14ac:dyDescent="0.25">
      <c r="A68" s="1096" t="s">
        <v>202</v>
      </c>
      <c r="B68" s="1097" t="s">
        <v>632</v>
      </c>
      <c r="C68" s="1349">
        <f>+'4.sz.függ.Könyvtár '!H73</f>
        <v>8059720</v>
      </c>
      <c r="D68" s="1349">
        <f>+'4.sz.függ.Könyvtár '!I73</f>
        <v>1047764</v>
      </c>
      <c r="E68" s="1349">
        <f>+'4.sz.függ.Könyvtár '!J73</f>
        <v>2621285</v>
      </c>
      <c r="F68" s="1349">
        <f>+'4.sz.függ.Könyvtár '!K73</f>
        <v>0</v>
      </c>
      <c r="G68" s="1349">
        <f>+'4.sz.függ.Könyvtár '!L73</f>
        <v>6237769</v>
      </c>
      <c r="H68" s="1349">
        <f>+'4.sz.függ.Könyvtár '!M73</f>
        <v>-1369</v>
      </c>
      <c r="I68" s="1349">
        <f>+'4.sz.függ.Könyvtár '!N73</f>
        <v>0</v>
      </c>
      <c r="J68" s="1349">
        <f>+'4.sz.függ.Könyvtár '!O73</f>
        <v>0</v>
      </c>
      <c r="K68" s="1350">
        <f>+'4.sz.függ.Könyvtár '!P73</f>
        <v>0</v>
      </c>
      <c r="L68" s="1455">
        <f>+'4.sz.függ.Könyvtár '!Q73</f>
        <v>0</v>
      </c>
      <c r="M68" s="1349">
        <f>+'4.sz.függ.Könyvtár '!R73</f>
        <v>0</v>
      </c>
      <c r="N68" s="1349">
        <f>+'4.sz.függ.Könyvtár '!S73</f>
        <v>0</v>
      </c>
      <c r="O68" s="1349">
        <f>+'4.sz.függ.Könyvtár '!T73</f>
        <v>911416</v>
      </c>
      <c r="P68" s="1349">
        <f>+'4.sz.függ.Könyvtár '!U73</f>
        <v>5000</v>
      </c>
      <c r="Q68" s="1349">
        <f>+'4.sz.függ.Könyvtár '!V73</f>
        <v>295000</v>
      </c>
      <c r="R68" s="1349">
        <f>+'4.sz.függ.Könyvtár '!W73</f>
        <v>0</v>
      </c>
      <c r="S68" s="1350">
        <f>+'4.sz.függ.Könyvtár '!X73</f>
        <v>16753753</v>
      </c>
    </row>
    <row r="69" spans="1:19" ht="32.25" customHeight="1" x14ac:dyDescent="0.25">
      <c r="A69" s="1592" t="s">
        <v>203</v>
      </c>
      <c r="B69" s="1594" t="s">
        <v>619</v>
      </c>
      <c r="C69" s="1351">
        <f>+'10.sz.függ.József A.Műv.Ház'!H93</f>
        <v>9264214</v>
      </c>
      <c r="D69" s="1351">
        <f>+'10.sz.függ.József A.Műv.Ház'!I93</f>
        <v>1208870</v>
      </c>
      <c r="E69" s="1351">
        <f>+'10.sz.függ.József A.Műv.Ház'!J93</f>
        <v>3379840</v>
      </c>
      <c r="F69" s="1351">
        <f>+'10.sz.függ.József A.Műv.Ház'!K93</f>
        <v>0</v>
      </c>
      <c r="G69" s="1351">
        <f>+'10.sz.függ.József A.Műv.Ház'!L93</f>
        <v>11154291</v>
      </c>
      <c r="H69" s="1351">
        <f>+'10.sz.függ.József A.Műv.Ház'!M93</f>
        <v>457200</v>
      </c>
      <c r="I69" s="1351">
        <f>+'10.sz.függ.József A.Műv.Ház'!N93</f>
        <v>0</v>
      </c>
      <c r="J69" s="1351">
        <f>+'10.sz.függ.József A.Műv.Ház'!O93</f>
        <v>0</v>
      </c>
      <c r="K69" s="1352">
        <f>+'10.sz.függ.József A.Műv.Ház'!P93</f>
        <v>0</v>
      </c>
      <c r="L69" s="1456">
        <f>+'10.sz.függ.József A.Műv.Ház'!Q93</f>
        <v>350000</v>
      </c>
      <c r="M69" s="1351">
        <f>+'10.sz.függ.József A.Műv.Ház'!R93</f>
        <v>0</v>
      </c>
      <c r="N69" s="1351">
        <f>+'10.sz.függ.József A.Műv.Ház'!S93</f>
        <v>0</v>
      </c>
      <c r="O69" s="1351">
        <f>+'10.sz.függ.József A.Műv.Ház'!T93</f>
        <v>1681874</v>
      </c>
      <c r="P69" s="1351">
        <f>+'10.sz.függ.József A.Műv.Ház'!U93</f>
        <v>0</v>
      </c>
      <c r="Q69" s="1351">
        <f>+'10.sz.függ.József A.Műv.Ház'!V93</f>
        <v>0</v>
      </c>
      <c r="R69" s="1351">
        <f>+'10.sz.függ.József A.Műv.Ház'!W93</f>
        <v>0</v>
      </c>
      <c r="S69" s="1352">
        <f>+'10.sz.függ.József A.Műv.Ház'!X93</f>
        <v>23432541</v>
      </c>
    </row>
    <row r="70" spans="1:19" ht="18.75" x14ac:dyDescent="0.25">
      <c r="A70" s="2128" t="s">
        <v>1204</v>
      </c>
      <c r="B70" s="2129"/>
      <c r="C70" s="1098">
        <f t="shared" ref="C70:H70" si="3">SUM(C60:C69)</f>
        <v>130823159</v>
      </c>
      <c r="D70" s="1098">
        <f t="shared" si="3"/>
        <v>16929424</v>
      </c>
      <c r="E70" s="1098">
        <f t="shared" si="3"/>
        <v>367076308</v>
      </c>
      <c r="F70" s="1098">
        <f t="shared" si="3"/>
        <v>-68810</v>
      </c>
      <c r="G70" s="1098">
        <f t="shared" si="3"/>
        <v>928290344</v>
      </c>
      <c r="H70" s="1098">
        <f t="shared" si="3"/>
        <v>243347709</v>
      </c>
      <c r="I70" s="1098">
        <f t="shared" ref="I70:S70" si="4">SUM(I60:I69)</f>
        <v>19205227</v>
      </c>
      <c r="J70" s="1098">
        <f t="shared" si="4"/>
        <v>9962301</v>
      </c>
      <c r="K70" s="1099">
        <f t="shared" si="4"/>
        <v>336741224</v>
      </c>
      <c r="L70" s="1100">
        <f t="shared" si="4"/>
        <v>678937114</v>
      </c>
      <c r="M70" s="1098">
        <f t="shared" si="4"/>
        <v>54255209</v>
      </c>
      <c r="N70" s="1098">
        <f t="shared" si="4"/>
        <v>624247343</v>
      </c>
      <c r="O70" s="1098">
        <f t="shared" si="4"/>
        <v>85203749</v>
      </c>
      <c r="P70" s="1098">
        <f t="shared" si="4"/>
        <v>80000</v>
      </c>
      <c r="Q70" s="1098">
        <f t="shared" si="4"/>
        <v>295000</v>
      </c>
      <c r="R70" s="1098">
        <f t="shared" si="4"/>
        <v>2954350</v>
      </c>
      <c r="S70" s="1099">
        <f t="shared" si="4"/>
        <v>606334121</v>
      </c>
    </row>
    <row r="71" spans="1:19" x14ac:dyDescent="0.25">
      <c r="A71" s="937"/>
      <c r="B71" s="937"/>
      <c r="C71" s="966"/>
      <c r="D71" s="966"/>
      <c r="E71" s="966"/>
      <c r="F71" s="966"/>
      <c r="G71" s="966"/>
      <c r="H71" s="966"/>
      <c r="I71" s="966"/>
      <c r="J71" s="966"/>
      <c r="K71" s="966"/>
      <c r="L71" s="966"/>
      <c r="M71" s="966"/>
      <c r="N71" s="966"/>
      <c r="O71" s="966"/>
      <c r="P71" s="966"/>
      <c r="Q71" s="966"/>
      <c r="R71" s="966"/>
      <c r="S71" s="966"/>
    </row>
    <row r="72" spans="1:19" x14ac:dyDescent="0.25">
      <c r="A72" s="937"/>
      <c r="B72" s="937"/>
      <c r="C72" s="937"/>
      <c r="D72" s="937"/>
      <c r="E72" s="937"/>
      <c r="F72" s="937"/>
      <c r="G72" s="937"/>
      <c r="H72" s="937"/>
      <c r="I72" s="937"/>
      <c r="J72" s="937"/>
      <c r="K72" s="937"/>
      <c r="L72" s="937"/>
      <c r="M72" s="937"/>
      <c r="N72" s="937"/>
      <c r="O72" s="937"/>
      <c r="P72" s="937"/>
      <c r="Q72" s="937"/>
      <c r="R72" s="937"/>
      <c r="S72" s="937"/>
    </row>
    <row r="73" spans="1:19" ht="24.75" customHeight="1" x14ac:dyDescent="0.25">
      <c r="A73" s="937"/>
      <c r="B73" s="937"/>
      <c r="C73" s="937"/>
      <c r="D73" s="2001" t="s">
        <v>1664</v>
      </c>
      <c r="E73" s="2001"/>
      <c r="F73" s="2001"/>
      <c r="G73" s="2001">
        <v>14255990475</v>
      </c>
      <c r="H73" s="2001"/>
      <c r="I73" s="937"/>
      <c r="J73" s="937"/>
      <c r="K73" s="937"/>
      <c r="L73" s="937"/>
      <c r="M73" s="2001" t="s">
        <v>1665</v>
      </c>
      <c r="N73" s="2001"/>
      <c r="O73" s="2001"/>
      <c r="P73" s="2001">
        <v>14255990475</v>
      </c>
      <c r="Q73" s="2001"/>
      <c r="R73" s="937"/>
      <c r="S73" s="937"/>
    </row>
    <row r="74" spans="1:19" ht="22.5" customHeight="1" x14ac:dyDescent="0.25">
      <c r="A74" s="937"/>
      <c r="B74" s="937"/>
      <c r="C74" s="937"/>
      <c r="D74" s="2001" t="s">
        <v>1666</v>
      </c>
      <c r="E74" s="2001"/>
      <c r="F74" s="2001"/>
      <c r="G74" s="2001">
        <f>SUM(C70:K70)</f>
        <v>2052306886</v>
      </c>
      <c r="H74" s="2001"/>
      <c r="I74" s="966"/>
      <c r="J74" s="937"/>
      <c r="K74" s="937"/>
      <c r="L74" s="937"/>
      <c r="M74" s="2001" t="s">
        <v>1666</v>
      </c>
      <c r="N74" s="2001"/>
      <c r="O74" s="2001"/>
      <c r="P74" s="2001">
        <f>SUM(L70:S70)</f>
        <v>2052306886</v>
      </c>
      <c r="Q74" s="2001"/>
      <c r="R74" s="937"/>
      <c r="S74" s="937"/>
    </row>
    <row r="75" spans="1:19" ht="23.25" customHeight="1" x14ac:dyDescent="0.25">
      <c r="A75" s="937"/>
      <c r="B75" s="937"/>
      <c r="C75" s="937"/>
      <c r="D75" s="2001" t="s">
        <v>1512</v>
      </c>
      <c r="E75" s="2001"/>
      <c r="F75" s="2001"/>
      <c r="G75" s="2001">
        <f>+G73+G74</f>
        <v>16308297361</v>
      </c>
      <c r="H75" s="2001"/>
      <c r="I75" s="937"/>
      <c r="J75" s="937"/>
      <c r="K75" s="937"/>
      <c r="L75" s="937"/>
      <c r="M75" s="2001" t="s">
        <v>1512</v>
      </c>
      <c r="N75" s="2001"/>
      <c r="O75" s="2001"/>
      <c r="P75" s="2001">
        <f>+P73+P74</f>
        <v>16308297361</v>
      </c>
      <c r="Q75" s="2001"/>
      <c r="R75" s="937"/>
      <c r="S75" s="937"/>
    </row>
    <row r="76" spans="1:19" x14ac:dyDescent="0.25">
      <c r="A76" s="937"/>
      <c r="B76" s="937"/>
      <c r="C76" s="937"/>
      <c r="D76" s="937"/>
      <c r="E76" s="937"/>
      <c r="F76" s="937"/>
      <c r="G76" s="937"/>
      <c r="H76" s="937"/>
      <c r="I76" s="937"/>
      <c r="J76" s="937"/>
      <c r="K76" s="937"/>
      <c r="L76" s="937"/>
      <c r="M76" s="937"/>
      <c r="N76" s="937"/>
      <c r="O76" s="937"/>
      <c r="P76" s="937"/>
      <c r="Q76" s="937"/>
      <c r="R76" s="937"/>
      <c r="S76" s="937"/>
    </row>
    <row r="77" spans="1:19" x14ac:dyDescent="0.25">
      <c r="A77" s="937"/>
      <c r="B77" s="937"/>
      <c r="C77" s="937"/>
      <c r="D77" s="937"/>
      <c r="E77" s="937"/>
      <c r="F77" s="937"/>
      <c r="G77" s="937"/>
      <c r="H77" s="937"/>
      <c r="I77" s="937"/>
      <c r="J77" s="937"/>
      <c r="K77" s="937"/>
      <c r="L77" s="937"/>
      <c r="M77" s="937"/>
      <c r="N77" s="937"/>
      <c r="O77" s="937"/>
      <c r="P77" s="937"/>
      <c r="Q77" s="937"/>
      <c r="R77" s="937"/>
      <c r="S77" s="937"/>
    </row>
    <row r="78" spans="1:19" x14ac:dyDescent="0.25">
      <c r="A78" s="937"/>
      <c r="B78" s="937"/>
      <c r="C78" s="937"/>
      <c r="D78" s="937"/>
      <c r="E78" s="937"/>
      <c r="F78" s="937"/>
      <c r="G78" s="937"/>
      <c r="H78" s="937"/>
      <c r="I78" s="937"/>
      <c r="J78" s="937"/>
      <c r="K78" s="937"/>
      <c r="L78" s="937"/>
      <c r="M78" s="937"/>
      <c r="N78" s="937"/>
      <c r="O78" s="937"/>
      <c r="P78" s="937"/>
      <c r="Q78" s="937"/>
      <c r="R78" s="937"/>
      <c r="S78" s="937"/>
    </row>
    <row r="79" spans="1:19" ht="15.75" x14ac:dyDescent="0.25">
      <c r="A79" s="2010" t="s">
        <v>3372</v>
      </c>
      <c r="B79" s="2010"/>
      <c r="C79" s="2010"/>
      <c r="D79" s="2010"/>
      <c r="E79" s="2010"/>
      <c r="F79" s="2010"/>
      <c r="G79" s="2010"/>
      <c r="H79" s="2010"/>
      <c r="I79" s="2010"/>
      <c r="J79" s="2010"/>
      <c r="K79" s="2010"/>
      <c r="L79" s="2010"/>
      <c r="M79" s="2010"/>
      <c r="N79" s="2010"/>
      <c r="O79" s="2010"/>
      <c r="P79" s="2010"/>
      <c r="Q79" s="2010"/>
      <c r="R79" s="2010"/>
      <c r="S79" s="2010"/>
    </row>
    <row r="80" spans="1:19" x14ac:dyDescent="0.25">
      <c r="A80" s="1071"/>
      <c r="B80" s="1071"/>
      <c r="C80" s="1071"/>
      <c r="D80" s="1071"/>
      <c r="E80" s="1071"/>
      <c r="F80" s="1071"/>
      <c r="G80" s="1071"/>
      <c r="H80" s="1071"/>
      <c r="I80" s="1071"/>
      <c r="J80" s="1071"/>
      <c r="K80" s="1071"/>
      <c r="L80" s="1071"/>
      <c r="M80" s="1071"/>
      <c r="N80" s="1071"/>
      <c r="O80" s="1071"/>
      <c r="P80" s="1071"/>
      <c r="Q80" s="1071"/>
      <c r="R80" s="1071"/>
      <c r="S80" s="1071"/>
    </row>
    <row r="81" spans="1:19" x14ac:dyDescent="0.25">
      <c r="A81" s="2130" t="s">
        <v>1724</v>
      </c>
      <c r="B81" s="2130"/>
      <c r="C81" s="2130"/>
      <c r="D81" s="2130"/>
      <c r="E81" s="2130"/>
      <c r="F81" s="2130"/>
      <c r="G81" s="2130"/>
      <c r="H81" s="2130"/>
      <c r="I81" s="2130"/>
      <c r="J81" s="2130"/>
      <c r="K81" s="2130"/>
      <c r="L81" s="2130"/>
      <c r="M81" s="2130"/>
      <c r="N81" s="2130"/>
      <c r="O81" s="2130"/>
      <c r="P81" s="2130"/>
      <c r="Q81" s="2130"/>
      <c r="R81" s="2130"/>
      <c r="S81" s="2130"/>
    </row>
    <row r="82" spans="1:19" x14ac:dyDescent="0.25">
      <c r="A82" s="937"/>
      <c r="B82" s="937"/>
      <c r="C82" s="937"/>
      <c r="D82" s="937"/>
      <c r="E82" s="937"/>
      <c r="F82" s="937"/>
      <c r="G82" s="937"/>
      <c r="H82" s="937"/>
      <c r="I82" s="937"/>
      <c r="J82" s="937"/>
      <c r="K82" s="937"/>
      <c r="L82" s="937"/>
      <c r="M82" s="937"/>
      <c r="N82" s="937"/>
      <c r="O82" s="937"/>
      <c r="P82" s="937"/>
      <c r="Q82" s="937"/>
      <c r="R82" s="937"/>
    </row>
    <row r="83" spans="1:19" x14ac:dyDescent="0.25">
      <c r="A83" s="937"/>
      <c r="B83" s="937"/>
      <c r="C83" s="937"/>
      <c r="D83" s="937"/>
      <c r="E83" s="937"/>
      <c r="F83" s="937"/>
      <c r="G83" s="937"/>
      <c r="H83" s="937"/>
      <c r="I83" s="937"/>
      <c r="J83" s="937"/>
      <c r="K83" s="937"/>
      <c r="L83" s="937"/>
      <c r="M83" s="937"/>
      <c r="N83" s="937"/>
      <c r="O83" s="937"/>
      <c r="P83" s="937"/>
      <c r="Q83" s="937"/>
      <c r="R83" s="937"/>
      <c r="S83" s="1178" t="s">
        <v>444</v>
      </c>
    </row>
    <row r="84" spans="1:19" ht="20.25" customHeight="1" x14ac:dyDescent="0.25">
      <c r="A84" s="2131" t="s">
        <v>37</v>
      </c>
      <c r="B84" s="2133" t="s">
        <v>136</v>
      </c>
      <c r="C84" s="2135" t="s">
        <v>1644</v>
      </c>
      <c r="D84" s="2135"/>
      <c r="E84" s="2135"/>
      <c r="F84" s="2135"/>
      <c r="G84" s="2135"/>
      <c r="H84" s="2135"/>
      <c r="I84" s="2135"/>
      <c r="J84" s="2136"/>
      <c r="K84" s="1177"/>
      <c r="L84" s="2137" t="s">
        <v>1645</v>
      </c>
      <c r="M84" s="2135"/>
      <c r="N84" s="2135"/>
      <c r="O84" s="2135"/>
      <c r="P84" s="2135"/>
      <c r="Q84" s="2135"/>
      <c r="R84" s="2135"/>
      <c r="S84" s="2138"/>
    </row>
    <row r="85" spans="1:19" ht="94.5" customHeight="1" x14ac:dyDescent="0.25">
      <c r="A85" s="2132"/>
      <c r="B85" s="2134"/>
      <c r="C85" s="1093" t="s">
        <v>1725</v>
      </c>
      <c r="D85" s="1093" t="s">
        <v>1726</v>
      </c>
      <c r="E85" s="1093" t="s">
        <v>1718</v>
      </c>
      <c r="F85" s="1093" t="s">
        <v>1727</v>
      </c>
      <c r="G85" s="1093" t="s">
        <v>1728</v>
      </c>
      <c r="H85" s="1094" t="s">
        <v>1672</v>
      </c>
      <c r="I85" s="1093" t="s">
        <v>1729</v>
      </c>
      <c r="J85" s="1094" t="s">
        <v>1653</v>
      </c>
      <c r="K85" s="1095" t="s">
        <v>1654</v>
      </c>
      <c r="L85" s="1176" t="s">
        <v>1655</v>
      </c>
      <c r="M85" s="1094" t="s">
        <v>1656</v>
      </c>
      <c r="N85" s="1093" t="s">
        <v>1721</v>
      </c>
      <c r="O85" s="1093" t="s">
        <v>1730</v>
      </c>
      <c r="P85" s="1094" t="s">
        <v>1659</v>
      </c>
      <c r="Q85" s="1094" t="s">
        <v>1660</v>
      </c>
      <c r="R85" s="1094" t="s">
        <v>1661</v>
      </c>
      <c r="S85" s="1095" t="s">
        <v>1731</v>
      </c>
    </row>
    <row r="86" spans="1:19" ht="31.5" customHeight="1" x14ac:dyDescent="0.25">
      <c r="A86" s="1591" t="s">
        <v>194</v>
      </c>
      <c r="B86" s="1593" t="s">
        <v>451</v>
      </c>
      <c r="C86" s="1347">
        <f>+'1.sz.függ.Önkormány bev-kiad'!H1254+'1.sz.függ.Önkormány bev-kiad'!H1252</f>
        <v>49913431</v>
      </c>
      <c r="D86" s="1347">
        <f>+'1.sz.függ.Önkormány bev-kiad'!I1254+'1.sz.függ.Önkormány bev-kiad'!I1252</f>
        <v>6172372</v>
      </c>
      <c r="E86" s="1347">
        <f>+'1.sz.függ.Önkormány bev-kiad'!J1254+'1.sz.függ.Önkormány bev-kiad'!J1252</f>
        <v>548958856</v>
      </c>
      <c r="F86" s="1347">
        <f>+'1.sz.függ.Önkormány bev-kiad'!K1254+'1.sz.függ.Önkormány bev-kiad'!K1252</f>
        <v>3819430</v>
      </c>
      <c r="G86" s="1347">
        <f>+'1.sz.függ.Önkormány bev-kiad'!L1254+'1.sz.függ.Önkormány bev-kiad'!L1252</f>
        <v>1028120392</v>
      </c>
      <c r="H86" s="1347">
        <f>+'1.sz.függ.Önkormány bev-kiad'!M1254+'1.sz.függ.Önkormány bev-kiad'!M1252</f>
        <v>190197377</v>
      </c>
      <c r="I86" s="1347">
        <f>+'1.sz.függ.Önkormány bev-kiad'!N1254+'1.sz.függ.Önkormány bev-kiad'!N1252</f>
        <v>-52478809</v>
      </c>
      <c r="J86" s="1347">
        <f>+'1.sz.függ.Önkormány bev-kiad'!O1254+'1.sz.függ.Önkormány bev-kiad'!O1252</f>
        <v>4951261</v>
      </c>
      <c r="K86" s="1348">
        <f>+'1.sz.függ.Önkormány bev-kiad'!P1254+'1.sz.függ.Önkormány bev-kiad'!P1252</f>
        <v>504024765</v>
      </c>
      <c r="L86" s="1454">
        <f>+'1.sz.függ.Önkormány bev-kiad'!Q1254+'1.sz.függ.Önkormány bev-kiad'!Q1252</f>
        <v>819653219</v>
      </c>
      <c r="M86" s="1347">
        <f>+'1.sz.függ.Önkormány bev-kiad'!R1254+'1.sz.függ.Önkormány bev-kiad'!R1252</f>
        <v>54255209</v>
      </c>
      <c r="N86" s="1347">
        <f>+'1.sz.függ.Önkormány bev-kiad'!S1254+'1.sz.függ.Önkormány bev-kiad'!S1252</f>
        <v>850035322</v>
      </c>
      <c r="O86" s="1347">
        <f>+'1.sz.függ.Önkormány bev-kiad'!T1254+'1.sz.függ.Önkormány bev-kiad'!T1252</f>
        <v>59594744</v>
      </c>
      <c r="P86" s="1347">
        <f>+'1.sz.függ.Önkormány bev-kiad'!U1254+'1.sz.függ.Önkormány bev-kiad'!U1252</f>
        <v>21784594</v>
      </c>
      <c r="Q86" s="1347">
        <f>+'1.sz.függ.Önkormány bev-kiad'!V1254+'1.sz.függ.Önkormány bev-kiad'!V1252</f>
        <v>0</v>
      </c>
      <c r="R86" s="1347">
        <f>+'1.sz.függ.Önkormány bev-kiad'!W1254+'1.sz.függ.Önkormány bev-kiad'!W1252</f>
        <v>990750</v>
      </c>
      <c r="S86" s="1348">
        <f>+'1.sz.függ.Önkormány bev-kiad'!X1254+'1.sz.függ.Önkormány bev-kiad'!X1252</f>
        <v>477365237</v>
      </c>
    </row>
    <row r="87" spans="1:19" ht="30" customHeight="1" x14ac:dyDescent="0.25">
      <c r="A87" s="1096" t="s">
        <v>195</v>
      </c>
      <c r="B87" s="1097" t="s">
        <v>86</v>
      </c>
      <c r="C87" s="1349">
        <f>+'2.sz.függ.PMH bev-kiad'!H196</f>
        <v>61679469</v>
      </c>
      <c r="D87" s="1349">
        <f>+'2.sz.függ.PMH bev-kiad'!I196</f>
        <v>8207521</v>
      </c>
      <c r="E87" s="1349">
        <f>+'2.sz.függ.PMH bev-kiad'!J196</f>
        <v>4991868</v>
      </c>
      <c r="F87" s="1349">
        <f>+'2.sz.függ.PMH bev-kiad'!K196</f>
        <v>0</v>
      </c>
      <c r="G87" s="1349">
        <f>+'2.sz.függ.PMH bev-kiad'!L196</f>
        <v>34588794</v>
      </c>
      <c r="H87" s="1349">
        <f>+'2.sz.függ.PMH bev-kiad'!M196</f>
        <v>17276932</v>
      </c>
      <c r="I87" s="1349">
        <f>+'2.sz.függ.PMH bev-kiad'!N196</f>
        <v>0</v>
      </c>
      <c r="J87" s="1349">
        <f>+'2.sz.függ.PMH bev-kiad'!O196</f>
        <v>5500000</v>
      </c>
      <c r="K87" s="1350">
        <f>+'2.sz.függ.PMH bev-kiad'!P196</f>
        <v>0</v>
      </c>
      <c r="L87" s="1455">
        <f>+'2.sz.függ.PMH bev-kiad'!Q196</f>
        <v>25517026</v>
      </c>
      <c r="M87" s="1349">
        <f>+'2.sz.függ.PMH bev-kiad'!R196</f>
        <v>0</v>
      </c>
      <c r="N87" s="1349">
        <f>+'2.sz.függ.PMH bev-kiad'!S196</f>
        <v>130000</v>
      </c>
      <c r="O87" s="1349">
        <f>+'2.sz.függ.PMH bev-kiad'!T196</f>
        <v>274067</v>
      </c>
      <c r="P87" s="1349">
        <f>+'2.sz.függ.PMH bev-kiad'!U196</f>
        <v>105000</v>
      </c>
      <c r="Q87" s="1349">
        <f>+'2.sz.függ.PMH bev-kiad'!V196</f>
        <v>0</v>
      </c>
      <c r="R87" s="1349">
        <f>+'2.sz.függ.PMH bev-kiad'!W196</f>
        <v>1963600</v>
      </c>
      <c r="S87" s="1350">
        <f>+'2.sz.függ.PMH bev-kiad'!X196</f>
        <v>104254891</v>
      </c>
    </row>
    <row r="88" spans="1:19" ht="29.25" customHeight="1" x14ac:dyDescent="0.25">
      <c r="A88" s="1096" t="s">
        <v>196</v>
      </c>
      <c r="B88" s="1097" t="s">
        <v>23</v>
      </c>
      <c r="C88" s="1349">
        <f>+'7.sz.függ.Bölcsőde'!H146</f>
        <v>5675000</v>
      </c>
      <c r="D88" s="1349">
        <f>+'7.sz.függ.Bölcsőde'!I146</f>
        <v>685750</v>
      </c>
      <c r="E88" s="1349">
        <f>+'7.sz.függ.Bölcsőde'!J146</f>
        <v>6582392</v>
      </c>
      <c r="F88" s="1349">
        <f>+'7.sz.függ.Bölcsőde'!K146</f>
        <v>0</v>
      </c>
      <c r="G88" s="1349">
        <f>+'7.sz.függ.Bölcsőde'!L146</f>
        <v>19044359</v>
      </c>
      <c r="H88" s="1349">
        <f>+'7.sz.függ.Bölcsőde'!M146</f>
        <v>3627948</v>
      </c>
      <c r="I88" s="1349">
        <f>+'7.sz.függ.Bölcsőde'!N146</f>
        <v>0</v>
      </c>
      <c r="J88" s="1349">
        <f>+'7.sz.függ.Bölcsőde'!O146</f>
        <v>0</v>
      </c>
      <c r="K88" s="1350">
        <f>+'7.sz.függ.Bölcsőde'!P146</f>
        <v>0</v>
      </c>
      <c r="L88" s="1455">
        <f>+'7.sz.függ.Bölcsőde'!Q146</f>
        <v>0</v>
      </c>
      <c r="M88" s="1349">
        <f>+'7.sz.függ.Bölcsőde'!R146</f>
        <v>0</v>
      </c>
      <c r="N88" s="1349">
        <f>+'7.sz.függ.Bölcsőde'!S146</f>
        <v>0</v>
      </c>
      <c r="O88" s="1349">
        <f>+'7.sz.függ.Bölcsőde'!T146</f>
        <v>5585442</v>
      </c>
      <c r="P88" s="1349">
        <f>+'7.sz.függ.Bölcsőde'!U146</f>
        <v>0</v>
      </c>
      <c r="Q88" s="1349">
        <f>+'7.sz.függ.Bölcsőde'!V146</f>
        <v>0</v>
      </c>
      <c r="R88" s="1349">
        <f>+'7.sz.függ.Bölcsőde'!W146</f>
        <v>0</v>
      </c>
      <c r="S88" s="1350">
        <f>+'7.sz.függ.Bölcsőde'!X146</f>
        <v>30030007</v>
      </c>
    </row>
    <row r="89" spans="1:19" ht="29.25" customHeight="1" x14ac:dyDescent="0.25">
      <c r="A89" s="1096" t="s">
        <v>197</v>
      </c>
      <c r="B89" s="1097" t="s">
        <v>87</v>
      </c>
      <c r="C89" s="1349">
        <f>+'6.sz.függ.Mese Ó.  '!H131</f>
        <v>7775000</v>
      </c>
      <c r="D89" s="1349">
        <f>+'6.sz.függ.Mese Ó.  '!I131</f>
        <v>1010750</v>
      </c>
      <c r="E89" s="1349">
        <f>+'6.sz.függ.Mese Ó.  '!J131</f>
        <v>16601520</v>
      </c>
      <c r="F89" s="1349">
        <f>+'6.sz.függ.Mese Ó.  '!K131</f>
        <v>0</v>
      </c>
      <c r="G89" s="1349">
        <f>+'6.sz.függ.Mese Ó.  '!L131</f>
        <v>5540351</v>
      </c>
      <c r="H89" s="1349">
        <f>+'6.sz.függ.Mese Ó.  '!M131</f>
        <v>3773767</v>
      </c>
      <c r="I89" s="1349">
        <f>+'6.sz.függ.Mese Ó.  '!N131</f>
        <v>0</v>
      </c>
      <c r="J89" s="1349">
        <f>+'6.sz.függ.Mese Ó.  '!O131</f>
        <v>0</v>
      </c>
      <c r="K89" s="1350">
        <f>+'6.sz.függ.Mese Ó.  '!P131</f>
        <v>0</v>
      </c>
      <c r="L89" s="1455">
        <f>+'6.sz.függ.Mese Ó.  '!Q131</f>
        <v>350000</v>
      </c>
      <c r="M89" s="1349">
        <f>+'6.sz.függ.Mese Ó.  '!R131</f>
        <v>0</v>
      </c>
      <c r="N89" s="1349">
        <f>+'6.sz.függ.Mese Ó.  '!S131</f>
        <v>0</v>
      </c>
      <c r="O89" s="1349">
        <f>+'6.sz.függ.Mese Ó.  '!T131</f>
        <v>1575801</v>
      </c>
      <c r="P89" s="1349">
        <f>+'6.sz.függ.Mese Ó.  '!U131</f>
        <v>0</v>
      </c>
      <c r="Q89" s="1349">
        <f>+'6.sz.függ.Mese Ó.  '!V131</f>
        <v>0</v>
      </c>
      <c r="R89" s="1349">
        <f>+'6.sz.függ.Mese Ó.  '!W131</f>
        <v>0</v>
      </c>
      <c r="S89" s="1350">
        <f>+'6.sz.függ.Mese Ó.  '!X131</f>
        <v>32775587</v>
      </c>
    </row>
    <row r="90" spans="1:19" ht="30.75" customHeight="1" x14ac:dyDescent="0.25">
      <c r="A90" s="1096" t="s">
        <v>198</v>
      </c>
      <c r="B90" s="1097" t="s">
        <v>24</v>
      </c>
      <c r="C90" s="1349">
        <f>+'5.sz.függ.Hétszínvirág Ó. '!H136</f>
        <v>5351850</v>
      </c>
      <c r="D90" s="1349">
        <f>+'5.sz.függ.Hétszínvirág Ó. '!I136</f>
        <v>672750</v>
      </c>
      <c r="E90" s="1349">
        <f>+'5.sz.függ.Hétszínvirág Ó. '!J136</f>
        <v>13598688</v>
      </c>
      <c r="F90" s="1349">
        <f>+'5.sz.függ.Hétszínvirág Ó. '!K136</f>
        <v>0</v>
      </c>
      <c r="G90" s="1349">
        <f>+'5.sz.függ.Hétszínvirág Ó. '!L136</f>
        <v>11118964</v>
      </c>
      <c r="H90" s="1349">
        <f>+'5.sz.függ.Hétszínvirág Ó. '!M136</f>
        <v>5601804</v>
      </c>
      <c r="I90" s="1349">
        <f>+'5.sz.függ.Hétszínvirág Ó. '!N136</f>
        <v>0</v>
      </c>
      <c r="J90" s="1349">
        <f>+'5.sz.függ.Hétszínvirág Ó. '!O136</f>
        <v>0</v>
      </c>
      <c r="K90" s="1350">
        <f>+'5.sz.függ.Hétszínvirág Ó. '!P136</f>
        <v>0</v>
      </c>
      <c r="L90" s="1455">
        <f>+'5.sz.függ.Hétszínvirág Ó. '!Q136</f>
        <v>350000</v>
      </c>
      <c r="M90" s="1349">
        <f>+'5.sz.függ.Hétszínvirág Ó. '!R136</f>
        <v>0</v>
      </c>
      <c r="N90" s="1349">
        <f>+'5.sz.függ.Hétszínvirág Ó. '!S136</f>
        <v>0</v>
      </c>
      <c r="O90" s="1349">
        <f>+'5.sz.függ.Hétszínvirág Ó. '!T136</f>
        <v>228441</v>
      </c>
      <c r="P90" s="1349">
        <f>+'5.sz.függ.Hétszínvirág Ó. '!U136</f>
        <v>0</v>
      </c>
      <c r="Q90" s="1349">
        <f>+'5.sz.függ.Hétszínvirág Ó. '!V136</f>
        <v>0</v>
      </c>
      <c r="R90" s="1349">
        <f>+'5.sz.függ.Hétszínvirág Ó. '!W136</f>
        <v>0</v>
      </c>
      <c r="S90" s="1350">
        <f>+'5.sz.függ.Hétszínvirág Ó. '!X136</f>
        <v>35765615</v>
      </c>
    </row>
    <row r="91" spans="1:19" ht="28.5" customHeight="1" x14ac:dyDescent="0.25">
      <c r="A91" s="1096" t="s">
        <v>199</v>
      </c>
      <c r="B91" s="1097" t="s">
        <v>618</v>
      </c>
      <c r="C91" s="1349">
        <f>+'9.sz.függ.Szivárvány Ó.'!H133</f>
        <v>5329237</v>
      </c>
      <c r="D91" s="1349">
        <f>+'9.sz.függ.Szivárvány Ó.'!I133</f>
        <v>607750</v>
      </c>
      <c r="E91" s="1349">
        <f>+'9.sz.függ.Szivárvány Ó.'!J133</f>
        <v>10869815</v>
      </c>
      <c r="F91" s="1349">
        <f>+'9.sz.függ.Szivárvány Ó.'!K133</f>
        <v>0</v>
      </c>
      <c r="G91" s="1349">
        <f>+'9.sz.függ.Szivárvány Ó.'!L133</f>
        <v>5378111</v>
      </c>
      <c r="H91" s="1349">
        <f>+'9.sz.függ.Szivárvány Ó.'!M133</f>
        <v>2298542</v>
      </c>
      <c r="I91" s="1349">
        <f>+'9.sz.függ.Szivárvány Ó.'!N133</f>
        <v>0</v>
      </c>
      <c r="J91" s="1349">
        <f>+'9.sz.függ.Szivárvány Ó.'!O133</f>
        <v>0</v>
      </c>
      <c r="K91" s="1350">
        <f>+'9.sz.függ.Szivárvány Ó.'!P133</f>
        <v>0</v>
      </c>
      <c r="L91" s="1455">
        <f>+'9.sz.függ.Szivárvány Ó.'!Q133</f>
        <v>0</v>
      </c>
      <c r="M91" s="1349">
        <f>+'9.sz.függ.Szivárvány Ó.'!R133</f>
        <v>0</v>
      </c>
      <c r="N91" s="1349">
        <f>+'9.sz.függ.Szivárvány Ó.'!S133</f>
        <v>0</v>
      </c>
      <c r="O91" s="1349">
        <f>+'9.sz.függ.Szivárvány Ó.'!T133</f>
        <v>255620</v>
      </c>
      <c r="P91" s="1349">
        <f>+'9.sz.függ.Szivárvány Ó.'!U133</f>
        <v>0</v>
      </c>
      <c r="Q91" s="1349">
        <f>+'9.sz.függ.Szivárvány Ó.'!V133</f>
        <v>0</v>
      </c>
      <c r="R91" s="1349">
        <f>+'9.sz.függ.Szivárvány Ó.'!W133</f>
        <v>0</v>
      </c>
      <c r="S91" s="1350">
        <f>+'9.sz.függ.Szivárvány Ó.'!X133</f>
        <v>24227835</v>
      </c>
    </row>
    <row r="92" spans="1:19" ht="27.75" customHeight="1" x14ac:dyDescent="0.25">
      <c r="A92" s="1096" t="s">
        <v>200</v>
      </c>
      <c r="B92" s="1097" t="s">
        <v>25</v>
      </c>
      <c r="C92" s="1349">
        <f>+'3.sz.függ.Ter.Gond. '!H298</f>
        <v>4821008</v>
      </c>
      <c r="D92" s="1349">
        <f>+'3.sz.függ.Ter.Gond. '!I298</f>
        <v>503750</v>
      </c>
      <c r="E92" s="1349">
        <f>+'3.sz.függ.Ter.Gond. '!J298</f>
        <v>119888367</v>
      </c>
      <c r="F92" s="1349">
        <f>+'3.sz.függ.Ter.Gond. '!K298</f>
        <v>0</v>
      </c>
      <c r="G92" s="1349">
        <f>+'3.sz.függ.Ter.Gond. '!L298</f>
        <v>63201781</v>
      </c>
      <c r="H92" s="1349">
        <f>+'3.sz.függ.Ter.Gond. '!M298</f>
        <v>-1322282</v>
      </c>
      <c r="I92" s="1349">
        <f>+'3.sz.függ.Ter.Gond. '!N298</f>
        <v>0</v>
      </c>
      <c r="J92" s="1349">
        <f>+'3.sz.függ.Ter.Gond. '!O298</f>
        <v>0</v>
      </c>
      <c r="K92" s="1350">
        <f>+'3.sz.függ.Ter.Gond. '!P298</f>
        <v>0</v>
      </c>
      <c r="L92" s="1455">
        <f>+'3.sz.függ.Ter.Gond. '!Q298</f>
        <v>22232400</v>
      </c>
      <c r="M92" s="1349">
        <f>+'3.sz.függ.Ter.Gond. '!R298</f>
        <v>0</v>
      </c>
      <c r="N92" s="1349">
        <f>+'3.sz.függ.Ter.Gond. '!S298</f>
        <v>0</v>
      </c>
      <c r="O92" s="1349">
        <f>+'3.sz.függ.Ter.Gond. '!T298</f>
        <v>74948481</v>
      </c>
      <c r="P92" s="1349">
        <f>+'3.sz.függ.Ter.Gond. '!U298</f>
        <v>5000</v>
      </c>
      <c r="Q92" s="1349">
        <f>+'3.sz.függ.Ter.Gond. '!V298</f>
        <v>0</v>
      </c>
      <c r="R92" s="1349">
        <f>+'3.sz.függ.Ter.Gond. '!W298</f>
        <v>0</v>
      </c>
      <c r="S92" s="1350">
        <f>+'3.sz.függ.Ter.Gond. '!X298</f>
        <v>89906743</v>
      </c>
    </row>
    <row r="93" spans="1:19" ht="25.5" x14ac:dyDescent="0.25">
      <c r="A93" s="1096" t="s">
        <v>201</v>
      </c>
      <c r="B93" s="1097" t="s">
        <v>1732</v>
      </c>
      <c r="C93" s="1349">
        <f>+'8.sz.függ.Gyermekjóléti  '!H93</f>
        <v>3929867</v>
      </c>
      <c r="D93" s="1349">
        <f>+'8.sz.függ.Gyermekjóléti  '!I93</f>
        <v>510883</v>
      </c>
      <c r="E93" s="1349">
        <f>+'8.sz.függ.Gyermekjóléti  '!J93</f>
        <v>3337566</v>
      </c>
      <c r="F93" s="1349">
        <f>+'8.sz.függ.Gyermekjóléti  '!K93</f>
        <v>0</v>
      </c>
      <c r="G93" s="1349">
        <f>+'8.sz.függ.Gyermekjóléti  '!L93</f>
        <v>3068287</v>
      </c>
      <c r="H93" s="1349">
        <f>+'8.sz.függ.Gyermekjóléti  '!M93</f>
        <v>0</v>
      </c>
      <c r="I93" s="1349">
        <f>+'8.sz.függ.Gyermekjóléti  '!N93</f>
        <v>0</v>
      </c>
      <c r="J93" s="1349">
        <f>+'8.sz.függ.Gyermekjóléti  '!O93</f>
        <v>0</v>
      </c>
      <c r="K93" s="1350">
        <f>+'8.sz.függ.Gyermekjóléti  '!P93</f>
        <v>0</v>
      </c>
      <c r="L93" s="1455">
        <f>+'8.sz.függ.Gyermekjóléti  '!Q93</f>
        <v>0</v>
      </c>
      <c r="M93" s="1349">
        <f>+'8.sz.függ.Gyermekjóléti  '!R93</f>
        <v>0</v>
      </c>
      <c r="N93" s="1349">
        <f>+'8.sz.függ.Gyermekjóléti  '!S93</f>
        <v>0</v>
      </c>
      <c r="O93" s="1349">
        <f>+'8.sz.függ.Gyermekjóléti  '!T93</f>
        <v>2130431</v>
      </c>
      <c r="P93" s="1349">
        <f>+'8.sz.függ.Gyermekjóléti  '!U93</f>
        <v>0</v>
      </c>
      <c r="Q93" s="1349">
        <f>+'8.sz.függ.Gyermekjóléti  '!V93</f>
        <v>0</v>
      </c>
      <c r="R93" s="1349">
        <f>+'8.sz.függ.Gyermekjóléti  '!W93</f>
        <v>0</v>
      </c>
      <c r="S93" s="1350">
        <f>+'8.sz.függ.Gyermekjóléti  '!X93</f>
        <v>8716172</v>
      </c>
    </row>
    <row r="94" spans="1:19" ht="31.5" customHeight="1" x14ac:dyDescent="0.25">
      <c r="A94" s="1096" t="s">
        <v>202</v>
      </c>
      <c r="B94" s="1097" t="s">
        <v>632</v>
      </c>
      <c r="C94" s="1349">
        <f>+'4.sz.függ.Könyvtár '!H110</f>
        <v>8059720</v>
      </c>
      <c r="D94" s="1349">
        <f>+'4.sz.függ.Könyvtár '!I110</f>
        <v>1047764</v>
      </c>
      <c r="E94" s="1349">
        <f>+'4.sz.függ.Könyvtár '!J110</f>
        <v>3025510</v>
      </c>
      <c r="F94" s="1349">
        <f>+'4.sz.függ.Könyvtár '!K110</f>
        <v>0</v>
      </c>
      <c r="G94" s="1349">
        <f>+'4.sz.függ.Könyvtár '!L110</f>
        <v>6237769</v>
      </c>
      <c r="H94" s="1349">
        <f>+'4.sz.függ.Könyvtár '!M110</f>
        <v>436507</v>
      </c>
      <c r="I94" s="1349">
        <f>+'4.sz.függ.Könyvtár '!N110</f>
        <v>0</v>
      </c>
      <c r="J94" s="1349">
        <f>+'4.sz.függ.Könyvtár '!O110</f>
        <v>0</v>
      </c>
      <c r="K94" s="1350">
        <f>+'4.sz.függ.Könyvtár '!P110</f>
        <v>0</v>
      </c>
      <c r="L94" s="1455">
        <f>+'4.sz.függ.Könyvtár '!Q110</f>
        <v>0</v>
      </c>
      <c r="M94" s="1349">
        <f>+'4.sz.függ.Könyvtár '!R110</f>
        <v>0</v>
      </c>
      <c r="N94" s="1349">
        <f>+'4.sz.függ.Könyvtár '!S110</f>
        <v>0</v>
      </c>
      <c r="O94" s="1349">
        <f>+'4.sz.függ.Könyvtár '!T110</f>
        <v>402918</v>
      </c>
      <c r="P94" s="1349">
        <f>+'4.sz.függ.Könyvtár '!U110</f>
        <v>5000</v>
      </c>
      <c r="Q94" s="1349">
        <f>+'4.sz.függ.Könyvtár '!V110</f>
        <v>295000</v>
      </c>
      <c r="R94" s="1349">
        <f>+'4.sz.függ.Könyvtár '!W110</f>
        <v>0</v>
      </c>
      <c r="S94" s="1350">
        <f>+'4.sz.függ.Könyvtár '!X110</f>
        <v>18104352</v>
      </c>
    </row>
    <row r="95" spans="1:19" ht="32.25" customHeight="1" x14ac:dyDescent="0.25">
      <c r="A95" s="1592" t="s">
        <v>203</v>
      </c>
      <c r="B95" s="1594" t="s">
        <v>619</v>
      </c>
      <c r="C95" s="1351">
        <f>+'10.sz.függ.József A.Műv.Ház'!H141</f>
        <v>9248601</v>
      </c>
      <c r="D95" s="1351">
        <f>+'10.sz.függ.József A.Műv.Ház'!I141</f>
        <v>1208870</v>
      </c>
      <c r="E95" s="1351">
        <f>+'10.sz.függ.József A.Műv.Ház'!J141</f>
        <v>4150843</v>
      </c>
      <c r="F95" s="1351">
        <f>+'10.sz.függ.József A.Műv.Ház'!K141</f>
        <v>0</v>
      </c>
      <c r="G95" s="1351">
        <f>+'10.sz.függ.József A.Műv.Ház'!L141</f>
        <v>11154291</v>
      </c>
      <c r="H95" s="1351">
        <f>+'10.sz.függ.József A.Műv.Ház'!M141</f>
        <v>1104900</v>
      </c>
      <c r="I95" s="1351">
        <f>+'10.sz.függ.József A.Műv.Ház'!N141</f>
        <v>0</v>
      </c>
      <c r="J95" s="1351">
        <f>+'10.sz.függ.József A.Műv.Ház'!O141</f>
        <v>0</v>
      </c>
      <c r="K95" s="1352">
        <f>+'10.sz.függ.József A.Műv.Ház'!P141</f>
        <v>0</v>
      </c>
      <c r="L95" s="1456">
        <f>+'10.sz.függ.József A.Műv.Ház'!Q141</f>
        <v>350000</v>
      </c>
      <c r="M95" s="1351">
        <f>+'10.sz.függ.József A.Műv.Ház'!R141</f>
        <v>0</v>
      </c>
      <c r="N95" s="1351">
        <f>+'10.sz.függ.József A.Műv.Ház'!S141</f>
        <v>0</v>
      </c>
      <c r="O95" s="1351">
        <f>+'10.sz.függ.József A.Műv.Ház'!T141</f>
        <v>2009764</v>
      </c>
      <c r="P95" s="1351">
        <f>+'10.sz.függ.József A.Műv.Ház'!U141</f>
        <v>0</v>
      </c>
      <c r="Q95" s="1351">
        <f>+'10.sz.függ.József A.Műv.Ház'!V141</f>
        <v>0</v>
      </c>
      <c r="R95" s="1351">
        <f>+'10.sz.függ.József A.Műv.Ház'!W141</f>
        <v>0</v>
      </c>
      <c r="S95" s="1352">
        <f>+'10.sz.függ.József A.Műv.Ház'!X141</f>
        <v>24507741</v>
      </c>
    </row>
    <row r="96" spans="1:19" ht="20.25" customHeight="1" x14ac:dyDescent="0.25">
      <c r="A96" s="2128" t="s">
        <v>1204</v>
      </c>
      <c r="B96" s="2129"/>
      <c r="C96" s="1098">
        <f t="shared" ref="C96:H96" si="5">SUM(C86:C95)</f>
        <v>161783183</v>
      </c>
      <c r="D96" s="1098">
        <f t="shared" si="5"/>
        <v>20628160</v>
      </c>
      <c r="E96" s="1098">
        <f t="shared" si="5"/>
        <v>732005425</v>
      </c>
      <c r="F96" s="1098">
        <f t="shared" si="5"/>
        <v>3819430</v>
      </c>
      <c r="G96" s="1098">
        <f t="shared" si="5"/>
        <v>1187453099</v>
      </c>
      <c r="H96" s="1098">
        <f t="shared" si="5"/>
        <v>222995495</v>
      </c>
      <c r="I96" s="1098">
        <f t="shared" ref="I96:S96" si="6">SUM(I86:I95)</f>
        <v>-52478809</v>
      </c>
      <c r="J96" s="1098">
        <f t="shared" si="6"/>
        <v>10451261</v>
      </c>
      <c r="K96" s="1099">
        <f t="shared" si="6"/>
        <v>504024765</v>
      </c>
      <c r="L96" s="1100">
        <f t="shared" si="6"/>
        <v>868452645</v>
      </c>
      <c r="M96" s="1098">
        <f t="shared" si="6"/>
        <v>54255209</v>
      </c>
      <c r="N96" s="1098">
        <f t="shared" si="6"/>
        <v>850165322</v>
      </c>
      <c r="O96" s="1098">
        <f t="shared" si="6"/>
        <v>147005709</v>
      </c>
      <c r="P96" s="1098">
        <f t="shared" si="6"/>
        <v>21899594</v>
      </c>
      <c r="Q96" s="1098">
        <f t="shared" si="6"/>
        <v>295000</v>
      </c>
      <c r="R96" s="1098">
        <f t="shared" si="6"/>
        <v>2954350</v>
      </c>
      <c r="S96" s="1099">
        <f t="shared" si="6"/>
        <v>845654180</v>
      </c>
    </row>
    <row r="97" spans="1:19" x14ac:dyDescent="0.25">
      <c r="A97" s="937"/>
      <c r="B97" s="937"/>
      <c r="C97" s="966"/>
      <c r="D97" s="966"/>
      <c r="E97" s="966"/>
      <c r="F97" s="966"/>
      <c r="G97" s="966"/>
      <c r="H97" s="966"/>
      <c r="I97" s="966"/>
      <c r="J97" s="966"/>
      <c r="K97" s="966"/>
      <c r="L97" s="966"/>
      <c r="M97" s="966"/>
      <c r="N97" s="966"/>
      <c r="O97" s="966"/>
      <c r="P97" s="966"/>
      <c r="Q97" s="966"/>
      <c r="R97" s="966"/>
      <c r="S97" s="966"/>
    </row>
    <row r="98" spans="1:19" x14ac:dyDescent="0.25">
      <c r="A98" s="937"/>
      <c r="B98" s="937"/>
      <c r="C98" s="937"/>
      <c r="D98" s="937"/>
      <c r="E98" s="937"/>
      <c r="F98" s="937"/>
      <c r="G98" s="937"/>
      <c r="H98" s="937"/>
      <c r="I98" s="937"/>
      <c r="J98" s="937"/>
      <c r="K98" s="937"/>
      <c r="L98" s="937"/>
      <c r="M98" s="937"/>
      <c r="N98" s="937"/>
      <c r="O98" s="937"/>
      <c r="P98" s="937"/>
      <c r="Q98" s="937"/>
      <c r="R98" s="937"/>
      <c r="S98" s="937"/>
    </row>
    <row r="99" spans="1:19" ht="23.25" customHeight="1" x14ac:dyDescent="0.25">
      <c r="A99" s="937"/>
      <c r="B99" s="937"/>
      <c r="C99" s="937"/>
      <c r="D99" s="2001" t="s">
        <v>1664</v>
      </c>
      <c r="E99" s="2001"/>
      <c r="F99" s="2001"/>
      <c r="G99" s="2001">
        <v>14255990475</v>
      </c>
      <c r="H99" s="2001"/>
      <c r="I99" s="937"/>
      <c r="J99" s="937"/>
      <c r="K99" s="937"/>
      <c r="L99" s="937"/>
      <c r="M99" s="2001" t="s">
        <v>1665</v>
      </c>
      <c r="N99" s="2001"/>
      <c r="O99" s="2001"/>
      <c r="P99" s="2001">
        <v>14255990475</v>
      </c>
      <c r="Q99" s="2001"/>
      <c r="R99" s="937"/>
      <c r="S99" s="937"/>
    </row>
    <row r="100" spans="1:19" ht="22.5" customHeight="1" x14ac:dyDescent="0.25">
      <c r="A100" s="937"/>
      <c r="B100" s="937"/>
      <c r="C100" s="937"/>
      <c r="D100" s="2001" t="s">
        <v>1666</v>
      </c>
      <c r="E100" s="2001"/>
      <c r="F100" s="2001"/>
      <c r="G100" s="2001">
        <f>SUM(C96:K96)</f>
        <v>2790682009</v>
      </c>
      <c r="H100" s="2001"/>
      <c r="I100" s="966"/>
      <c r="J100" s="937"/>
      <c r="K100" s="937"/>
      <c r="L100" s="937"/>
      <c r="M100" s="2001" t="s">
        <v>1666</v>
      </c>
      <c r="N100" s="2001"/>
      <c r="O100" s="2001"/>
      <c r="P100" s="2001">
        <f>SUM(L96:S96)</f>
        <v>2790682009</v>
      </c>
      <c r="Q100" s="2001"/>
      <c r="R100" s="937"/>
      <c r="S100" s="937"/>
    </row>
    <row r="101" spans="1:19" ht="23.25" customHeight="1" x14ac:dyDescent="0.25">
      <c r="A101" s="937"/>
      <c r="B101" s="937"/>
      <c r="C101" s="937"/>
      <c r="D101" s="2001" t="s">
        <v>1512</v>
      </c>
      <c r="E101" s="2001"/>
      <c r="F101" s="2001"/>
      <c r="G101" s="2001">
        <f>+G99+G100</f>
        <v>17046672484</v>
      </c>
      <c r="H101" s="2001"/>
      <c r="I101" s="937"/>
      <c r="J101" s="937"/>
      <c r="K101" s="937"/>
      <c r="L101" s="937"/>
      <c r="M101" s="2001" t="s">
        <v>1512</v>
      </c>
      <c r="N101" s="2001"/>
      <c r="O101" s="2001"/>
      <c r="P101" s="2001">
        <f>+P99+P100</f>
        <v>17046672484</v>
      </c>
      <c r="Q101" s="2001"/>
      <c r="R101" s="937"/>
      <c r="S101" s="937"/>
    </row>
    <row r="102" spans="1:19" x14ac:dyDescent="0.25">
      <c r="A102" s="937"/>
      <c r="B102" s="937"/>
      <c r="C102" s="937"/>
      <c r="D102" s="937"/>
      <c r="E102" s="937"/>
      <c r="F102" s="937"/>
      <c r="G102" s="937"/>
      <c r="H102" s="937"/>
      <c r="I102" s="937"/>
      <c r="J102" s="937"/>
      <c r="K102" s="937"/>
      <c r="L102" s="937"/>
      <c r="M102" s="937"/>
      <c r="N102" s="937"/>
      <c r="O102" s="937"/>
      <c r="P102" s="937"/>
      <c r="Q102" s="937"/>
      <c r="R102" s="937"/>
      <c r="S102" s="937"/>
    </row>
    <row r="103" spans="1:19" x14ac:dyDescent="0.25">
      <c r="A103" s="937"/>
      <c r="B103" s="937"/>
      <c r="C103" s="937"/>
      <c r="D103" s="937"/>
      <c r="E103" s="937"/>
      <c r="F103" s="937"/>
      <c r="G103" s="937"/>
      <c r="H103" s="937"/>
      <c r="I103" s="937"/>
      <c r="J103" s="937"/>
      <c r="K103" s="937"/>
      <c r="L103" s="937"/>
      <c r="M103" s="937"/>
      <c r="N103" s="937"/>
      <c r="O103" s="937"/>
      <c r="P103" s="937"/>
      <c r="Q103" s="937"/>
      <c r="R103" s="937"/>
      <c r="S103" s="937"/>
    </row>
    <row r="104" spans="1:19" x14ac:dyDescent="0.25">
      <c r="A104" s="937"/>
      <c r="B104" s="937"/>
      <c r="C104" s="937"/>
      <c r="D104" s="937"/>
      <c r="E104" s="937"/>
      <c r="F104" s="937"/>
      <c r="G104" s="937"/>
      <c r="H104" s="937"/>
      <c r="I104" s="937"/>
      <c r="J104" s="937"/>
      <c r="K104" s="937"/>
      <c r="L104" s="937"/>
      <c r="M104" s="937"/>
      <c r="N104" s="937"/>
      <c r="O104" s="937"/>
      <c r="P104" s="937"/>
      <c r="Q104" s="937"/>
      <c r="R104" s="937"/>
      <c r="S104" s="937"/>
    </row>
    <row r="105" spans="1:19" x14ac:dyDescent="0.25">
      <c r="A105" s="937"/>
      <c r="B105" s="937"/>
      <c r="C105" s="966">
        <f t="shared" ref="C105:K105" si="7">+C96-C70</f>
        <v>30960024</v>
      </c>
      <c r="D105" s="966">
        <f t="shared" si="7"/>
        <v>3698736</v>
      </c>
      <c r="E105" s="966">
        <f t="shared" si="7"/>
        <v>364929117</v>
      </c>
      <c r="F105" s="966">
        <f t="shared" si="7"/>
        <v>3888240</v>
      </c>
      <c r="G105" s="966">
        <f t="shared" si="7"/>
        <v>259162755</v>
      </c>
      <c r="H105" s="966">
        <f t="shared" si="7"/>
        <v>-20352214</v>
      </c>
      <c r="I105" s="966">
        <f t="shared" si="7"/>
        <v>-71684036</v>
      </c>
      <c r="J105" s="966">
        <f t="shared" si="7"/>
        <v>488960</v>
      </c>
      <c r="K105" s="966">
        <f t="shared" si="7"/>
        <v>167283541</v>
      </c>
      <c r="L105" s="966">
        <f>+L96-L70</f>
        <v>189515531</v>
      </c>
      <c r="M105" s="966">
        <f t="shared" ref="M105:S105" si="8">+M96-M70</f>
        <v>0</v>
      </c>
      <c r="N105" s="966">
        <f t="shared" si="8"/>
        <v>225917979</v>
      </c>
      <c r="O105" s="966">
        <f t="shared" si="8"/>
        <v>61801960</v>
      </c>
      <c r="P105" s="966">
        <f t="shared" si="8"/>
        <v>21819594</v>
      </c>
      <c r="Q105" s="966">
        <f t="shared" si="8"/>
        <v>0</v>
      </c>
      <c r="R105" s="966">
        <f t="shared" si="8"/>
        <v>0</v>
      </c>
      <c r="S105" s="966">
        <f t="shared" si="8"/>
        <v>239320059</v>
      </c>
    </row>
    <row r="106" spans="1:19" x14ac:dyDescent="0.25">
      <c r="A106" s="937"/>
      <c r="B106" s="937"/>
      <c r="C106" s="937"/>
      <c r="D106" s="937"/>
      <c r="E106" s="937"/>
      <c r="F106" s="937"/>
      <c r="G106" s="937"/>
      <c r="H106" s="937"/>
      <c r="I106" s="937"/>
      <c r="J106" s="937"/>
      <c r="K106" s="937"/>
      <c r="L106" s="937"/>
      <c r="M106" s="937"/>
      <c r="N106" s="937"/>
      <c r="O106" s="937"/>
      <c r="P106" s="937"/>
      <c r="Q106" s="937"/>
      <c r="R106" s="937"/>
      <c r="S106" s="937"/>
    </row>
    <row r="107" spans="1:19" x14ac:dyDescent="0.25">
      <c r="A107" s="937"/>
      <c r="B107" s="937"/>
      <c r="C107" s="937"/>
      <c r="D107" s="937"/>
      <c r="E107" s="937"/>
      <c r="F107" s="937"/>
      <c r="G107" s="937"/>
      <c r="H107" s="966">
        <f>+G100-G74</f>
        <v>738375123</v>
      </c>
      <c r="I107" s="937"/>
      <c r="J107" s="937"/>
      <c r="K107" s="937"/>
      <c r="L107" s="937"/>
      <c r="M107" s="937"/>
      <c r="N107" s="937"/>
      <c r="O107" s="937"/>
      <c r="P107" s="937"/>
      <c r="Q107" s="937"/>
      <c r="R107" s="937"/>
      <c r="S107" s="937"/>
    </row>
    <row r="108" spans="1:19" x14ac:dyDescent="0.25">
      <c r="A108" s="937"/>
      <c r="B108" s="937"/>
      <c r="C108" s="937"/>
      <c r="D108" s="937"/>
      <c r="E108" s="937"/>
      <c r="F108" s="937"/>
      <c r="G108" s="937"/>
      <c r="H108" s="937"/>
      <c r="I108" s="937"/>
      <c r="J108" s="937"/>
      <c r="K108" s="937"/>
      <c r="L108" s="937"/>
      <c r="M108" s="937"/>
      <c r="N108" s="937"/>
      <c r="O108" s="937"/>
      <c r="P108" s="937"/>
      <c r="Q108" s="937"/>
      <c r="R108" s="937"/>
      <c r="S108" s="937"/>
    </row>
    <row r="109" spans="1:19" x14ac:dyDescent="0.25">
      <c r="A109" s="937"/>
      <c r="B109" s="937"/>
      <c r="C109" s="937"/>
      <c r="D109" s="937"/>
      <c r="E109" s="937"/>
      <c r="F109" s="937"/>
      <c r="G109" s="937"/>
      <c r="H109" s="937"/>
      <c r="I109" s="937"/>
      <c r="J109" s="937"/>
      <c r="K109" s="937"/>
      <c r="L109" s="937"/>
      <c r="M109" s="937"/>
      <c r="N109" s="937"/>
      <c r="O109" s="937"/>
      <c r="P109" s="937"/>
      <c r="Q109" s="937"/>
      <c r="R109" s="937"/>
      <c r="S109" s="937"/>
    </row>
    <row r="110" spans="1:19" x14ac:dyDescent="0.25">
      <c r="A110" s="937"/>
      <c r="B110" s="937"/>
      <c r="C110" s="937"/>
      <c r="D110" s="937"/>
      <c r="E110" s="937"/>
      <c r="F110" s="937"/>
      <c r="G110" s="937"/>
      <c r="H110" s="937"/>
      <c r="I110" s="937"/>
      <c r="J110" s="937"/>
      <c r="K110" s="937"/>
      <c r="L110" s="937"/>
      <c r="M110" s="937"/>
      <c r="N110" s="937"/>
      <c r="O110" s="937"/>
      <c r="P110" s="937"/>
      <c r="Q110" s="937"/>
      <c r="R110" s="937"/>
      <c r="S110" s="937"/>
    </row>
    <row r="111" spans="1:19" x14ac:dyDescent="0.25">
      <c r="A111" s="937"/>
      <c r="B111" s="937"/>
      <c r="C111" s="937"/>
      <c r="D111" s="937"/>
      <c r="E111" s="937"/>
      <c r="F111" s="937"/>
      <c r="G111" s="937"/>
      <c r="H111" s="937"/>
      <c r="I111" s="937"/>
      <c r="J111" s="937"/>
      <c r="K111" s="937"/>
      <c r="L111" s="937"/>
      <c r="M111" s="937"/>
      <c r="N111" s="937"/>
      <c r="O111" s="937"/>
      <c r="P111" s="937"/>
      <c r="Q111" s="937"/>
      <c r="R111" s="937"/>
      <c r="S111" s="937"/>
    </row>
    <row r="112" spans="1:19" x14ac:dyDescent="0.25">
      <c r="A112" s="937"/>
      <c r="B112" s="937"/>
      <c r="C112" s="937"/>
      <c r="D112" s="937"/>
      <c r="E112" s="937"/>
      <c r="F112" s="937"/>
      <c r="G112" s="937"/>
      <c r="H112" s="937"/>
      <c r="I112" s="937"/>
      <c r="J112" s="937"/>
      <c r="K112" s="937"/>
      <c r="L112" s="937"/>
      <c r="M112" s="937"/>
      <c r="N112" s="937"/>
      <c r="O112" s="937"/>
      <c r="P112" s="937"/>
      <c r="Q112" s="937"/>
      <c r="R112" s="937"/>
      <c r="S112" s="937"/>
    </row>
    <row r="113" spans="1:19" x14ac:dyDescent="0.25">
      <c r="A113" s="937"/>
      <c r="B113" s="937"/>
      <c r="C113" s="937"/>
      <c r="D113" s="937"/>
      <c r="E113" s="937"/>
      <c r="F113" s="937"/>
      <c r="G113" s="937"/>
      <c r="H113" s="937"/>
      <c r="I113" s="937"/>
      <c r="J113" s="937"/>
      <c r="K113" s="937"/>
      <c r="L113" s="937"/>
      <c r="M113" s="937"/>
      <c r="N113" s="937"/>
      <c r="O113" s="937"/>
      <c r="P113" s="937"/>
      <c r="Q113" s="937"/>
      <c r="R113" s="937"/>
      <c r="S113" s="937"/>
    </row>
    <row r="114" spans="1:19" x14ac:dyDescent="0.25">
      <c r="A114" s="937"/>
      <c r="B114" s="937"/>
      <c r="C114" s="937"/>
      <c r="D114" s="937"/>
      <c r="E114" s="937"/>
      <c r="F114" s="937"/>
      <c r="G114" s="937"/>
      <c r="H114" s="937"/>
      <c r="I114" s="937"/>
      <c r="J114" s="937"/>
      <c r="K114" s="937"/>
      <c r="L114" s="937"/>
      <c r="M114" s="937"/>
      <c r="N114" s="937"/>
      <c r="O114" s="937"/>
      <c r="P114" s="937"/>
      <c r="Q114" s="937"/>
      <c r="R114" s="937"/>
      <c r="S114" s="937"/>
    </row>
    <row r="115" spans="1:19" x14ac:dyDescent="0.25">
      <c r="A115" s="937"/>
      <c r="B115" s="937"/>
      <c r="C115" s="937"/>
      <c r="D115" s="937"/>
      <c r="E115" s="937"/>
      <c r="F115" s="937"/>
      <c r="G115" s="937"/>
      <c r="H115" s="937"/>
      <c r="I115" s="937"/>
      <c r="J115" s="937"/>
      <c r="K115" s="937"/>
      <c r="L115" s="937"/>
      <c r="M115" s="937"/>
      <c r="N115" s="937"/>
      <c r="O115" s="937"/>
      <c r="P115" s="937"/>
      <c r="Q115" s="937"/>
      <c r="R115" s="937"/>
      <c r="S115" s="937"/>
    </row>
    <row r="116" spans="1:19" x14ac:dyDescent="0.25">
      <c r="A116" s="937"/>
      <c r="B116" s="937"/>
      <c r="C116" s="937"/>
      <c r="D116" s="937"/>
      <c r="E116" s="937"/>
      <c r="F116" s="937"/>
      <c r="G116" s="937"/>
      <c r="H116" s="937"/>
      <c r="I116" s="937"/>
      <c r="J116" s="937"/>
      <c r="K116" s="937"/>
      <c r="L116" s="937"/>
      <c r="M116" s="937"/>
      <c r="N116" s="937"/>
      <c r="O116" s="937"/>
      <c r="P116" s="937"/>
      <c r="Q116" s="937"/>
      <c r="R116" s="937"/>
      <c r="S116" s="937"/>
    </row>
    <row r="117" spans="1:19" x14ac:dyDescent="0.25">
      <c r="L117" s="1092"/>
    </row>
    <row r="118" spans="1:19" x14ac:dyDescent="0.25">
      <c r="L118" s="1092"/>
    </row>
    <row r="119" spans="1:19" x14ac:dyDescent="0.25">
      <c r="L119" s="1092"/>
    </row>
    <row r="120" spans="1:19" x14ac:dyDescent="0.25">
      <c r="L120" s="1092"/>
    </row>
    <row r="121" spans="1:19" x14ac:dyDescent="0.25">
      <c r="L121" s="1092"/>
    </row>
    <row r="122" spans="1:19" x14ac:dyDescent="0.25">
      <c r="L122" s="1092"/>
    </row>
    <row r="123" spans="1:19" x14ac:dyDescent="0.25">
      <c r="L123" s="1092"/>
    </row>
    <row r="124" spans="1:19" x14ac:dyDescent="0.25">
      <c r="L124" s="1092"/>
    </row>
    <row r="125" spans="1:19" x14ac:dyDescent="0.25">
      <c r="L125" s="1092"/>
    </row>
    <row r="126" spans="1:19" x14ac:dyDescent="0.25">
      <c r="L126" s="1092"/>
    </row>
    <row r="127" spans="1:19" x14ac:dyDescent="0.25">
      <c r="L127" s="1092"/>
    </row>
    <row r="128" spans="1:19" x14ac:dyDescent="0.25">
      <c r="L128" s="1092"/>
    </row>
    <row r="129" spans="12:12" x14ac:dyDescent="0.25">
      <c r="L129" s="1092"/>
    </row>
    <row r="130" spans="12:12" x14ac:dyDescent="0.25">
      <c r="L130" s="1092"/>
    </row>
    <row r="131" spans="12:12" x14ac:dyDescent="0.25">
      <c r="L131" s="1092"/>
    </row>
    <row r="132" spans="12:12" x14ac:dyDescent="0.25">
      <c r="L132" s="1092"/>
    </row>
    <row r="133" spans="12:12" x14ac:dyDescent="0.25">
      <c r="L133" s="1092"/>
    </row>
    <row r="134" spans="12:12" x14ac:dyDescent="0.25">
      <c r="L134" s="1092"/>
    </row>
    <row r="135" spans="12:12" x14ac:dyDescent="0.25">
      <c r="L135" s="1092"/>
    </row>
    <row r="136" spans="12:12" x14ac:dyDescent="0.25">
      <c r="L136" s="1092"/>
    </row>
    <row r="137" spans="12:12" x14ac:dyDescent="0.25">
      <c r="L137" s="1092"/>
    </row>
    <row r="138" spans="12:12" x14ac:dyDescent="0.25">
      <c r="L138" s="1092"/>
    </row>
    <row r="139" spans="12:12" x14ac:dyDescent="0.25">
      <c r="L139" s="1092"/>
    </row>
    <row r="140" spans="12:12" x14ac:dyDescent="0.25">
      <c r="L140" s="1092"/>
    </row>
    <row r="141" spans="12:12" x14ac:dyDescent="0.25">
      <c r="L141" s="1092"/>
    </row>
    <row r="142" spans="12:12" x14ac:dyDescent="0.25">
      <c r="L142" s="1092"/>
    </row>
    <row r="143" spans="12:12" x14ac:dyDescent="0.25">
      <c r="L143" s="1092"/>
    </row>
    <row r="144" spans="12:12" x14ac:dyDescent="0.25">
      <c r="L144" s="1092"/>
    </row>
    <row r="145" spans="12:12" x14ac:dyDescent="0.25">
      <c r="L145" s="1092"/>
    </row>
    <row r="146" spans="12:12" x14ac:dyDescent="0.25">
      <c r="L146" s="1092"/>
    </row>
    <row r="147" spans="12:12" x14ac:dyDescent="0.25">
      <c r="L147" s="1092"/>
    </row>
    <row r="148" spans="12:12" x14ac:dyDescent="0.25">
      <c r="L148" s="1092"/>
    </row>
    <row r="149" spans="12:12" x14ac:dyDescent="0.25">
      <c r="L149" s="1092"/>
    </row>
    <row r="150" spans="12:12" x14ac:dyDescent="0.25">
      <c r="L150" s="1092"/>
    </row>
    <row r="151" spans="12:12" x14ac:dyDescent="0.25">
      <c r="L151" s="1092"/>
    </row>
    <row r="152" spans="12:12" x14ac:dyDescent="0.25">
      <c r="L152" s="1092"/>
    </row>
    <row r="153" spans="12:12" x14ac:dyDescent="0.25">
      <c r="L153" s="1092"/>
    </row>
    <row r="154" spans="12:12" x14ac:dyDescent="0.25">
      <c r="L154" s="1092"/>
    </row>
    <row r="155" spans="12:12" x14ac:dyDescent="0.25">
      <c r="L155" s="1092"/>
    </row>
    <row r="156" spans="12:12" x14ac:dyDescent="0.25">
      <c r="L156" s="1092"/>
    </row>
    <row r="157" spans="12:12" x14ac:dyDescent="0.25">
      <c r="L157" s="1092"/>
    </row>
    <row r="158" spans="12:12" x14ac:dyDescent="0.25">
      <c r="L158" s="1092"/>
    </row>
    <row r="159" spans="12:12" x14ac:dyDescent="0.25">
      <c r="L159" s="1092"/>
    </row>
    <row r="160" spans="12:12" x14ac:dyDescent="0.25">
      <c r="L160" s="1092"/>
    </row>
    <row r="161" spans="12:12" x14ac:dyDescent="0.25">
      <c r="L161" s="1092"/>
    </row>
    <row r="162" spans="12:12" x14ac:dyDescent="0.25">
      <c r="L162" s="1092"/>
    </row>
    <row r="163" spans="12:12" x14ac:dyDescent="0.25">
      <c r="L163" s="1092"/>
    </row>
    <row r="164" spans="12:12" x14ac:dyDescent="0.25">
      <c r="L164" s="1092"/>
    </row>
    <row r="165" spans="12:12" x14ac:dyDescent="0.25">
      <c r="L165" s="1092"/>
    </row>
    <row r="166" spans="12:12" x14ac:dyDescent="0.25">
      <c r="L166" s="1092"/>
    </row>
    <row r="167" spans="12:12" x14ac:dyDescent="0.25">
      <c r="L167" s="1092"/>
    </row>
    <row r="168" spans="12:12" x14ac:dyDescent="0.25">
      <c r="L168" s="1092"/>
    </row>
    <row r="169" spans="12:12" x14ac:dyDescent="0.25">
      <c r="L169" s="1092"/>
    </row>
    <row r="170" spans="12:12" x14ac:dyDescent="0.25">
      <c r="L170" s="1092"/>
    </row>
    <row r="171" spans="12:12" x14ac:dyDescent="0.25">
      <c r="L171" s="1092"/>
    </row>
    <row r="172" spans="12:12" x14ac:dyDescent="0.25">
      <c r="L172" s="1092"/>
    </row>
    <row r="173" spans="12:12" x14ac:dyDescent="0.25">
      <c r="L173" s="1092"/>
    </row>
    <row r="174" spans="12:12" x14ac:dyDescent="0.25">
      <c r="L174" s="1092"/>
    </row>
    <row r="175" spans="12:12" x14ac:dyDescent="0.25">
      <c r="L175" s="1092"/>
    </row>
    <row r="176" spans="12:12" x14ac:dyDescent="0.25">
      <c r="L176" s="1092"/>
    </row>
    <row r="177" spans="12:12" x14ac:dyDescent="0.25">
      <c r="L177" s="1092"/>
    </row>
    <row r="178" spans="12:12" x14ac:dyDescent="0.25">
      <c r="L178" s="1092"/>
    </row>
    <row r="179" spans="12:12" x14ac:dyDescent="0.25">
      <c r="L179" s="1092"/>
    </row>
    <row r="180" spans="12:12" x14ac:dyDescent="0.25">
      <c r="L180" s="1092"/>
    </row>
    <row r="181" spans="12:12" x14ac:dyDescent="0.25">
      <c r="L181" s="1092"/>
    </row>
    <row r="182" spans="12:12" x14ac:dyDescent="0.25">
      <c r="L182" s="1092"/>
    </row>
    <row r="183" spans="12:12" x14ac:dyDescent="0.25">
      <c r="L183" s="1092"/>
    </row>
    <row r="184" spans="12:12" x14ac:dyDescent="0.25">
      <c r="L184" s="1092"/>
    </row>
    <row r="185" spans="12:12" x14ac:dyDescent="0.25">
      <c r="L185" s="1092"/>
    </row>
    <row r="186" spans="12:12" x14ac:dyDescent="0.25">
      <c r="L186" s="1092"/>
    </row>
    <row r="187" spans="12:12" x14ac:dyDescent="0.25">
      <c r="L187" s="1092"/>
    </row>
    <row r="188" spans="12:12" x14ac:dyDescent="0.25">
      <c r="L188" s="1092"/>
    </row>
    <row r="189" spans="12:12" x14ac:dyDescent="0.25">
      <c r="L189" s="1092"/>
    </row>
    <row r="190" spans="12:12" x14ac:dyDescent="0.25">
      <c r="L190" s="1092"/>
    </row>
    <row r="191" spans="12:12" x14ac:dyDescent="0.25">
      <c r="L191" s="1092"/>
    </row>
    <row r="192" spans="12:12" x14ac:dyDescent="0.25">
      <c r="L192" s="1092"/>
    </row>
    <row r="193" spans="12:12" x14ac:dyDescent="0.25">
      <c r="L193" s="1092"/>
    </row>
    <row r="194" spans="12:12" x14ac:dyDescent="0.25">
      <c r="L194" s="1092"/>
    </row>
    <row r="195" spans="12:12" x14ac:dyDescent="0.25">
      <c r="L195" s="1092"/>
    </row>
    <row r="196" spans="12:12" x14ac:dyDescent="0.25">
      <c r="L196" s="1092"/>
    </row>
    <row r="197" spans="12:12" x14ac:dyDescent="0.25">
      <c r="L197" s="1092"/>
    </row>
    <row r="198" spans="12:12" x14ac:dyDescent="0.25">
      <c r="L198" s="1092"/>
    </row>
    <row r="199" spans="12:12" x14ac:dyDescent="0.25">
      <c r="L199" s="1092"/>
    </row>
    <row r="200" spans="12:12" x14ac:dyDescent="0.25">
      <c r="L200" s="1092"/>
    </row>
    <row r="201" spans="12:12" x14ac:dyDescent="0.25">
      <c r="L201" s="1092"/>
    </row>
    <row r="202" spans="12:12" x14ac:dyDescent="0.25">
      <c r="L202" s="1092"/>
    </row>
    <row r="203" spans="12:12" x14ac:dyDescent="0.25">
      <c r="L203" s="1092"/>
    </row>
    <row r="204" spans="12:12" x14ac:dyDescent="0.25">
      <c r="L204" s="1092"/>
    </row>
    <row r="205" spans="12:12" x14ac:dyDescent="0.25">
      <c r="L205" s="1092"/>
    </row>
    <row r="206" spans="12:12" x14ac:dyDescent="0.25">
      <c r="L206" s="1092"/>
    </row>
    <row r="207" spans="12:12" x14ac:dyDescent="0.25">
      <c r="L207" s="1092"/>
    </row>
    <row r="208" spans="12:12" x14ac:dyDescent="0.25">
      <c r="L208" s="1092"/>
    </row>
    <row r="209" spans="12:12" x14ac:dyDescent="0.25">
      <c r="L209" s="1092"/>
    </row>
    <row r="210" spans="12:12" x14ac:dyDescent="0.25">
      <c r="L210" s="1092"/>
    </row>
    <row r="211" spans="12:12" x14ac:dyDescent="0.25">
      <c r="L211" s="1092"/>
    </row>
    <row r="212" spans="12:12" x14ac:dyDescent="0.25">
      <c r="L212" s="1092"/>
    </row>
    <row r="213" spans="12:12" x14ac:dyDescent="0.25">
      <c r="L213" s="1092"/>
    </row>
    <row r="214" spans="12:12" x14ac:dyDescent="0.25">
      <c r="L214" s="1092"/>
    </row>
    <row r="215" spans="12:12" x14ac:dyDescent="0.25">
      <c r="L215" s="1092"/>
    </row>
    <row r="216" spans="12:12" x14ac:dyDescent="0.25">
      <c r="L216" s="1092"/>
    </row>
    <row r="217" spans="12:12" x14ac:dyDescent="0.25">
      <c r="L217" s="1092"/>
    </row>
    <row r="218" spans="12:12" x14ac:dyDescent="0.25">
      <c r="L218" s="1092"/>
    </row>
    <row r="219" spans="12:12" x14ac:dyDescent="0.25">
      <c r="L219" s="1092"/>
    </row>
    <row r="220" spans="12:12" x14ac:dyDescent="0.25">
      <c r="L220" s="1092"/>
    </row>
    <row r="221" spans="12:12" x14ac:dyDescent="0.25">
      <c r="L221" s="1092"/>
    </row>
    <row r="222" spans="12:12" x14ac:dyDescent="0.25">
      <c r="L222" s="1092"/>
    </row>
    <row r="223" spans="12:12" x14ac:dyDescent="0.25">
      <c r="L223" s="1092"/>
    </row>
    <row r="224" spans="12:12" x14ac:dyDescent="0.25">
      <c r="L224" s="1092"/>
    </row>
    <row r="225" spans="12:12" x14ac:dyDescent="0.25">
      <c r="L225" s="1092"/>
    </row>
    <row r="226" spans="12:12" x14ac:dyDescent="0.25">
      <c r="L226" s="1092"/>
    </row>
    <row r="227" spans="12:12" x14ac:dyDescent="0.25">
      <c r="L227" s="1092"/>
    </row>
    <row r="228" spans="12:12" x14ac:dyDescent="0.25">
      <c r="L228" s="1092"/>
    </row>
    <row r="229" spans="12:12" x14ac:dyDescent="0.25">
      <c r="L229" s="1092"/>
    </row>
    <row r="230" spans="12:12" x14ac:dyDescent="0.25">
      <c r="L230" s="1092"/>
    </row>
    <row r="231" spans="12:12" x14ac:dyDescent="0.25">
      <c r="L231" s="1092"/>
    </row>
    <row r="232" spans="12:12" x14ac:dyDescent="0.25">
      <c r="L232" s="1092"/>
    </row>
    <row r="233" spans="12:12" x14ac:dyDescent="0.25">
      <c r="L233" s="1092"/>
    </row>
    <row r="234" spans="12:12" x14ac:dyDescent="0.25">
      <c r="L234" s="1092"/>
    </row>
    <row r="235" spans="12:12" x14ac:dyDescent="0.25">
      <c r="L235" s="1092"/>
    </row>
    <row r="236" spans="12:12" x14ac:dyDescent="0.25">
      <c r="L236" s="1092"/>
    </row>
    <row r="237" spans="12:12" x14ac:dyDescent="0.25">
      <c r="L237" s="1092"/>
    </row>
    <row r="238" spans="12:12" x14ac:dyDescent="0.25">
      <c r="L238" s="1092"/>
    </row>
    <row r="239" spans="12:12" x14ac:dyDescent="0.25">
      <c r="L239" s="1092"/>
    </row>
    <row r="240" spans="12:12" x14ac:dyDescent="0.25">
      <c r="L240" s="1092"/>
    </row>
    <row r="241" spans="12:12" x14ac:dyDescent="0.25">
      <c r="L241" s="1092"/>
    </row>
    <row r="242" spans="12:12" x14ac:dyDescent="0.25">
      <c r="L242" s="1092"/>
    </row>
    <row r="243" spans="12:12" x14ac:dyDescent="0.25">
      <c r="L243" s="1092"/>
    </row>
    <row r="244" spans="12:12" x14ac:dyDescent="0.25">
      <c r="L244" s="1092"/>
    </row>
    <row r="245" spans="12:12" x14ac:dyDescent="0.25">
      <c r="L245" s="1092"/>
    </row>
    <row r="246" spans="12:12" x14ac:dyDescent="0.25">
      <c r="L246" s="1092"/>
    </row>
    <row r="247" spans="12:12" x14ac:dyDescent="0.25">
      <c r="L247" s="1092"/>
    </row>
    <row r="248" spans="12:12" x14ac:dyDescent="0.25">
      <c r="L248" s="1092"/>
    </row>
    <row r="249" spans="12:12" x14ac:dyDescent="0.25">
      <c r="L249" s="1092"/>
    </row>
    <row r="250" spans="12:12" x14ac:dyDescent="0.25">
      <c r="L250" s="1092"/>
    </row>
    <row r="251" spans="12:12" x14ac:dyDescent="0.25">
      <c r="L251" s="1092"/>
    </row>
    <row r="252" spans="12:12" x14ac:dyDescent="0.25">
      <c r="L252" s="1092"/>
    </row>
    <row r="253" spans="12:12" x14ac:dyDescent="0.25">
      <c r="L253" s="1092"/>
    </row>
    <row r="254" spans="12:12" x14ac:dyDescent="0.25">
      <c r="L254" s="1092"/>
    </row>
    <row r="255" spans="12:12" x14ac:dyDescent="0.25">
      <c r="L255" s="1092"/>
    </row>
    <row r="256" spans="12:12" x14ac:dyDescent="0.25">
      <c r="L256" s="1092"/>
    </row>
    <row r="257" spans="12:12" x14ac:dyDescent="0.25">
      <c r="L257" s="1092"/>
    </row>
    <row r="258" spans="12:12" x14ac:dyDescent="0.25">
      <c r="L258" s="1092"/>
    </row>
    <row r="259" spans="12:12" x14ac:dyDescent="0.25">
      <c r="L259" s="1092"/>
    </row>
    <row r="260" spans="12:12" x14ac:dyDescent="0.25">
      <c r="L260" s="1092"/>
    </row>
    <row r="261" spans="12:12" x14ac:dyDescent="0.25">
      <c r="L261" s="1092"/>
    </row>
    <row r="262" spans="12:12" x14ac:dyDescent="0.25">
      <c r="L262" s="1092"/>
    </row>
    <row r="263" spans="12:12" x14ac:dyDescent="0.25">
      <c r="L263" s="1092"/>
    </row>
    <row r="264" spans="12:12" x14ac:dyDescent="0.25">
      <c r="L264" s="1092"/>
    </row>
    <row r="265" spans="12:12" x14ac:dyDescent="0.25">
      <c r="L265" s="1092"/>
    </row>
    <row r="266" spans="12:12" x14ac:dyDescent="0.25">
      <c r="L266" s="1092"/>
    </row>
    <row r="267" spans="12:12" x14ac:dyDescent="0.25">
      <c r="L267" s="1092"/>
    </row>
    <row r="268" spans="12:12" x14ac:dyDescent="0.25">
      <c r="L268" s="1092"/>
    </row>
    <row r="269" spans="12:12" x14ac:dyDescent="0.25">
      <c r="L269" s="1092"/>
    </row>
    <row r="270" spans="12:12" x14ac:dyDescent="0.25">
      <c r="L270" s="1092"/>
    </row>
    <row r="271" spans="12:12" x14ac:dyDescent="0.25">
      <c r="L271" s="1092"/>
    </row>
    <row r="272" spans="12:12" x14ac:dyDescent="0.25">
      <c r="L272" s="1092"/>
    </row>
    <row r="273" spans="12:12" x14ac:dyDescent="0.25">
      <c r="L273" s="1092"/>
    </row>
    <row r="274" spans="12:12" x14ac:dyDescent="0.25">
      <c r="L274" s="1092"/>
    </row>
    <row r="275" spans="12:12" x14ac:dyDescent="0.25">
      <c r="L275" s="1092"/>
    </row>
    <row r="276" spans="12:12" x14ac:dyDescent="0.25">
      <c r="L276" s="1092"/>
    </row>
    <row r="277" spans="12:12" x14ac:dyDescent="0.25">
      <c r="L277" s="1092"/>
    </row>
    <row r="278" spans="12:12" x14ac:dyDescent="0.25">
      <c r="L278" s="1092"/>
    </row>
    <row r="279" spans="12:12" x14ac:dyDescent="0.25">
      <c r="L279" s="1092"/>
    </row>
    <row r="280" spans="12:12" x14ac:dyDescent="0.25">
      <c r="L280" s="1092"/>
    </row>
    <row r="281" spans="12:12" x14ac:dyDescent="0.25">
      <c r="L281" s="1092"/>
    </row>
    <row r="282" spans="12:12" x14ac:dyDescent="0.25">
      <c r="L282" s="1092"/>
    </row>
    <row r="283" spans="12:12" x14ac:dyDescent="0.25">
      <c r="L283" s="1092"/>
    </row>
    <row r="284" spans="12:12" x14ac:dyDescent="0.25">
      <c r="L284" s="1092"/>
    </row>
    <row r="285" spans="12:12" x14ac:dyDescent="0.25">
      <c r="L285" s="1092"/>
    </row>
    <row r="286" spans="12:12" x14ac:dyDescent="0.25">
      <c r="L286" s="1092"/>
    </row>
    <row r="287" spans="12:12" x14ac:dyDescent="0.25">
      <c r="L287" s="1092"/>
    </row>
    <row r="288" spans="12:12" x14ac:dyDescent="0.25">
      <c r="L288" s="1092"/>
    </row>
    <row r="289" spans="12:12" x14ac:dyDescent="0.25">
      <c r="L289" s="1092"/>
    </row>
    <row r="290" spans="12:12" x14ac:dyDescent="0.25">
      <c r="L290" s="1092"/>
    </row>
    <row r="291" spans="12:12" x14ac:dyDescent="0.25">
      <c r="L291" s="1092"/>
    </row>
    <row r="292" spans="12:12" x14ac:dyDescent="0.25">
      <c r="L292" s="1092"/>
    </row>
    <row r="293" spans="12:12" x14ac:dyDescent="0.25">
      <c r="L293" s="1092"/>
    </row>
    <row r="294" spans="12:12" x14ac:dyDescent="0.25">
      <c r="L294" s="1092"/>
    </row>
    <row r="295" spans="12:12" x14ac:dyDescent="0.25">
      <c r="L295" s="1092"/>
    </row>
    <row r="296" spans="12:12" x14ac:dyDescent="0.25">
      <c r="L296" s="1092"/>
    </row>
    <row r="297" spans="12:12" x14ac:dyDescent="0.25">
      <c r="L297" s="1092"/>
    </row>
    <row r="298" spans="12:12" x14ac:dyDescent="0.25">
      <c r="L298" s="1092"/>
    </row>
    <row r="299" spans="12:12" x14ac:dyDescent="0.25">
      <c r="L299" s="1092"/>
    </row>
    <row r="300" spans="12:12" x14ac:dyDescent="0.25">
      <c r="L300" s="1092"/>
    </row>
    <row r="301" spans="12:12" x14ac:dyDescent="0.25">
      <c r="L301" s="1092"/>
    </row>
    <row r="302" spans="12:12" x14ac:dyDescent="0.25">
      <c r="L302" s="1092"/>
    </row>
    <row r="303" spans="12:12" x14ac:dyDescent="0.25">
      <c r="L303" s="1092"/>
    </row>
    <row r="304" spans="12:12" x14ac:dyDescent="0.25">
      <c r="L304" s="1092"/>
    </row>
    <row r="305" spans="12:12" x14ac:dyDescent="0.25">
      <c r="L305" s="1092"/>
    </row>
    <row r="306" spans="12:12" x14ac:dyDescent="0.25">
      <c r="L306" s="1092"/>
    </row>
    <row r="307" spans="12:12" x14ac:dyDescent="0.25">
      <c r="L307" s="1092"/>
    </row>
    <row r="308" spans="12:12" x14ac:dyDescent="0.25">
      <c r="L308" s="1092"/>
    </row>
    <row r="309" spans="12:12" x14ac:dyDescent="0.25">
      <c r="L309" s="1092"/>
    </row>
    <row r="310" spans="12:12" x14ac:dyDescent="0.25">
      <c r="L310" s="1092"/>
    </row>
    <row r="311" spans="12:12" x14ac:dyDescent="0.25">
      <c r="L311" s="1092"/>
    </row>
    <row r="312" spans="12:12" x14ac:dyDescent="0.25">
      <c r="L312" s="1092"/>
    </row>
    <row r="313" spans="12:12" x14ac:dyDescent="0.25">
      <c r="L313" s="1092"/>
    </row>
    <row r="314" spans="12:12" x14ac:dyDescent="0.25">
      <c r="L314" s="1092"/>
    </row>
    <row r="315" spans="12:12" x14ac:dyDescent="0.25">
      <c r="L315" s="1092"/>
    </row>
    <row r="316" spans="12:12" x14ac:dyDescent="0.25">
      <c r="L316" s="1092"/>
    </row>
    <row r="317" spans="12:12" x14ac:dyDescent="0.25">
      <c r="L317" s="1092"/>
    </row>
    <row r="318" spans="12:12" x14ac:dyDescent="0.25">
      <c r="L318" s="1092"/>
    </row>
    <row r="319" spans="12:12" x14ac:dyDescent="0.25">
      <c r="L319" s="1092"/>
    </row>
    <row r="320" spans="12:12" x14ac:dyDescent="0.25">
      <c r="L320" s="1092"/>
    </row>
    <row r="321" spans="12:12" x14ac:dyDescent="0.25">
      <c r="L321" s="1092"/>
    </row>
    <row r="322" spans="12:12" x14ac:dyDescent="0.25">
      <c r="L322" s="1092"/>
    </row>
    <row r="323" spans="12:12" x14ac:dyDescent="0.25">
      <c r="L323" s="1092"/>
    </row>
    <row r="324" spans="12:12" x14ac:dyDescent="0.25">
      <c r="L324" s="1092"/>
    </row>
    <row r="325" spans="12:12" x14ac:dyDescent="0.25">
      <c r="L325" s="1092"/>
    </row>
    <row r="326" spans="12:12" x14ac:dyDescent="0.25">
      <c r="L326" s="1092"/>
    </row>
    <row r="327" spans="12:12" x14ac:dyDescent="0.25">
      <c r="L327" s="1092"/>
    </row>
    <row r="328" spans="12:12" x14ac:dyDescent="0.25">
      <c r="L328" s="1092"/>
    </row>
    <row r="329" spans="12:12" x14ac:dyDescent="0.25">
      <c r="L329" s="1092"/>
    </row>
    <row r="330" spans="12:12" x14ac:dyDescent="0.25">
      <c r="L330" s="1092"/>
    </row>
    <row r="331" spans="12:12" x14ac:dyDescent="0.25">
      <c r="L331" s="1092"/>
    </row>
    <row r="332" spans="12:12" x14ac:dyDescent="0.25">
      <c r="L332" s="1092"/>
    </row>
    <row r="333" spans="12:12" x14ac:dyDescent="0.25">
      <c r="L333" s="1092"/>
    </row>
    <row r="334" spans="12:12" x14ac:dyDescent="0.25">
      <c r="L334" s="1092"/>
    </row>
    <row r="335" spans="12:12" x14ac:dyDescent="0.25">
      <c r="L335" s="1092"/>
    </row>
    <row r="336" spans="12:12" x14ac:dyDescent="0.25">
      <c r="L336" s="1092"/>
    </row>
    <row r="337" spans="12:12" x14ac:dyDescent="0.25">
      <c r="L337" s="1092"/>
    </row>
    <row r="338" spans="12:12" x14ac:dyDescent="0.25">
      <c r="L338" s="1092"/>
    </row>
    <row r="339" spans="12:12" x14ac:dyDescent="0.25">
      <c r="L339" s="1092"/>
    </row>
    <row r="340" spans="12:12" x14ac:dyDescent="0.25">
      <c r="L340" s="1092"/>
    </row>
    <row r="341" spans="12:12" x14ac:dyDescent="0.25">
      <c r="L341" s="1092"/>
    </row>
    <row r="342" spans="12:12" x14ac:dyDescent="0.25">
      <c r="L342" s="1092"/>
    </row>
    <row r="343" spans="12:12" x14ac:dyDescent="0.25">
      <c r="L343" s="1092"/>
    </row>
    <row r="344" spans="12:12" x14ac:dyDescent="0.25">
      <c r="L344" s="1092"/>
    </row>
    <row r="345" spans="12:12" x14ac:dyDescent="0.25">
      <c r="L345" s="1092"/>
    </row>
    <row r="346" spans="12:12" x14ac:dyDescent="0.25">
      <c r="L346" s="1092"/>
    </row>
    <row r="347" spans="12:12" x14ac:dyDescent="0.25">
      <c r="L347" s="1092"/>
    </row>
    <row r="348" spans="12:12" x14ac:dyDescent="0.25">
      <c r="L348" s="1092"/>
    </row>
    <row r="349" spans="12:12" x14ac:dyDescent="0.25">
      <c r="L349" s="1092"/>
    </row>
    <row r="350" spans="12:12" x14ac:dyDescent="0.25">
      <c r="L350" s="1092"/>
    </row>
    <row r="351" spans="12:12" x14ac:dyDescent="0.25">
      <c r="L351" s="1092"/>
    </row>
    <row r="352" spans="12:12" x14ac:dyDescent="0.25">
      <c r="L352" s="1092"/>
    </row>
    <row r="353" spans="12:12" x14ac:dyDescent="0.25">
      <c r="L353" s="1092"/>
    </row>
    <row r="354" spans="12:12" x14ac:dyDescent="0.25">
      <c r="L354" s="1092"/>
    </row>
    <row r="355" spans="12:12" x14ac:dyDescent="0.25">
      <c r="L355" s="1092"/>
    </row>
    <row r="356" spans="12:12" x14ac:dyDescent="0.25">
      <c r="L356" s="1092"/>
    </row>
    <row r="357" spans="12:12" x14ac:dyDescent="0.25">
      <c r="L357" s="1092"/>
    </row>
    <row r="358" spans="12:12" x14ac:dyDescent="0.25">
      <c r="L358" s="1092"/>
    </row>
    <row r="359" spans="12:12" x14ac:dyDescent="0.25">
      <c r="L359" s="1092"/>
    </row>
    <row r="360" spans="12:12" x14ac:dyDescent="0.25">
      <c r="L360" s="1092"/>
    </row>
    <row r="361" spans="12:12" x14ac:dyDescent="0.25">
      <c r="L361" s="1092"/>
    </row>
    <row r="362" spans="12:12" x14ac:dyDescent="0.25">
      <c r="L362" s="1092"/>
    </row>
    <row r="363" spans="12:12" x14ac:dyDescent="0.25">
      <c r="L363" s="1092"/>
    </row>
    <row r="364" spans="12:12" x14ac:dyDescent="0.25">
      <c r="L364" s="1092"/>
    </row>
    <row r="365" spans="12:12" x14ac:dyDescent="0.25">
      <c r="L365" s="1092"/>
    </row>
    <row r="366" spans="12:12" x14ac:dyDescent="0.25">
      <c r="L366" s="1092"/>
    </row>
    <row r="367" spans="12:12" x14ac:dyDescent="0.25">
      <c r="L367" s="1092"/>
    </row>
    <row r="368" spans="12:12" x14ac:dyDescent="0.25">
      <c r="L368" s="1092"/>
    </row>
    <row r="369" spans="12:12" x14ac:dyDescent="0.25">
      <c r="L369" s="1092"/>
    </row>
    <row r="370" spans="12:12" x14ac:dyDescent="0.25">
      <c r="L370" s="1092"/>
    </row>
    <row r="371" spans="12:12" x14ac:dyDescent="0.25">
      <c r="L371" s="1092"/>
    </row>
    <row r="372" spans="12:12" x14ac:dyDescent="0.25">
      <c r="L372" s="1092"/>
    </row>
    <row r="373" spans="12:12" x14ac:dyDescent="0.25">
      <c r="L373" s="1092"/>
    </row>
    <row r="374" spans="12:12" x14ac:dyDescent="0.25">
      <c r="L374" s="1092"/>
    </row>
    <row r="375" spans="12:12" x14ac:dyDescent="0.25">
      <c r="L375" s="1092"/>
    </row>
    <row r="376" spans="12:12" x14ac:dyDescent="0.25">
      <c r="L376" s="1092"/>
    </row>
    <row r="377" spans="12:12" x14ac:dyDescent="0.25">
      <c r="L377" s="1092"/>
    </row>
    <row r="378" spans="12:12" x14ac:dyDescent="0.25">
      <c r="L378" s="1092"/>
    </row>
    <row r="379" spans="12:12" x14ac:dyDescent="0.25">
      <c r="L379" s="1092"/>
    </row>
    <row r="380" spans="12:12" x14ac:dyDescent="0.25">
      <c r="L380" s="1092"/>
    </row>
    <row r="381" spans="12:12" x14ac:dyDescent="0.25">
      <c r="L381" s="1092"/>
    </row>
    <row r="382" spans="12:12" x14ac:dyDescent="0.25">
      <c r="L382" s="1092"/>
    </row>
    <row r="383" spans="12:12" x14ac:dyDescent="0.25">
      <c r="L383" s="1092"/>
    </row>
    <row r="384" spans="12:12" x14ac:dyDescent="0.25">
      <c r="L384" s="1092"/>
    </row>
    <row r="385" spans="12:12" x14ac:dyDescent="0.25">
      <c r="L385" s="1092"/>
    </row>
    <row r="386" spans="12:12" x14ac:dyDescent="0.25">
      <c r="L386" s="1092"/>
    </row>
    <row r="387" spans="12:12" x14ac:dyDescent="0.25">
      <c r="L387" s="1092"/>
    </row>
    <row r="388" spans="12:12" x14ac:dyDescent="0.25">
      <c r="L388" s="1092"/>
    </row>
    <row r="389" spans="12:12" x14ac:dyDescent="0.25">
      <c r="L389" s="1092"/>
    </row>
    <row r="390" spans="12:12" x14ac:dyDescent="0.25">
      <c r="L390" s="1092"/>
    </row>
    <row r="391" spans="12:12" x14ac:dyDescent="0.25">
      <c r="L391" s="1092"/>
    </row>
    <row r="392" spans="12:12" x14ac:dyDescent="0.25">
      <c r="L392" s="1092"/>
    </row>
    <row r="393" spans="12:12" x14ac:dyDescent="0.25">
      <c r="L393" s="1092"/>
    </row>
    <row r="394" spans="12:12" x14ac:dyDescent="0.25">
      <c r="L394" s="1092"/>
    </row>
    <row r="395" spans="12:12" x14ac:dyDescent="0.25">
      <c r="L395" s="1092"/>
    </row>
    <row r="396" spans="12:12" x14ac:dyDescent="0.25">
      <c r="L396" s="1092"/>
    </row>
    <row r="397" spans="12:12" x14ac:dyDescent="0.25">
      <c r="L397" s="1092"/>
    </row>
    <row r="398" spans="12:12" x14ac:dyDescent="0.25">
      <c r="L398" s="1092"/>
    </row>
    <row r="399" spans="12:12" x14ac:dyDescent="0.25">
      <c r="L399" s="1092"/>
    </row>
    <row r="400" spans="12:12" x14ac:dyDescent="0.25">
      <c r="L400" s="1092"/>
    </row>
    <row r="401" spans="12:12" x14ac:dyDescent="0.25">
      <c r="L401" s="1092"/>
    </row>
    <row r="402" spans="12:12" x14ac:dyDescent="0.25">
      <c r="L402" s="1092"/>
    </row>
    <row r="403" spans="12:12" x14ac:dyDescent="0.25">
      <c r="L403" s="1092"/>
    </row>
    <row r="404" spans="12:12" x14ac:dyDescent="0.25">
      <c r="L404" s="1092"/>
    </row>
    <row r="405" spans="12:12" x14ac:dyDescent="0.25">
      <c r="L405" s="1092"/>
    </row>
    <row r="406" spans="12:12" x14ac:dyDescent="0.25">
      <c r="L406" s="1092"/>
    </row>
    <row r="407" spans="12:12" x14ac:dyDescent="0.25">
      <c r="L407" s="1092"/>
    </row>
    <row r="408" spans="12:12" x14ac:dyDescent="0.25">
      <c r="L408" s="1092"/>
    </row>
    <row r="409" spans="12:12" x14ac:dyDescent="0.25">
      <c r="L409" s="1092"/>
    </row>
    <row r="410" spans="12:12" x14ac:dyDescent="0.25">
      <c r="L410" s="1092"/>
    </row>
    <row r="411" spans="12:12" x14ac:dyDescent="0.25">
      <c r="L411" s="1092"/>
    </row>
    <row r="412" spans="12:12" x14ac:dyDescent="0.25">
      <c r="L412" s="1092"/>
    </row>
    <row r="413" spans="12:12" x14ac:dyDescent="0.25">
      <c r="L413" s="1092"/>
    </row>
    <row r="414" spans="12:12" x14ac:dyDescent="0.25">
      <c r="L414" s="1092"/>
    </row>
    <row r="415" spans="12:12" x14ac:dyDescent="0.25">
      <c r="L415" s="1092"/>
    </row>
    <row r="416" spans="12:12" x14ac:dyDescent="0.25">
      <c r="L416" s="1092"/>
    </row>
    <row r="417" spans="12:12" x14ac:dyDescent="0.25">
      <c r="L417" s="1092"/>
    </row>
    <row r="418" spans="12:12" x14ac:dyDescent="0.25">
      <c r="L418" s="1092"/>
    </row>
    <row r="419" spans="12:12" x14ac:dyDescent="0.25">
      <c r="L419" s="1092"/>
    </row>
    <row r="420" spans="12:12" x14ac:dyDescent="0.25">
      <c r="L420" s="1092"/>
    </row>
    <row r="421" spans="12:12" x14ac:dyDescent="0.25">
      <c r="L421" s="1092"/>
    </row>
    <row r="422" spans="12:12" x14ac:dyDescent="0.25">
      <c r="L422" s="1092"/>
    </row>
    <row r="423" spans="12:12" x14ac:dyDescent="0.25">
      <c r="L423" s="1092"/>
    </row>
    <row r="424" spans="12:12" x14ac:dyDescent="0.25">
      <c r="L424" s="1092"/>
    </row>
    <row r="425" spans="12:12" x14ac:dyDescent="0.25">
      <c r="L425" s="1092"/>
    </row>
    <row r="426" spans="12:12" x14ac:dyDescent="0.25">
      <c r="L426" s="1092"/>
    </row>
    <row r="427" spans="12:12" x14ac:dyDescent="0.25">
      <c r="L427" s="1092"/>
    </row>
    <row r="428" spans="12:12" x14ac:dyDescent="0.25">
      <c r="L428" s="1092"/>
    </row>
    <row r="429" spans="12:12" x14ac:dyDescent="0.25">
      <c r="L429" s="1092"/>
    </row>
    <row r="430" spans="12:12" x14ac:dyDescent="0.25">
      <c r="L430" s="1092"/>
    </row>
    <row r="431" spans="12:12" x14ac:dyDescent="0.25">
      <c r="L431" s="1092"/>
    </row>
    <row r="432" spans="12:12" x14ac:dyDescent="0.25">
      <c r="L432" s="1092"/>
    </row>
    <row r="433" spans="12:12" x14ac:dyDescent="0.25">
      <c r="L433" s="1092"/>
    </row>
    <row r="434" spans="12:12" x14ac:dyDescent="0.25">
      <c r="L434" s="1092"/>
    </row>
    <row r="435" spans="12:12" x14ac:dyDescent="0.25">
      <c r="L435" s="1092"/>
    </row>
    <row r="436" spans="12:12" x14ac:dyDescent="0.25">
      <c r="L436" s="1092"/>
    </row>
    <row r="437" spans="12:12" x14ac:dyDescent="0.25">
      <c r="L437" s="1092"/>
    </row>
    <row r="438" spans="12:12" x14ac:dyDescent="0.25">
      <c r="L438" s="1092"/>
    </row>
    <row r="439" spans="12:12" x14ac:dyDescent="0.25">
      <c r="L439" s="1092"/>
    </row>
    <row r="440" spans="12:12" x14ac:dyDescent="0.25">
      <c r="L440" s="1092"/>
    </row>
    <row r="441" spans="12:12" x14ac:dyDescent="0.25">
      <c r="L441" s="1092"/>
    </row>
    <row r="442" spans="12:12" x14ac:dyDescent="0.25">
      <c r="L442" s="1092"/>
    </row>
    <row r="443" spans="12:12" x14ac:dyDescent="0.25">
      <c r="L443" s="1092"/>
    </row>
    <row r="444" spans="12:12" x14ac:dyDescent="0.25">
      <c r="L444" s="1092"/>
    </row>
    <row r="445" spans="12:12" x14ac:dyDescent="0.25">
      <c r="L445" s="1092"/>
    </row>
    <row r="446" spans="12:12" x14ac:dyDescent="0.25">
      <c r="L446" s="1092"/>
    </row>
    <row r="447" spans="12:12" x14ac:dyDescent="0.25">
      <c r="L447" s="1092"/>
    </row>
    <row r="448" spans="12:12" x14ac:dyDescent="0.25">
      <c r="L448" s="1092"/>
    </row>
    <row r="449" spans="12:12" x14ac:dyDescent="0.25">
      <c r="L449" s="1092"/>
    </row>
    <row r="450" spans="12:12" x14ac:dyDescent="0.25">
      <c r="L450" s="1092"/>
    </row>
    <row r="451" spans="12:12" x14ac:dyDescent="0.25">
      <c r="L451" s="1092"/>
    </row>
    <row r="452" spans="12:12" x14ac:dyDescent="0.25">
      <c r="L452" s="1092"/>
    </row>
    <row r="453" spans="12:12" x14ac:dyDescent="0.25">
      <c r="L453" s="1092"/>
    </row>
    <row r="454" spans="12:12" x14ac:dyDescent="0.25">
      <c r="L454" s="1092"/>
    </row>
    <row r="455" spans="12:12" x14ac:dyDescent="0.25">
      <c r="L455" s="1092"/>
    </row>
    <row r="456" spans="12:12" x14ac:dyDescent="0.25">
      <c r="L456" s="1092"/>
    </row>
    <row r="457" spans="12:12" x14ac:dyDescent="0.25">
      <c r="L457" s="1092"/>
    </row>
    <row r="458" spans="12:12" x14ac:dyDescent="0.25">
      <c r="L458" s="1092"/>
    </row>
    <row r="459" spans="12:12" x14ac:dyDescent="0.25">
      <c r="L459" s="1092"/>
    </row>
    <row r="460" spans="12:12" x14ac:dyDescent="0.25">
      <c r="L460" s="1092"/>
    </row>
    <row r="461" spans="12:12" x14ac:dyDescent="0.25">
      <c r="L461" s="1092"/>
    </row>
    <row r="462" spans="12:12" x14ac:dyDescent="0.25">
      <c r="L462" s="1092"/>
    </row>
    <row r="463" spans="12:12" x14ac:dyDescent="0.25">
      <c r="L463" s="1092"/>
    </row>
    <row r="464" spans="12:12" x14ac:dyDescent="0.25">
      <c r="L464" s="1092"/>
    </row>
    <row r="465" spans="12:12" x14ac:dyDescent="0.25">
      <c r="L465" s="1092"/>
    </row>
    <row r="466" spans="12:12" x14ac:dyDescent="0.25">
      <c r="L466" s="1092"/>
    </row>
    <row r="467" spans="12:12" x14ac:dyDescent="0.25">
      <c r="L467" s="1092"/>
    </row>
    <row r="468" spans="12:12" x14ac:dyDescent="0.25">
      <c r="L468" s="1092"/>
    </row>
    <row r="469" spans="12:12" x14ac:dyDescent="0.25">
      <c r="L469" s="1092"/>
    </row>
    <row r="470" spans="12:12" x14ac:dyDescent="0.25">
      <c r="L470" s="1092"/>
    </row>
    <row r="471" spans="12:12" x14ac:dyDescent="0.25">
      <c r="L471" s="1092"/>
    </row>
    <row r="472" spans="12:12" x14ac:dyDescent="0.25">
      <c r="L472" s="1092"/>
    </row>
    <row r="473" spans="12:12" x14ac:dyDescent="0.25">
      <c r="L473" s="1092"/>
    </row>
    <row r="474" spans="12:12" x14ac:dyDescent="0.25">
      <c r="L474" s="1092"/>
    </row>
    <row r="475" spans="12:12" x14ac:dyDescent="0.25">
      <c r="L475" s="1092"/>
    </row>
    <row r="476" spans="12:12" x14ac:dyDescent="0.25">
      <c r="L476" s="1092"/>
    </row>
    <row r="477" spans="12:12" x14ac:dyDescent="0.25">
      <c r="L477" s="1092"/>
    </row>
    <row r="478" spans="12:12" x14ac:dyDescent="0.25">
      <c r="L478" s="1092"/>
    </row>
    <row r="479" spans="12:12" x14ac:dyDescent="0.25">
      <c r="L479" s="1092"/>
    </row>
    <row r="480" spans="12:12" x14ac:dyDescent="0.25">
      <c r="L480" s="1092"/>
    </row>
    <row r="481" spans="12:12" x14ac:dyDescent="0.25">
      <c r="L481" s="1092"/>
    </row>
    <row r="482" spans="12:12" x14ac:dyDescent="0.25">
      <c r="L482" s="1092"/>
    </row>
    <row r="483" spans="12:12" x14ac:dyDescent="0.25">
      <c r="L483" s="1092"/>
    </row>
    <row r="484" spans="12:12" x14ac:dyDescent="0.25">
      <c r="L484" s="1092"/>
    </row>
    <row r="485" spans="12:12" x14ac:dyDescent="0.25">
      <c r="L485" s="1092"/>
    </row>
    <row r="486" spans="12:12" x14ac:dyDescent="0.25">
      <c r="L486" s="1092"/>
    </row>
    <row r="487" spans="12:12" x14ac:dyDescent="0.25">
      <c r="L487" s="1092"/>
    </row>
    <row r="488" spans="12:12" x14ac:dyDescent="0.25">
      <c r="L488" s="1092"/>
    </row>
    <row r="489" spans="12:12" x14ac:dyDescent="0.25">
      <c r="L489" s="1092"/>
    </row>
    <row r="490" spans="12:12" x14ac:dyDescent="0.25">
      <c r="L490" s="1092"/>
    </row>
    <row r="491" spans="12:12" x14ac:dyDescent="0.25">
      <c r="L491" s="1092"/>
    </row>
    <row r="492" spans="12:12" x14ac:dyDescent="0.25">
      <c r="L492" s="1092"/>
    </row>
    <row r="493" spans="12:12" x14ac:dyDescent="0.25">
      <c r="L493" s="1092"/>
    </row>
    <row r="494" spans="12:12" x14ac:dyDescent="0.25">
      <c r="L494" s="1092"/>
    </row>
    <row r="495" spans="12:12" x14ac:dyDescent="0.25">
      <c r="L495" s="1092"/>
    </row>
    <row r="496" spans="12:12" x14ac:dyDescent="0.25">
      <c r="L496" s="1092"/>
    </row>
    <row r="497" spans="12:12" x14ac:dyDescent="0.25">
      <c r="L497" s="1092"/>
    </row>
    <row r="498" spans="12:12" x14ac:dyDescent="0.25">
      <c r="L498" s="1092"/>
    </row>
    <row r="499" spans="12:12" x14ac:dyDescent="0.25">
      <c r="L499" s="1092"/>
    </row>
    <row r="500" spans="12:12" x14ac:dyDescent="0.25">
      <c r="L500" s="1092"/>
    </row>
    <row r="501" spans="12:12" x14ac:dyDescent="0.25">
      <c r="L501" s="1092"/>
    </row>
    <row r="502" spans="12:12" x14ac:dyDescent="0.25">
      <c r="L502" s="1092"/>
    </row>
    <row r="503" spans="12:12" x14ac:dyDescent="0.25">
      <c r="L503" s="1092"/>
    </row>
    <row r="504" spans="12:12" x14ac:dyDescent="0.25">
      <c r="L504" s="1092"/>
    </row>
    <row r="505" spans="12:12" x14ac:dyDescent="0.25">
      <c r="L505" s="1092"/>
    </row>
    <row r="506" spans="12:12" x14ac:dyDescent="0.25">
      <c r="L506" s="1092"/>
    </row>
    <row r="507" spans="12:12" x14ac:dyDescent="0.25">
      <c r="L507" s="1092"/>
    </row>
    <row r="508" spans="12:12" x14ac:dyDescent="0.25">
      <c r="L508" s="1092"/>
    </row>
    <row r="509" spans="12:12" x14ac:dyDescent="0.25">
      <c r="L509" s="1092"/>
    </row>
    <row r="510" spans="12:12" x14ac:dyDescent="0.25">
      <c r="L510" s="1092"/>
    </row>
    <row r="511" spans="12:12" x14ac:dyDescent="0.25">
      <c r="L511" s="1092"/>
    </row>
    <row r="512" spans="12:12" x14ac:dyDescent="0.25">
      <c r="L512" s="1092"/>
    </row>
    <row r="513" spans="12:12" x14ac:dyDescent="0.25">
      <c r="L513" s="1092"/>
    </row>
    <row r="514" spans="12:12" x14ac:dyDescent="0.25">
      <c r="L514" s="1092"/>
    </row>
    <row r="515" spans="12:12" x14ac:dyDescent="0.25">
      <c r="L515" s="1092"/>
    </row>
    <row r="516" spans="12:12" x14ac:dyDescent="0.25">
      <c r="L516" s="1092"/>
    </row>
    <row r="517" spans="12:12" x14ac:dyDescent="0.25">
      <c r="L517" s="1092"/>
    </row>
    <row r="518" spans="12:12" x14ac:dyDescent="0.25">
      <c r="L518" s="1092"/>
    </row>
    <row r="519" spans="12:12" x14ac:dyDescent="0.25">
      <c r="L519" s="1092"/>
    </row>
    <row r="520" spans="12:12" x14ac:dyDescent="0.25">
      <c r="L520" s="1092"/>
    </row>
    <row r="521" spans="12:12" x14ac:dyDescent="0.25">
      <c r="L521" s="1092"/>
    </row>
    <row r="522" spans="12:12" x14ac:dyDescent="0.25">
      <c r="L522" s="1092"/>
    </row>
    <row r="523" spans="12:12" x14ac:dyDescent="0.25">
      <c r="L523" s="1092"/>
    </row>
    <row r="524" spans="12:12" x14ac:dyDescent="0.25">
      <c r="L524" s="1092"/>
    </row>
    <row r="525" spans="12:12" x14ac:dyDescent="0.25">
      <c r="L525" s="1092"/>
    </row>
    <row r="526" spans="12:12" x14ac:dyDescent="0.25">
      <c r="L526" s="1092"/>
    </row>
    <row r="527" spans="12:12" x14ac:dyDescent="0.25">
      <c r="L527" s="1092"/>
    </row>
    <row r="528" spans="12:12" x14ac:dyDescent="0.25">
      <c r="L528" s="1092"/>
    </row>
    <row r="529" spans="12:12" x14ac:dyDescent="0.25">
      <c r="L529" s="1092"/>
    </row>
    <row r="530" spans="12:12" x14ac:dyDescent="0.25">
      <c r="L530" s="1092"/>
    </row>
    <row r="531" spans="12:12" x14ac:dyDescent="0.25">
      <c r="L531" s="1092"/>
    </row>
    <row r="532" spans="12:12" x14ac:dyDescent="0.25">
      <c r="L532" s="1092"/>
    </row>
    <row r="533" spans="12:12" x14ac:dyDescent="0.25">
      <c r="L533" s="1092"/>
    </row>
    <row r="534" spans="12:12" x14ac:dyDescent="0.25">
      <c r="L534" s="1092"/>
    </row>
    <row r="535" spans="12:12" x14ac:dyDescent="0.25">
      <c r="L535" s="1092"/>
    </row>
    <row r="536" spans="12:12" x14ac:dyDescent="0.25">
      <c r="L536" s="1092"/>
    </row>
    <row r="537" spans="12:12" x14ac:dyDescent="0.25">
      <c r="L537" s="1092"/>
    </row>
    <row r="538" spans="12:12" x14ac:dyDescent="0.25">
      <c r="L538" s="1092"/>
    </row>
    <row r="539" spans="12:12" x14ac:dyDescent="0.25">
      <c r="L539" s="1092"/>
    </row>
    <row r="540" spans="12:12" x14ac:dyDescent="0.25">
      <c r="L540" s="1092"/>
    </row>
    <row r="541" spans="12:12" x14ac:dyDescent="0.25">
      <c r="L541" s="1092"/>
    </row>
    <row r="542" spans="12:12" x14ac:dyDescent="0.25">
      <c r="L542" s="1092"/>
    </row>
    <row r="543" spans="12:12" x14ac:dyDescent="0.25">
      <c r="L543" s="1092"/>
    </row>
    <row r="544" spans="12:12" x14ac:dyDescent="0.25">
      <c r="L544" s="1092"/>
    </row>
    <row r="545" spans="12:12" x14ac:dyDescent="0.25">
      <c r="L545" s="1092"/>
    </row>
    <row r="546" spans="12:12" x14ac:dyDescent="0.25">
      <c r="L546" s="1092"/>
    </row>
    <row r="547" spans="12:12" x14ac:dyDescent="0.25">
      <c r="L547" s="1092"/>
    </row>
    <row r="548" spans="12:12" x14ac:dyDescent="0.25">
      <c r="L548" s="1092"/>
    </row>
    <row r="549" spans="12:12" x14ac:dyDescent="0.25">
      <c r="L549" s="1092"/>
    </row>
    <row r="550" spans="12:12" x14ac:dyDescent="0.25">
      <c r="L550" s="1092"/>
    </row>
    <row r="551" spans="12:12" x14ac:dyDescent="0.25">
      <c r="L551" s="1092"/>
    </row>
    <row r="552" spans="12:12" x14ac:dyDescent="0.25">
      <c r="L552" s="1092"/>
    </row>
    <row r="553" spans="12:12" x14ac:dyDescent="0.25">
      <c r="L553" s="1092"/>
    </row>
    <row r="554" spans="12:12" x14ac:dyDescent="0.25">
      <c r="L554" s="1092"/>
    </row>
    <row r="555" spans="12:12" x14ac:dyDescent="0.25">
      <c r="L555" s="1092"/>
    </row>
    <row r="556" spans="12:12" x14ac:dyDescent="0.25">
      <c r="L556" s="1092"/>
    </row>
    <row r="557" spans="12:12" x14ac:dyDescent="0.25">
      <c r="L557" s="1092"/>
    </row>
    <row r="558" spans="12:12" x14ac:dyDescent="0.25">
      <c r="L558" s="1092"/>
    </row>
    <row r="559" spans="12:12" x14ac:dyDescent="0.25">
      <c r="L559" s="1092"/>
    </row>
    <row r="560" spans="12:12" x14ac:dyDescent="0.25">
      <c r="L560" s="1092"/>
    </row>
    <row r="561" spans="12:12" x14ac:dyDescent="0.25">
      <c r="L561" s="1092"/>
    </row>
    <row r="562" spans="12:12" x14ac:dyDescent="0.25">
      <c r="L562" s="1092"/>
    </row>
    <row r="563" spans="12:12" x14ac:dyDescent="0.25">
      <c r="L563" s="1092"/>
    </row>
    <row r="564" spans="12:12" x14ac:dyDescent="0.25">
      <c r="L564" s="1092"/>
    </row>
    <row r="565" spans="12:12" x14ac:dyDescent="0.25">
      <c r="L565" s="1092"/>
    </row>
    <row r="566" spans="12:12" x14ac:dyDescent="0.25">
      <c r="L566" s="1092"/>
    </row>
    <row r="567" spans="12:12" x14ac:dyDescent="0.25">
      <c r="L567" s="1092"/>
    </row>
    <row r="568" spans="12:12" x14ac:dyDescent="0.25">
      <c r="L568" s="1092"/>
    </row>
  </sheetData>
  <mergeCells count="76">
    <mergeCell ref="A43:B43"/>
    <mergeCell ref="D46:F46"/>
    <mergeCell ref="G46:H46"/>
    <mergeCell ref="M46:O46"/>
    <mergeCell ref="P46:Q46"/>
    <mergeCell ref="D48:F48"/>
    <mergeCell ref="G48:H48"/>
    <mergeCell ref="M48:O48"/>
    <mergeCell ref="P48:Q48"/>
    <mergeCell ref="D47:F47"/>
    <mergeCell ref="G47:H47"/>
    <mergeCell ref="M47:O47"/>
    <mergeCell ref="P47:Q47"/>
    <mergeCell ref="A26:S26"/>
    <mergeCell ref="A28:S28"/>
    <mergeCell ref="A31:A32"/>
    <mergeCell ref="B31:B32"/>
    <mergeCell ref="C31:J31"/>
    <mergeCell ref="L31:S31"/>
    <mergeCell ref="A1:S1"/>
    <mergeCell ref="A3:S3"/>
    <mergeCell ref="A5:A6"/>
    <mergeCell ref="B5:B6"/>
    <mergeCell ref="C5:J5"/>
    <mergeCell ref="L5:S5"/>
    <mergeCell ref="D22:F22"/>
    <mergeCell ref="G22:H22"/>
    <mergeCell ref="M22:O22"/>
    <mergeCell ref="P22:Q22"/>
    <mergeCell ref="A17:B17"/>
    <mergeCell ref="D20:F20"/>
    <mergeCell ref="G20:H20"/>
    <mergeCell ref="M20:O20"/>
    <mergeCell ref="P20:Q20"/>
    <mergeCell ref="D21:F21"/>
    <mergeCell ref="G21:H21"/>
    <mergeCell ref="M21:O21"/>
    <mergeCell ref="P21:Q21"/>
    <mergeCell ref="A53:S53"/>
    <mergeCell ref="A55:S55"/>
    <mergeCell ref="A58:A59"/>
    <mergeCell ref="B58:B59"/>
    <mergeCell ref="C58:J58"/>
    <mergeCell ref="L58:S58"/>
    <mergeCell ref="A70:B70"/>
    <mergeCell ref="D73:F73"/>
    <mergeCell ref="G73:H73"/>
    <mergeCell ref="M73:O73"/>
    <mergeCell ref="P73:Q73"/>
    <mergeCell ref="D74:F74"/>
    <mergeCell ref="G74:H74"/>
    <mergeCell ref="M74:O74"/>
    <mergeCell ref="P74:Q74"/>
    <mergeCell ref="D75:F75"/>
    <mergeCell ref="G75:H75"/>
    <mergeCell ref="M75:O75"/>
    <mergeCell ref="P75:Q75"/>
    <mergeCell ref="A79:S79"/>
    <mergeCell ref="A81:S81"/>
    <mergeCell ref="A84:A85"/>
    <mergeCell ref="B84:B85"/>
    <mergeCell ref="C84:J84"/>
    <mergeCell ref="L84:S84"/>
    <mergeCell ref="A96:B96"/>
    <mergeCell ref="D99:F99"/>
    <mergeCell ref="G99:H99"/>
    <mergeCell ref="M99:O99"/>
    <mergeCell ref="P99:Q99"/>
    <mergeCell ref="D100:F100"/>
    <mergeCell ref="G100:H100"/>
    <mergeCell ref="M100:O100"/>
    <mergeCell ref="P100:Q100"/>
    <mergeCell ref="D101:F101"/>
    <mergeCell ref="G101:H101"/>
    <mergeCell ref="M101:O101"/>
    <mergeCell ref="P101:Q101"/>
  </mergeCells>
  <printOptions horizontalCentered="1" verticalCentered="1"/>
  <pageMargins left="0.11811023622047245" right="0.11811023622047245" top="0.35433070866141736" bottom="0.35433070866141736" header="0.31496062992125984" footer="0.31496062992125984"/>
  <pageSetup paperSize="9" scale="53" orientation="landscape" r:id="rId1"/>
  <headerFooter>
    <oddHeader>&amp;R&amp;A</oddHeader>
    <oddFooter>&amp;C&amp;P/&amp;N</oddFooter>
  </headerFooter>
  <rowBreaks count="3" manualBreakCount="3">
    <brk id="22" max="18" man="1"/>
    <brk id="48" max="18" man="1"/>
    <brk id="75" max="1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X351"/>
  <sheetViews>
    <sheetView view="pageBreakPreview" zoomScale="90" zoomScaleNormal="100" zoomScaleSheetLayoutView="90" workbookViewId="0">
      <pane xSplit="3" ySplit="3" topLeftCell="D337" activePane="bottomRight" state="frozen"/>
      <selection pane="topRight" activeCell="C1" sqref="C1"/>
      <selection pane="bottomLeft" activeCell="A4" sqref="A4"/>
      <selection pane="bottomRight" activeCell="F342" sqref="F341:F342"/>
    </sheetView>
  </sheetViews>
  <sheetFormatPr defaultRowHeight="12.75" x14ac:dyDescent="0.2"/>
  <cols>
    <col min="1" max="2" width="4.5703125" customWidth="1"/>
    <col min="3" max="3" width="40.5703125" customWidth="1"/>
    <col min="4" max="4" width="15.7109375" customWidth="1"/>
    <col min="5" max="5" width="16.85546875" customWidth="1"/>
    <col min="6" max="8" width="14.7109375" customWidth="1"/>
    <col min="9" max="9" width="19.140625" customWidth="1"/>
    <col min="10" max="11" width="15.5703125" customWidth="1"/>
    <col min="12" max="12" width="15.42578125" customWidth="1"/>
    <col min="13" max="13" width="16.5703125" customWidth="1"/>
    <col min="14" max="15" width="21.42578125" customWidth="1"/>
    <col min="16" max="16" width="18.7109375" customWidth="1"/>
    <col min="17" max="18" width="18.85546875" customWidth="1"/>
    <col min="19" max="19" width="18.28515625" customWidth="1"/>
    <col min="20" max="20" width="15" customWidth="1"/>
    <col min="21" max="22" width="18.7109375" customWidth="1"/>
    <col min="23" max="23" width="15.7109375" customWidth="1"/>
    <col min="24" max="24" width="17.7109375" customWidth="1"/>
    <col min="25" max="25" width="21.28515625" customWidth="1"/>
    <col min="26" max="27" width="18.5703125" customWidth="1"/>
    <col min="28" max="31" width="15.42578125" customWidth="1"/>
    <col min="32" max="32" width="17.28515625" customWidth="1"/>
    <col min="33" max="33" width="16.140625" customWidth="1"/>
    <col min="34" max="34" width="21.42578125" customWidth="1"/>
    <col min="35" max="35" width="18.28515625" customWidth="1"/>
    <col min="36" max="36" width="21.7109375" customWidth="1"/>
    <col min="37" max="37" width="17.140625" customWidth="1"/>
    <col min="38" max="38" width="20.7109375" customWidth="1"/>
    <col min="39" max="40" width="21.85546875" customWidth="1"/>
    <col min="41" max="41" width="14.28515625" customWidth="1"/>
    <col min="42" max="42" width="17.28515625" customWidth="1"/>
    <col min="43" max="46" width="13.5703125" customWidth="1"/>
    <col min="47" max="47" width="20.42578125" customWidth="1"/>
    <col min="48" max="48" width="21" customWidth="1"/>
    <col min="49" max="49" width="14.28515625" customWidth="1"/>
    <col min="50" max="50" width="16.5703125" customWidth="1"/>
    <col min="255" max="256" width="4.5703125" customWidth="1"/>
    <col min="257" max="257" width="40.5703125" customWidth="1"/>
    <col min="258" max="258" width="15.7109375" customWidth="1"/>
    <col min="259" max="259" width="16.85546875" customWidth="1"/>
    <col min="260" max="261" width="14.7109375" customWidth="1"/>
    <col min="262" max="262" width="19.140625" customWidth="1"/>
    <col min="263" max="264" width="15.5703125" customWidth="1"/>
    <col min="265" max="265" width="15.42578125" customWidth="1"/>
    <col min="266" max="266" width="16.5703125" customWidth="1"/>
    <col min="267" max="268" width="21.42578125" customWidth="1"/>
    <col min="269" max="269" width="18.7109375" customWidth="1"/>
    <col min="270" max="271" width="18.85546875" customWidth="1"/>
    <col min="272" max="272" width="20.5703125" customWidth="1"/>
    <col min="273" max="273" width="18.28515625" customWidth="1"/>
    <col min="274" max="275" width="15" customWidth="1"/>
    <col min="276" max="278" width="18.7109375" customWidth="1"/>
    <col min="279" max="279" width="15.7109375" customWidth="1"/>
    <col min="280" max="280" width="17.7109375" customWidth="1"/>
    <col min="281" max="281" width="21.28515625" customWidth="1"/>
    <col min="282" max="284" width="18.5703125" customWidth="1"/>
    <col min="285" max="285" width="15.42578125" customWidth="1"/>
    <col min="286" max="286" width="17.28515625" customWidth="1"/>
    <col min="287" max="287" width="16.140625" customWidth="1"/>
    <col min="288" max="288" width="21.42578125" customWidth="1"/>
    <col min="289" max="289" width="18.28515625" customWidth="1"/>
    <col min="290" max="290" width="21.7109375" customWidth="1"/>
    <col min="291" max="291" width="17.140625" customWidth="1"/>
    <col min="292" max="292" width="20.7109375" customWidth="1"/>
    <col min="293" max="294" width="21.85546875" customWidth="1"/>
    <col min="295" max="295" width="17.5703125" customWidth="1"/>
    <col min="296" max="296" width="14.28515625" customWidth="1"/>
    <col min="297" max="297" width="17.28515625" customWidth="1"/>
    <col min="298" max="298" width="15.28515625" customWidth="1"/>
    <col min="299" max="299" width="17.28515625" customWidth="1"/>
    <col min="300" max="304" width="13.5703125" customWidth="1"/>
    <col min="305" max="305" width="14.28515625" customWidth="1"/>
    <col min="306" max="306" width="15" customWidth="1"/>
    <col min="511" max="512" width="4.5703125" customWidth="1"/>
    <col min="513" max="513" width="40.5703125" customWidth="1"/>
    <col min="514" max="514" width="15.7109375" customWidth="1"/>
    <col min="515" max="515" width="16.85546875" customWidth="1"/>
    <col min="516" max="517" width="14.7109375" customWidth="1"/>
    <col min="518" max="518" width="19.140625" customWidth="1"/>
    <col min="519" max="520" width="15.5703125" customWidth="1"/>
    <col min="521" max="521" width="15.42578125" customWidth="1"/>
    <col min="522" max="522" width="16.5703125" customWidth="1"/>
    <col min="523" max="524" width="21.42578125" customWidth="1"/>
    <col min="525" max="525" width="18.7109375" customWidth="1"/>
    <col min="526" max="527" width="18.85546875" customWidth="1"/>
    <col min="528" max="528" width="20.5703125" customWidth="1"/>
    <col min="529" max="529" width="18.28515625" customWidth="1"/>
    <col min="530" max="531" width="15" customWidth="1"/>
    <col min="532" max="534" width="18.7109375" customWidth="1"/>
    <col min="535" max="535" width="15.7109375" customWidth="1"/>
    <col min="536" max="536" width="17.7109375" customWidth="1"/>
    <col min="537" max="537" width="21.28515625" customWidth="1"/>
    <col min="538" max="540" width="18.5703125" customWidth="1"/>
    <col min="541" max="541" width="15.42578125" customWidth="1"/>
    <col min="542" max="542" width="17.28515625" customWidth="1"/>
    <col min="543" max="543" width="16.140625" customWidth="1"/>
    <col min="544" max="544" width="21.42578125" customWidth="1"/>
    <col min="545" max="545" width="18.28515625" customWidth="1"/>
    <col min="546" max="546" width="21.7109375" customWidth="1"/>
    <col min="547" max="547" width="17.140625" customWidth="1"/>
    <col min="548" max="548" width="20.7109375" customWidth="1"/>
    <col min="549" max="550" width="21.85546875" customWidth="1"/>
    <col min="551" max="551" width="17.5703125" customWidth="1"/>
    <col min="552" max="552" width="14.28515625" customWidth="1"/>
    <col min="553" max="553" width="17.28515625" customWidth="1"/>
    <col min="554" max="554" width="15.28515625" customWidth="1"/>
    <col min="555" max="555" width="17.28515625" customWidth="1"/>
    <col min="556" max="560" width="13.5703125" customWidth="1"/>
    <col min="561" max="561" width="14.28515625" customWidth="1"/>
    <col min="562" max="562" width="15" customWidth="1"/>
    <col min="767" max="768" width="4.5703125" customWidth="1"/>
    <col min="769" max="769" width="40.5703125" customWidth="1"/>
    <col min="770" max="770" width="15.7109375" customWidth="1"/>
    <col min="771" max="771" width="16.85546875" customWidth="1"/>
    <col min="772" max="773" width="14.7109375" customWidth="1"/>
    <col min="774" max="774" width="19.140625" customWidth="1"/>
    <col min="775" max="776" width="15.5703125" customWidth="1"/>
    <col min="777" max="777" width="15.42578125" customWidth="1"/>
    <col min="778" max="778" width="16.5703125" customWidth="1"/>
    <col min="779" max="780" width="21.42578125" customWidth="1"/>
    <col min="781" max="781" width="18.7109375" customWidth="1"/>
    <col min="782" max="783" width="18.85546875" customWidth="1"/>
    <col min="784" max="784" width="20.5703125" customWidth="1"/>
    <col min="785" max="785" width="18.28515625" customWidth="1"/>
    <col min="786" max="787" width="15" customWidth="1"/>
    <col min="788" max="790" width="18.7109375" customWidth="1"/>
    <col min="791" max="791" width="15.7109375" customWidth="1"/>
    <col min="792" max="792" width="17.7109375" customWidth="1"/>
    <col min="793" max="793" width="21.28515625" customWidth="1"/>
    <col min="794" max="796" width="18.5703125" customWidth="1"/>
    <col min="797" max="797" width="15.42578125" customWidth="1"/>
    <col min="798" max="798" width="17.28515625" customWidth="1"/>
    <col min="799" max="799" width="16.140625" customWidth="1"/>
    <col min="800" max="800" width="21.42578125" customWidth="1"/>
    <col min="801" max="801" width="18.28515625" customWidth="1"/>
    <col min="802" max="802" width="21.7109375" customWidth="1"/>
    <col min="803" max="803" width="17.140625" customWidth="1"/>
    <col min="804" max="804" width="20.7109375" customWidth="1"/>
    <col min="805" max="806" width="21.85546875" customWidth="1"/>
    <col min="807" max="807" width="17.5703125" customWidth="1"/>
    <col min="808" max="808" width="14.28515625" customWidth="1"/>
    <col min="809" max="809" width="17.28515625" customWidth="1"/>
    <col min="810" max="810" width="15.28515625" customWidth="1"/>
    <col min="811" max="811" width="17.28515625" customWidth="1"/>
    <col min="812" max="816" width="13.5703125" customWidth="1"/>
    <col min="817" max="817" width="14.28515625" customWidth="1"/>
    <col min="818" max="818" width="15" customWidth="1"/>
    <col min="1023" max="1024" width="4.5703125" customWidth="1"/>
    <col min="1025" max="1025" width="40.5703125" customWidth="1"/>
    <col min="1026" max="1026" width="15.7109375" customWidth="1"/>
    <col min="1027" max="1027" width="16.85546875" customWidth="1"/>
    <col min="1028" max="1029" width="14.7109375" customWidth="1"/>
    <col min="1030" max="1030" width="19.140625" customWidth="1"/>
    <col min="1031" max="1032" width="15.5703125" customWidth="1"/>
    <col min="1033" max="1033" width="15.42578125" customWidth="1"/>
    <col min="1034" max="1034" width="16.5703125" customWidth="1"/>
    <col min="1035" max="1036" width="21.42578125" customWidth="1"/>
    <col min="1037" max="1037" width="18.7109375" customWidth="1"/>
    <col min="1038" max="1039" width="18.85546875" customWidth="1"/>
    <col min="1040" max="1040" width="20.5703125" customWidth="1"/>
    <col min="1041" max="1041" width="18.28515625" customWidth="1"/>
    <col min="1042" max="1043" width="15" customWidth="1"/>
    <col min="1044" max="1046" width="18.7109375" customWidth="1"/>
    <col min="1047" max="1047" width="15.7109375" customWidth="1"/>
    <col min="1048" max="1048" width="17.7109375" customWidth="1"/>
    <col min="1049" max="1049" width="21.28515625" customWidth="1"/>
    <col min="1050" max="1052" width="18.5703125" customWidth="1"/>
    <col min="1053" max="1053" width="15.42578125" customWidth="1"/>
    <col min="1054" max="1054" width="17.28515625" customWidth="1"/>
    <col min="1055" max="1055" width="16.140625" customWidth="1"/>
    <col min="1056" max="1056" width="21.42578125" customWidth="1"/>
    <col min="1057" max="1057" width="18.28515625" customWidth="1"/>
    <col min="1058" max="1058" width="21.7109375" customWidth="1"/>
    <col min="1059" max="1059" width="17.140625" customWidth="1"/>
    <col min="1060" max="1060" width="20.7109375" customWidth="1"/>
    <col min="1061" max="1062" width="21.85546875" customWidth="1"/>
    <col min="1063" max="1063" width="17.5703125" customWidth="1"/>
    <col min="1064" max="1064" width="14.28515625" customWidth="1"/>
    <col min="1065" max="1065" width="17.28515625" customWidth="1"/>
    <col min="1066" max="1066" width="15.28515625" customWidth="1"/>
    <col min="1067" max="1067" width="17.28515625" customWidth="1"/>
    <col min="1068" max="1072" width="13.5703125" customWidth="1"/>
    <col min="1073" max="1073" width="14.28515625" customWidth="1"/>
    <col min="1074" max="1074" width="15" customWidth="1"/>
    <col min="1279" max="1280" width="4.5703125" customWidth="1"/>
    <col min="1281" max="1281" width="40.5703125" customWidth="1"/>
    <col min="1282" max="1282" width="15.7109375" customWidth="1"/>
    <col min="1283" max="1283" width="16.85546875" customWidth="1"/>
    <col min="1284" max="1285" width="14.7109375" customWidth="1"/>
    <col min="1286" max="1286" width="19.140625" customWidth="1"/>
    <col min="1287" max="1288" width="15.5703125" customWidth="1"/>
    <col min="1289" max="1289" width="15.42578125" customWidth="1"/>
    <col min="1290" max="1290" width="16.5703125" customWidth="1"/>
    <col min="1291" max="1292" width="21.42578125" customWidth="1"/>
    <col min="1293" max="1293" width="18.7109375" customWidth="1"/>
    <col min="1294" max="1295" width="18.85546875" customWidth="1"/>
    <col min="1296" max="1296" width="20.5703125" customWidth="1"/>
    <col min="1297" max="1297" width="18.28515625" customWidth="1"/>
    <col min="1298" max="1299" width="15" customWidth="1"/>
    <col min="1300" max="1302" width="18.7109375" customWidth="1"/>
    <col min="1303" max="1303" width="15.7109375" customWidth="1"/>
    <col min="1304" max="1304" width="17.7109375" customWidth="1"/>
    <col min="1305" max="1305" width="21.28515625" customWidth="1"/>
    <col min="1306" max="1308" width="18.5703125" customWidth="1"/>
    <col min="1309" max="1309" width="15.42578125" customWidth="1"/>
    <col min="1310" max="1310" width="17.28515625" customWidth="1"/>
    <col min="1311" max="1311" width="16.140625" customWidth="1"/>
    <col min="1312" max="1312" width="21.42578125" customWidth="1"/>
    <col min="1313" max="1313" width="18.28515625" customWidth="1"/>
    <col min="1314" max="1314" width="21.7109375" customWidth="1"/>
    <col min="1315" max="1315" width="17.140625" customWidth="1"/>
    <col min="1316" max="1316" width="20.7109375" customWidth="1"/>
    <col min="1317" max="1318" width="21.85546875" customWidth="1"/>
    <col min="1319" max="1319" width="17.5703125" customWidth="1"/>
    <col min="1320" max="1320" width="14.28515625" customWidth="1"/>
    <col min="1321" max="1321" width="17.28515625" customWidth="1"/>
    <col min="1322" max="1322" width="15.28515625" customWidth="1"/>
    <col min="1323" max="1323" width="17.28515625" customWidth="1"/>
    <col min="1324" max="1328" width="13.5703125" customWidth="1"/>
    <col min="1329" max="1329" width="14.28515625" customWidth="1"/>
    <col min="1330" max="1330" width="15" customWidth="1"/>
    <col min="1535" max="1536" width="4.5703125" customWidth="1"/>
    <col min="1537" max="1537" width="40.5703125" customWidth="1"/>
    <col min="1538" max="1538" width="15.7109375" customWidth="1"/>
    <col min="1539" max="1539" width="16.85546875" customWidth="1"/>
    <col min="1540" max="1541" width="14.7109375" customWidth="1"/>
    <col min="1542" max="1542" width="19.140625" customWidth="1"/>
    <col min="1543" max="1544" width="15.5703125" customWidth="1"/>
    <col min="1545" max="1545" width="15.42578125" customWidth="1"/>
    <col min="1546" max="1546" width="16.5703125" customWidth="1"/>
    <col min="1547" max="1548" width="21.42578125" customWidth="1"/>
    <col min="1549" max="1549" width="18.7109375" customWidth="1"/>
    <col min="1550" max="1551" width="18.85546875" customWidth="1"/>
    <col min="1552" max="1552" width="20.5703125" customWidth="1"/>
    <col min="1553" max="1553" width="18.28515625" customWidth="1"/>
    <col min="1554" max="1555" width="15" customWidth="1"/>
    <col min="1556" max="1558" width="18.7109375" customWidth="1"/>
    <col min="1559" max="1559" width="15.7109375" customWidth="1"/>
    <col min="1560" max="1560" width="17.7109375" customWidth="1"/>
    <col min="1561" max="1561" width="21.28515625" customWidth="1"/>
    <col min="1562" max="1564" width="18.5703125" customWidth="1"/>
    <col min="1565" max="1565" width="15.42578125" customWidth="1"/>
    <col min="1566" max="1566" width="17.28515625" customWidth="1"/>
    <col min="1567" max="1567" width="16.140625" customWidth="1"/>
    <col min="1568" max="1568" width="21.42578125" customWidth="1"/>
    <col min="1569" max="1569" width="18.28515625" customWidth="1"/>
    <col min="1570" max="1570" width="21.7109375" customWidth="1"/>
    <col min="1571" max="1571" width="17.140625" customWidth="1"/>
    <col min="1572" max="1572" width="20.7109375" customWidth="1"/>
    <col min="1573" max="1574" width="21.85546875" customWidth="1"/>
    <col min="1575" max="1575" width="17.5703125" customWidth="1"/>
    <col min="1576" max="1576" width="14.28515625" customWidth="1"/>
    <col min="1577" max="1577" width="17.28515625" customWidth="1"/>
    <col min="1578" max="1578" width="15.28515625" customWidth="1"/>
    <col min="1579" max="1579" width="17.28515625" customWidth="1"/>
    <col min="1580" max="1584" width="13.5703125" customWidth="1"/>
    <col min="1585" max="1585" width="14.28515625" customWidth="1"/>
    <col min="1586" max="1586" width="15" customWidth="1"/>
    <col min="1791" max="1792" width="4.5703125" customWidth="1"/>
    <col min="1793" max="1793" width="40.5703125" customWidth="1"/>
    <col min="1794" max="1794" width="15.7109375" customWidth="1"/>
    <col min="1795" max="1795" width="16.85546875" customWidth="1"/>
    <col min="1796" max="1797" width="14.7109375" customWidth="1"/>
    <col min="1798" max="1798" width="19.140625" customWidth="1"/>
    <col min="1799" max="1800" width="15.5703125" customWidth="1"/>
    <col min="1801" max="1801" width="15.42578125" customWidth="1"/>
    <col min="1802" max="1802" width="16.5703125" customWidth="1"/>
    <col min="1803" max="1804" width="21.42578125" customWidth="1"/>
    <col min="1805" max="1805" width="18.7109375" customWidth="1"/>
    <col min="1806" max="1807" width="18.85546875" customWidth="1"/>
    <col min="1808" max="1808" width="20.5703125" customWidth="1"/>
    <col min="1809" max="1809" width="18.28515625" customWidth="1"/>
    <col min="1810" max="1811" width="15" customWidth="1"/>
    <col min="1812" max="1814" width="18.7109375" customWidth="1"/>
    <col min="1815" max="1815" width="15.7109375" customWidth="1"/>
    <col min="1816" max="1816" width="17.7109375" customWidth="1"/>
    <col min="1817" max="1817" width="21.28515625" customWidth="1"/>
    <col min="1818" max="1820" width="18.5703125" customWidth="1"/>
    <col min="1821" max="1821" width="15.42578125" customWidth="1"/>
    <col min="1822" max="1822" width="17.28515625" customWidth="1"/>
    <col min="1823" max="1823" width="16.140625" customWidth="1"/>
    <col min="1824" max="1824" width="21.42578125" customWidth="1"/>
    <col min="1825" max="1825" width="18.28515625" customWidth="1"/>
    <col min="1826" max="1826" width="21.7109375" customWidth="1"/>
    <col min="1827" max="1827" width="17.140625" customWidth="1"/>
    <col min="1828" max="1828" width="20.7109375" customWidth="1"/>
    <col min="1829" max="1830" width="21.85546875" customWidth="1"/>
    <col min="1831" max="1831" width="17.5703125" customWidth="1"/>
    <col min="1832" max="1832" width="14.28515625" customWidth="1"/>
    <col min="1833" max="1833" width="17.28515625" customWidth="1"/>
    <col min="1834" max="1834" width="15.28515625" customWidth="1"/>
    <col min="1835" max="1835" width="17.28515625" customWidth="1"/>
    <col min="1836" max="1840" width="13.5703125" customWidth="1"/>
    <col min="1841" max="1841" width="14.28515625" customWidth="1"/>
    <col min="1842" max="1842" width="15" customWidth="1"/>
    <col min="2047" max="2048" width="4.5703125" customWidth="1"/>
    <col min="2049" max="2049" width="40.5703125" customWidth="1"/>
    <col min="2050" max="2050" width="15.7109375" customWidth="1"/>
    <col min="2051" max="2051" width="16.85546875" customWidth="1"/>
    <col min="2052" max="2053" width="14.7109375" customWidth="1"/>
    <col min="2054" max="2054" width="19.140625" customWidth="1"/>
    <col min="2055" max="2056" width="15.5703125" customWidth="1"/>
    <col min="2057" max="2057" width="15.42578125" customWidth="1"/>
    <col min="2058" max="2058" width="16.5703125" customWidth="1"/>
    <col min="2059" max="2060" width="21.42578125" customWidth="1"/>
    <col min="2061" max="2061" width="18.7109375" customWidth="1"/>
    <col min="2062" max="2063" width="18.85546875" customWidth="1"/>
    <col min="2064" max="2064" width="20.5703125" customWidth="1"/>
    <col min="2065" max="2065" width="18.28515625" customWidth="1"/>
    <col min="2066" max="2067" width="15" customWidth="1"/>
    <col min="2068" max="2070" width="18.7109375" customWidth="1"/>
    <col min="2071" max="2071" width="15.7109375" customWidth="1"/>
    <col min="2072" max="2072" width="17.7109375" customWidth="1"/>
    <col min="2073" max="2073" width="21.28515625" customWidth="1"/>
    <col min="2074" max="2076" width="18.5703125" customWidth="1"/>
    <col min="2077" max="2077" width="15.42578125" customWidth="1"/>
    <col min="2078" max="2078" width="17.28515625" customWidth="1"/>
    <col min="2079" max="2079" width="16.140625" customWidth="1"/>
    <col min="2080" max="2080" width="21.42578125" customWidth="1"/>
    <col min="2081" max="2081" width="18.28515625" customWidth="1"/>
    <col min="2082" max="2082" width="21.7109375" customWidth="1"/>
    <col min="2083" max="2083" width="17.140625" customWidth="1"/>
    <col min="2084" max="2084" width="20.7109375" customWidth="1"/>
    <col min="2085" max="2086" width="21.85546875" customWidth="1"/>
    <col min="2087" max="2087" width="17.5703125" customWidth="1"/>
    <col min="2088" max="2088" width="14.28515625" customWidth="1"/>
    <col min="2089" max="2089" width="17.28515625" customWidth="1"/>
    <col min="2090" max="2090" width="15.28515625" customWidth="1"/>
    <col min="2091" max="2091" width="17.28515625" customWidth="1"/>
    <col min="2092" max="2096" width="13.5703125" customWidth="1"/>
    <col min="2097" max="2097" width="14.28515625" customWidth="1"/>
    <col min="2098" max="2098" width="15" customWidth="1"/>
    <col min="2303" max="2304" width="4.5703125" customWidth="1"/>
    <col min="2305" max="2305" width="40.5703125" customWidth="1"/>
    <col min="2306" max="2306" width="15.7109375" customWidth="1"/>
    <col min="2307" max="2307" width="16.85546875" customWidth="1"/>
    <col min="2308" max="2309" width="14.7109375" customWidth="1"/>
    <col min="2310" max="2310" width="19.140625" customWidth="1"/>
    <col min="2311" max="2312" width="15.5703125" customWidth="1"/>
    <col min="2313" max="2313" width="15.42578125" customWidth="1"/>
    <col min="2314" max="2314" width="16.5703125" customWidth="1"/>
    <col min="2315" max="2316" width="21.42578125" customWidth="1"/>
    <col min="2317" max="2317" width="18.7109375" customWidth="1"/>
    <col min="2318" max="2319" width="18.85546875" customWidth="1"/>
    <col min="2320" max="2320" width="20.5703125" customWidth="1"/>
    <col min="2321" max="2321" width="18.28515625" customWidth="1"/>
    <col min="2322" max="2323" width="15" customWidth="1"/>
    <col min="2324" max="2326" width="18.7109375" customWidth="1"/>
    <col min="2327" max="2327" width="15.7109375" customWidth="1"/>
    <col min="2328" max="2328" width="17.7109375" customWidth="1"/>
    <col min="2329" max="2329" width="21.28515625" customWidth="1"/>
    <col min="2330" max="2332" width="18.5703125" customWidth="1"/>
    <col min="2333" max="2333" width="15.42578125" customWidth="1"/>
    <col min="2334" max="2334" width="17.28515625" customWidth="1"/>
    <col min="2335" max="2335" width="16.140625" customWidth="1"/>
    <col min="2336" max="2336" width="21.42578125" customWidth="1"/>
    <col min="2337" max="2337" width="18.28515625" customWidth="1"/>
    <col min="2338" max="2338" width="21.7109375" customWidth="1"/>
    <col min="2339" max="2339" width="17.140625" customWidth="1"/>
    <col min="2340" max="2340" width="20.7109375" customWidth="1"/>
    <col min="2341" max="2342" width="21.85546875" customWidth="1"/>
    <col min="2343" max="2343" width="17.5703125" customWidth="1"/>
    <col min="2344" max="2344" width="14.28515625" customWidth="1"/>
    <col min="2345" max="2345" width="17.28515625" customWidth="1"/>
    <col min="2346" max="2346" width="15.28515625" customWidth="1"/>
    <col min="2347" max="2347" width="17.28515625" customWidth="1"/>
    <col min="2348" max="2352" width="13.5703125" customWidth="1"/>
    <col min="2353" max="2353" width="14.28515625" customWidth="1"/>
    <col min="2354" max="2354" width="15" customWidth="1"/>
    <col min="2559" max="2560" width="4.5703125" customWidth="1"/>
    <col min="2561" max="2561" width="40.5703125" customWidth="1"/>
    <col min="2562" max="2562" width="15.7109375" customWidth="1"/>
    <col min="2563" max="2563" width="16.85546875" customWidth="1"/>
    <col min="2564" max="2565" width="14.7109375" customWidth="1"/>
    <col min="2566" max="2566" width="19.140625" customWidth="1"/>
    <col min="2567" max="2568" width="15.5703125" customWidth="1"/>
    <col min="2569" max="2569" width="15.42578125" customWidth="1"/>
    <col min="2570" max="2570" width="16.5703125" customWidth="1"/>
    <col min="2571" max="2572" width="21.42578125" customWidth="1"/>
    <col min="2573" max="2573" width="18.7109375" customWidth="1"/>
    <col min="2574" max="2575" width="18.85546875" customWidth="1"/>
    <col min="2576" max="2576" width="20.5703125" customWidth="1"/>
    <col min="2577" max="2577" width="18.28515625" customWidth="1"/>
    <col min="2578" max="2579" width="15" customWidth="1"/>
    <col min="2580" max="2582" width="18.7109375" customWidth="1"/>
    <col min="2583" max="2583" width="15.7109375" customWidth="1"/>
    <col min="2584" max="2584" width="17.7109375" customWidth="1"/>
    <col min="2585" max="2585" width="21.28515625" customWidth="1"/>
    <col min="2586" max="2588" width="18.5703125" customWidth="1"/>
    <col min="2589" max="2589" width="15.42578125" customWidth="1"/>
    <col min="2590" max="2590" width="17.28515625" customWidth="1"/>
    <col min="2591" max="2591" width="16.140625" customWidth="1"/>
    <col min="2592" max="2592" width="21.42578125" customWidth="1"/>
    <col min="2593" max="2593" width="18.28515625" customWidth="1"/>
    <col min="2594" max="2594" width="21.7109375" customWidth="1"/>
    <col min="2595" max="2595" width="17.140625" customWidth="1"/>
    <col min="2596" max="2596" width="20.7109375" customWidth="1"/>
    <col min="2597" max="2598" width="21.85546875" customWidth="1"/>
    <col min="2599" max="2599" width="17.5703125" customWidth="1"/>
    <col min="2600" max="2600" width="14.28515625" customWidth="1"/>
    <col min="2601" max="2601" width="17.28515625" customWidth="1"/>
    <col min="2602" max="2602" width="15.28515625" customWidth="1"/>
    <col min="2603" max="2603" width="17.28515625" customWidth="1"/>
    <col min="2604" max="2608" width="13.5703125" customWidth="1"/>
    <col min="2609" max="2609" width="14.28515625" customWidth="1"/>
    <col min="2610" max="2610" width="15" customWidth="1"/>
    <col min="2815" max="2816" width="4.5703125" customWidth="1"/>
    <col min="2817" max="2817" width="40.5703125" customWidth="1"/>
    <col min="2818" max="2818" width="15.7109375" customWidth="1"/>
    <col min="2819" max="2819" width="16.85546875" customWidth="1"/>
    <col min="2820" max="2821" width="14.7109375" customWidth="1"/>
    <col min="2822" max="2822" width="19.140625" customWidth="1"/>
    <col min="2823" max="2824" width="15.5703125" customWidth="1"/>
    <col min="2825" max="2825" width="15.42578125" customWidth="1"/>
    <col min="2826" max="2826" width="16.5703125" customWidth="1"/>
    <col min="2827" max="2828" width="21.42578125" customWidth="1"/>
    <col min="2829" max="2829" width="18.7109375" customWidth="1"/>
    <col min="2830" max="2831" width="18.85546875" customWidth="1"/>
    <col min="2832" max="2832" width="20.5703125" customWidth="1"/>
    <col min="2833" max="2833" width="18.28515625" customWidth="1"/>
    <col min="2834" max="2835" width="15" customWidth="1"/>
    <col min="2836" max="2838" width="18.7109375" customWidth="1"/>
    <col min="2839" max="2839" width="15.7109375" customWidth="1"/>
    <col min="2840" max="2840" width="17.7109375" customWidth="1"/>
    <col min="2841" max="2841" width="21.28515625" customWidth="1"/>
    <col min="2842" max="2844" width="18.5703125" customWidth="1"/>
    <col min="2845" max="2845" width="15.42578125" customWidth="1"/>
    <col min="2846" max="2846" width="17.28515625" customWidth="1"/>
    <col min="2847" max="2847" width="16.140625" customWidth="1"/>
    <col min="2848" max="2848" width="21.42578125" customWidth="1"/>
    <col min="2849" max="2849" width="18.28515625" customWidth="1"/>
    <col min="2850" max="2850" width="21.7109375" customWidth="1"/>
    <col min="2851" max="2851" width="17.140625" customWidth="1"/>
    <col min="2852" max="2852" width="20.7109375" customWidth="1"/>
    <col min="2853" max="2854" width="21.85546875" customWidth="1"/>
    <col min="2855" max="2855" width="17.5703125" customWidth="1"/>
    <col min="2856" max="2856" width="14.28515625" customWidth="1"/>
    <col min="2857" max="2857" width="17.28515625" customWidth="1"/>
    <col min="2858" max="2858" width="15.28515625" customWidth="1"/>
    <col min="2859" max="2859" width="17.28515625" customWidth="1"/>
    <col min="2860" max="2864" width="13.5703125" customWidth="1"/>
    <col min="2865" max="2865" width="14.28515625" customWidth="1"/>
    <col min="2866" max="2866" width="15" customWidth="1"/>
    <col min="3071" max="3072" width="4.5703125" customWidth="1"/>
    <col min="3073" max="3073" width="40.5703125" customWidth="1"/>
    <col min="3074" max="3074" width="15.7109375" customWidth="1"/>
    <col min="3075" max="3075" width="16.85546875" customWidth="1"/>
    <col min="3076" max="3077" width="14.7109375" customWidth="1"/>
    <col min="3078" max="3078" width="19.140625" customWidth="1"/>
    <col min="3079" max="3080" width="15.5703125" customWidth="1"/>
    <col min="3081" max="3081" width="15.42578125" customWidth="1"/>
    <col min="3082" max="3082" width="16.5703125" customWidth="1"/>
    <col min="3083" max="3084" width="21.42578125" customWidth="1"/>
    <col min="3085" max="3085" width="18.7109375" customWidth="1"/>
    <col min="3086" max="3087" width="18.85546875" customWidth="1"/>
    <col min="3088" max="3088" width="20.5703125" customWidth="1"/>
    <col min="3089" max="3089" width="18.28515625" customWidth="1"/>
    <col min="3090" max="3091" width="15" customWidth="1"/>
    <col min="3092" max="3094" width="18.7109375" customWidth="1"/>
    <col min="3095" max="3095" width="15.7109375" customWidth="1"/>
    <col min="3096" max="3096" width="17.7109375" customWidth="1"/>
    <col min="3097" max="3097" width="21.28515625" customWidth="1"/>
    <col min="3098" max="3100" width="18.5703125" customWidth="1"/>
    <col min="3101" max="3101" width="15.42578125" customWidth="1"/>
    <col min="3102" max="3102" width="17.28515625" customWidth="1"/>
    <col min="3103" max="3103" width="16.140625" customWidth="1"/>
    <col min="3104" max="3104" width="21.42578125" customWidth="1"/>
    <col min="3105" max="3105" width="18.28515625" customWidth="1"/>
    <col min="3106" max="3106" width="21.7109375" customWidth="1"/>
    <col min="3107" max="3107" width="17.140625" customWidth="1"/>
    <col min="3108" max="3108" width="20.7109375" customWidth="1"/>
    <col min="3109" max="3110" width="21.85546875" customWidth="1"/>
    <col min="3111" max="3111" width="17.5703125" customWidth="1"/>
    <col min="3112" max="3112" width="14.28515625" customWidth="1"/>
    <col min="3113" max="3113" width="17.28515625" customWidth="1"/>
    <col min="3114" max="3114" width="15.28515625" customWidth="1"/>
    <col min="3115" max="3115" width="17.28515625" customWidth="1"/>
    <col min="3116" max="3120" width="13.5703125" customWidth="1"/>
    <col min="3121" max="3121" width="14.28515625" customWidth="1"/>
    <col min="3122" max="3122" width="15" customWidth="1"/>
    <col min="3327" max="3328" width="4.5703125" customWidth="1"/>
    <col min="3329" max="3329" width="40.5703125" customWidth="1"/>
    <col min="3330" max="3330" width="15.7109375" customWidth="1"/>
    <col min="3331" max="3331" width="16.85546875" customWidth="1"/>
    <col min="3332" max="3333" width="14.7109375" customWidth="1"/>
    <col min="3334" max="3334" width="19.140625" customWidth="1"/>
    <col min="3335" max="3336" width="15.5703125" customWidth="1"/>
    <col min="3337" max="3337" width="15.42578125" customWidth="1"/>
    <col min="3338" max="3338" width="16.5703125" customWidth="1"/>
    <col min="3339" max="3340" width="21.42578125" customWidth="1"/>
    <col min="3341" max="3341" width="18.7109375" customWidth="1"/>
    <col min="3342" max="3343" width="18.85546875" customWidth="1"/>
    <col min="3344" max="3344" width="20.5703125" customWidth="1"/>
    <col min="3345" max="3345" width="18.28515625" customWidth="1"/>
    <col min="3346" max="3347" width="15" customWidth="1"/>
    <col min="3348" max="3350" width="18.7109375" customWidth="1"/>
    <col min="3351" max="3351" width="15.7109375" customWidth="1"/>
    <col min="3352" max="3352" width="17.7109375" customWidth="1"/>
    <col min="3353" max="3353" width="21.28515625" customWidth="1"/>
    <col min="3354" max="3356" width="18.5703125" customWidth="1"/>
    <col min="3357" max="3357" width="15.42578125" customWidth="1"/>
    <col min="3358" max="3358" width="17.28515625" customWidth="1"/>
    <col min="3359" max="3359" width="16.140625" customWidth="1"/>
    <col min="3360" max="3360" width="21.42578125" customWidth="1"/>
    <col min="3361" max="3361" width="18.28515625" customWidth="1"/>
    <col min="3362" max="3362" width="21.7109375" customWidth="1"/>
    <col min="3363" max="3363" width="17.140625" customWidth="1"/>
    <col min="3364" max="3364" width="20.7109375" customWidth="1"/>
    <col min="3365" max="3366" width="21.85546875" customWidth="1"/>
    <col min="3367" max="3367" width="17.5703125" customWidth="1"/>
    <col min="3368" max="3368" width="14.28515625" customWidth="1"/>
    <col min="3369" max="3369" width="17.28515625" customWidth="1"/>
    <col min="3370" max="3370" width="15.28515625" customWidth="1"/>
    <col min="3371" max="3371" width="17.28515625" customWidth="1"/>
    <col min="3372" max="3376" width="13.5703125" customWidth="1"/>
    <col min="3377" max="3377" width="14.28515625" customWidth="1"/>
    <col min="3378" max="3378" width="15" customWidth="1"/>
    <col min="3583" max="3584" width="4.5703125" customWidth="1"/>
    <col min="3585" max="3585" width="40.5703125" customWidth="1"/>
    <col min="3586" max="3586" width="15.7109375" customWidth="1"/>
    <col min="3587" max="3587" width="16.85546875" customWidth="1"/>
    <col min="3588" max="3589" width="14.7109375" customWidth="1"/>
    <col min="3590" max="3590" width="19.140625" customWidth="1"/>
    <col min="3591" max="3592" width="15.5703125" customWidth="1"/>
    <col min="3593" max="3593" width="15.42578125" customWidth="1"/>
    <col min="3594" max="3594" width="16.5703125" customWidth="1"/>
    <col min="3595" max="3596" width="21.42578125" customWidth="1"/>
    <col min="3597" max="3597" width="18.7109375" customWidth="1"/>
    <col min="3598" max="3599" width="18.85546875" customWidth="1"/>
    <col min="3600" max="3600" width="20.5703125" customWidth="1"/>
    <col min="3601" max="3601" width="18.28515625" customWidth="1"/>
    <col min="3602" max="3603" width="15" customWidth="1"/>
    <col min="3604" max="3606" width="18.7109375" customWidth="1"/>
    <col min="3607" max="3607" width="15.7109375" customWidth="1"/>
    <col min="3608" max="3608" width="17.7109375" customWidth="1"/>
    <col min="3609" max="3609" width="21.28515625" customWidth="1"/>
    <col min="3610" max="3612" width="18.5703125" customWidth="1"/>
    <col min="3613" max="3613" width="15.42578125" customWidth="1"/>
    <col min="3614" max="3614" width="17.28515625" customWidth="1"/>
    <col min="3615" max="3615" width="16.140625" customWidth="1"/>
    <col min="3616" max="3616" width="21.42578125" customWidth="1"/>
    <col min="3617" max="3617" width="18.28515625" customWidth="1"/>
    <col min="3618" max="3618" width="21.7109375" customWidth="1"/>
    <col min="3619" max="3619" width="17.140625" customWidth="1"/>
    <col min="3620" max="3620" width="20.7109375" customWidth="1"/>
    <col min="3621" max="3622" width="21.85546875" customWidth="1"/>
    <col min="3623" max="3623" width="17.5703125" customWidth="1"/>
    <col min="3624" max="3624" width="14.28515625" customWidth="1"/>
    <col min="3625" max="3625" width="17.28515625" customWidth="1"/>
    <col min="3626" max="3626" width="15.28515625" customWidth="1"/>
    <col min="3627" max="3627" width="17.28515625" customWidth="1"/>
    <col min="3628" max="3632" width="13.5703125" customWidth="1"/>
    <col min="3633" max="3633" width="14.28515625" customWidth="1"/>
    <col min="3634" max="3634" width="15" customWidth="1"/>
    <col min="3839" max="3840" width="4.5703125" customWidth="1"/>
    <col min="3841" max="3841" width="40.5703125" customWidth="1"/>
    <col min="3842" max="3842" width="15.7109375" customWidth="1"/>
    <col min="3843" max="3843" width="16.85546875" customWidth="1"/>
    <col min="3844" max="3845" width="14.7109375" customWidth="1"/>
    <col min="3846" max="3846" width="19.140625" customWidth="1"/>
    <col min="3847" max="3848" width="15.5703125" customWidth="1"/>
    <col min="3849" max="3849" width="15.42578125" customWidth="1"/>
    <col min="3850" max="3850" width="16.5703125" customWidth="1"/>
    <col min="3851" max="3852" width="21.42578125" customWidth="1"/>
    <col min="3853" max="3853" width="18.7109375" customWidth="1"/>
    <col min="3854" max="3855" width="18.85546875" customWidth="1"/>
    <col min="3856" max="3856" width="20.5703125" customWidth="1"/>
    <col min="3857" max="3857" width="18.28515625" customWidth="1"/>
    <col min="3858" max="3859" width="15" customWidth="1"/>
    <col min="3860" max="3862" width="18.7109375" customWidth="1"/>
    <col min="3863" max="3863" width="15.7109375" customWidth="1"/>
    <col min="3864" max="3864" width="17.7109375" customWidth="1"/>
    <col min="3865" max="3865" width="21.28515625" customWidth="1"/>
    <col min="3866" max="3868" width="18.5703125" customWidth="1"/>
    <col min="3869" max="3869" width="15.42578125" customWidth="1"/>
    <col min="3870" max="3870" width="17.28515625" customWidth="1"/>
    <col min="3871" max="3871" width="16.140625" customWidth="1"/>
    <col min="3872" max="3872" width="21.42578125" customWidth="1"/>
    <col min="3873" max="3873" width="18.28515625" customWidth="1"/>
    <col min="3874" max="3874" width="21.7109375" customWidth="1"/>
    <col min="3875" max="3875" width="17.140625" customWidth="1"/>
    <col min="3876" max="3876" width="20.7109375" customWidth="1"/>
    <col min="3877" max="3878" width="21.85546875" customWidth="1"/>
    <col min="3879" max="3879" width="17.5703125" customWidth="1"/>
    <col min="3880" max="3880" width="14.28515625" customWidth="1"/>
    <col min="3881" max="3881" width="17.28515625" customWidth="1"/>
    <col min="3882" max="3882" width="15.28515625" customWidth="1"/>
    <col min="3883" max="3883" width="17.28515625" customWidth="1"/>
    <col min="3884" max="3888" width="13.5703125" customWidth="1"/>
    <col min="3889" max="3889" width="14.28515625" customWidth="1"/>
    <col min="3890" max="3890" width="15" customWidth="1"/>
    <col min="4095" max="4096" width="4.5703125" customWidth="1"/>
    <col min="4097" max="4097" width="40.5703125" customWidth="1"/>
    <col min="4098" max="4098" width="15.7109375" customWidth="1"/>
    <col min="4099" max="4099" width="16.85546875" customWidth="1"/>
    <col min="4100" max="4101" width="14.7109375" customWidth="1"/>
    <col min="4102" max="4102" width="19.140625" customWidth="1"/>
    <col min="4103" max="4104" width="15.5703125" customWidth="1"/>
    <col min="4105" max="4105" width="15.42578125" customWidth="1"/>
    <col min="4106" max="4106" width="16.5703125" customWidth="1"/>
    <col min="4107" max="4108" width="21.42578125" customWidth="1"/>
    <col min="4109" max="4109" width="18.7109375" customWidth="1"/>
    <col min="4110" max="4111" width="18.85546875" customWidth="1"/>
    <col min="4112" max="4112" width="20.5703125" customWidth="1"/>
    <col min="4113" max="4113" width="18.28515625" customWidth="1"/>
    <col min="4114" max="4115" width="15" customWidth="1"/>
    <col min="4116" max="4118" width="18.7109375" customWidth="1"/>
    <col min="4119" max="4119" width="15.7109375" customWidth="1"/>
    <col min="4120" max="4120" width="17.7109375" customWidth="1"/>
    <col min="4121" max="4121" width="21.28515625" customWidth="1"/>
    <col min="4122" max="4124" width="18.5703125" customWidth="1"/>
    <col min="4125" max="4125" width="15.42578125" customWidth="1"/>
    <col min="4126" max="4126" width="17.28515625" customWidth="1"/>
    <col min="4127" max="4127" width="16.140625" customWidth="1"/>
    <col min="4128" max="4128" width="21.42578125" customWidth="1"/>
    <col min="4129" max="4129" width="18.28515625" customWidth="1"/>
    <col min="4130" max="4130" width="21.7109375" customWidth="1"/>
    <col min="4131" max="4131" width="17.140625" customWidth="1"/>
    <col min="4132" max="4132" width="20.7109375" customWidth="1"/>
    <col min="4133" max="4134" width="21.85546875" customWidth="1"/>
    <col min="4135" max="4135" width="17.5703125" customWidth="1"/>
    <col min="4136" max="4136" width="14.28515625" customWidth="1"/>
    <col min="4137" max="4137" width="17.28515625" customWidth="1"/>
    <col min="4138" max="4138" width="15.28515625" customWidth="1"/>
    <col min="4139" max="4139" width="17.28515625" customWidth="1"/>
    <col min="4140" max="4144" width="13.5703125" customWidth="1"/>
    <col min="4145" max="4145" width="14.28515625" customWidth="1"/>
    <col min="4146" max="4146" width="15" customWidth="1"/>
    <col min="4351" max="4352" width="4.5703125" customWidth="1"/>
    <col min="4353" max="4353" width="40.5703125" customWidth="1"/>
    <col min="4354" max="4354" width="15.7109375" customWidth="1"/>
    <col min="4355" max="4355" width="16.85546875" customWidth="1"/>
    <col min="4356" max="4357" width="14.7109375" customWidth="1"/>
    <col min="4358" max="4358" width="19.140625" customWidth="1"/>
    <col min="4359" max="4360" width="15.5703125" customWidth="1"/>
    <col min="4361" max="4361" width="15.42578125" customWidth="1"/>
    <col min="4362" max="4362" width="16.5703125" customWidth="1"/>
    <col min="4363" max="4364" width="21.42578125" customWidth="1"/>
    <col min="4365" max="4365" width="18.7109375" customWidth="1"/>
    <col min="4366" max="4367" width="18.85546875" customWidth="1"/>
    <col min="4368" max="4368" width="20.5703125" customWidth="1"/>
    <col min="4369" max="4369" width="18.28515625" customWidth="1"/>
    <col min="4370" max="4371" width="15" customWidth="1"/>
    <col min="4372" max="4374" width="18.7109375" customWidth="1"/>
    <col min="4375" max="4375" width="15.7109375" customWidth="1"/>
    <col min="4376" max="4376" width="17.7109375" customWidth="1"/>
    <col min="4377" max="4377" width="21.28515625" customWidth="1"/>
    <col min="4378" max="4380" width="18.5703125" customWidth="1"/>
    <col min="4381" max="4381" width="15.42578125" customWidth="1"/>
    <col min="4382" max="4382" width="17.28515625" customWidth="1"/>
    <col min="4383" max="4383" width="16.140625" customWidth="1"/>
    <col min="4384" max="4384" width="21.42578125" customWidth="1"/>
    <col min="4385" max="4385" width="18.28515625" customWidth="1"/>
    <col min="4386" max="4386" width="21.7109375" customWidth="1"/>
    <col min="4387" max="4387" width="17.140625" customWidth="1"/>
    <col min="4388" max="4388" width="20.7109375" customWidth="1"/>
    <col min="4389" max="4390" width="21.85546875" customWidth="1"/>
    <col min="4391" max="4391" width="17.5703125" customWidth="1"/>
    <col min="4392" max="4392" width="14.28515625" customWidth="1"/>
    <col min="4393" max="4393" width="17.28515625" customWidth="1"/>
    <col min="4394" max="4394" width="15.28515625" customWidth="1"/>
    <col min="4395" max="4395" width="17.28515625" customWidth="1"/>
    <col min="4396" max="4400" width="13.5703125" customWidth="1"/>
    <col min="4401" max="4401" width="14.28515625" customWidth="1"/>
    <col min="4402" max="4402" width="15" customWidth="1"/>
    <col min="4607" max="4608" width="4.5703125" customWidth="1"/>
    <col min="4609" max="4609" width="40.5703125" customWidth="1"/>
    <col min="4610" max="4610" width="15.7109375" customWidth="1"/>
    <col min="4611" max="4611" width="16.85546875" customWidth="1"/>
    <col min="4612" max="4613" width="14.7109375" customWidth="1"/>
    <col min="4614" max="4614" width="19.140625" customWidth="1"/>
    <col min="4615" max="4616" width="15.5703125" customWidth="1"/>
    <col min="4617" max="4617" width="15.42578125" customWidth="1"/>
    <col min="4618" max="4618" width="16.5703125" customWidth="1"/>
    <col min="4619" max="4620" width="21.42578125" customWidth="1"/>
    <col min="4621" max="4621" width="18.7109375" customWidth="1"/>
    <col min="4622" max="4623" width="18.85546875" customWidth="1"/>
    <col min="4624" max="4624" width="20.5703125" customWidth="1"/>
    <col min="4625" max="4625" width="18.28515625" customWidth="1"/>
    <col min="4626" max="4627" width="15" customWidth="1"/>
    <col min="4628" max="4630" width="18.7109375" customWidth="1"/>
    <col min="4631" max="4631" width="15.7109375" customWidth="1"/>
    <col min="4632" max="4632" width="17.7109375" customWidth="1"/>
    <col min="4633" max="4633" width="21.28515625" customWidth="1"/>
    <col min="4634" max="4636" width="18.5703125" customWidth="1"/>
    <col min="4637" max="4637" width="15.42578125" customWidth="1"/>
    <col min="4638" max="4638" width="17.28515625" customWidth="1"/>
    <col min="4639" max="4639" width="16.140625" customWidth="1"/>
    <col min="4640" max="4640" width="21.42578125" customWidth="1"/>
    <col min="4641" max="4641" width="18.28515625" customWidth="1"/>
    <col min="4642" max="4642" width="21.7109375" customWidth="1"/>
    <col min="4643" max="4643" width="17.140625" customWidth="1"/>
    <col min="4644" max="4644" width="20.7109375" customWidth="1"/>
    <col min="4645" max="4646" width="21.85546875" customWidth="1"/>
    <col min="4647" max="4647" width="17.5703125" customWidth="1"/>
    <col min="4648" max="4648" width="14.28515625" customWidth="1"/>
    <col min="4649" max="4649" width="17.28515625" customWidth="1"/>
    <col min="4650" max="4650" width="15.28515625" customWidth="1"/>
    <col min="4651" max="4651" width="17.28515625" customWidth="1"/>
    <col min="4652" max="4656" width="13.5703125" customWidth="1"/>
    <col min="4657" max="4657" width="14.28515625" customWidth="1"/>
    <col min="4658" max="4658" width="15" customWidth="1"/>
    <col min="4863" max="4864" width="4.5703125" customWidth="1"/>
    <col min="4865" max="4865" width="40.5703125" customWidth="1"/>
    <col min="4866" max="4866" width="15.7109375" customWidth="1"/>
    <col min="4867" max="4867" width="16.85546875" customWidth="1"/>
    <col min="4868" max="4869" width="14.7109375" customWidth="1"/>
    <col min="4870" max="4870" width="19.140625" customWidth="1"/>
    <col min="4871" max="4872" width="15.5703125" customWidth="1"/>
    <col min="4873" max="4873" width="15.42578125" customWidth="1"/>
    <col min="4874" max="4874" width="16.5703125" customWidth="1"/>
    <col min="4875" max="4876" width="21.42578125" customWidth="1"/>
    <col min="4877" max="4877" width="18.7109375" customWidth="1"/>
    <col min="4878" max="4879" width="18.85546875" customWidth="1"/>
    <col min="4880" max="4880" width="20.5703125" customWidth="1"/>
    <col min="4881" max="4881" width="18.28515625" customWidth="1"/>
    <col min="4882" max="4883" width="15" customWidth="1"/>
    <col min="4884" max="4886" width="18.7109375" customWidth="1"/>
    <col min="4887" max="4887" width="15.7109375" customWidth="1"/>
    <col min="4888" max="4888" width="17.7109375" customWidth="1"/>
    <col min="4889" max="4889" width="21.28515625" customWidth="1"/>
    <col min="4890" max="4892" width="18.5703125" customWidth="1"/>
    <col min="4893" max="4893" width="15.42578125" customWidth="1"/>
    <col min="4894" max="4894" width="17.28515625" customWidth="1"/>
    <col min="4895" max="4895" width="16.140625" customWidth="1"/>
    <col min="4896" max="4896" width="21.42578125" customWidth="1"/>
    <col min="4897" max="4897" width="18.28515625" customWidth="1"/>
    <col min="4898" max="4898" width="21.7109375" customWidth="1"/>
    <col min="4899" max="4899" width="17.140625" customWidth="1"/>
    <col min="4900" max="4900" width="20.7109375" customWidth="1"/>
    <col min="4901" max="4902" width="21.85546875" customWidth="1"/>
    <col min="4903" max="4903" width="17.5703125" customWidth="1"/>
    <col min="4904" max="4904" width="14.28515625" customWidth="1"/>
    <col min="4905" max="4905" width="17.28515625" customWidth="1"/>
    <col min="4906" max="4906" width="15.28515625" customWidth="1"/>
    <col min="4907" max="4907" width="17.28515625" customWidth="1"/>
    <col min="4908" max="4912" width="13.5703125" customWidth="1"/>
    <col min="4913" max="4913" width="14.28515625" customWidth="1"/>
    <col min="4914" max="4914" width="15" customWidth="1"/>
    <col min="5119" max="5120" width="4.5703125" customWidth="1"/>
    <col min="5121" max="5121" width="40.5703125" customWidth="1"/>
    <col min="5122" max="5122" width="15.7109375" customWidth="1"/>
    <col min="5123" max="5123" width="16.85546875" customWidth="1"/>
    <col min="5124" max="5125" width="14.7109375" customWidth="1"/>
    <col min="5126" max="5126" width="19.140625" customWidth="1"/>
    <col min="5127" max="5128" width="15.5703125" customWidth="1"/>
    <col min="5129" max="5129" width="15.42578125" customWidth="1"/>
    <col min="5130" max="5130" width="16.5703125" customWidth="1"/>
    <col min="5131" max="5132" width="21.42578125" customWidth="1"/>
    <col min="5133" max="5133" width="18.7109375" customWidth="1"/>
    <col min="5134" max="5135" width="18.85546875" customWidth="1"/>
    <col min="5136" max="5136" width="20.5703125" customWidth="1"/>
    <col min="5137" max="5137" width="18.28515625" customWidth="1"/>
    <col min="5138" max="5139" width="15" customWidth="1"/>
    <col min="5140" max="5142" width="18.7109375" customWidth="1"/>
    <col min="5143" max="5143" width="15.7109375" customWidth="1"/>
    <col min="5144" max="5144" width="17.7109375" customWidth="1"/>
    <col min="5145" max="5145" width="21.28515625" customWidth="1"/>
    <col min="5146" max="5148" width="18.5703125" customWidth="1"/>
    <col min="5149" max="5149" width="15.42578125" customWidth="1"/>
    <col min="5150" max="5150" width="17.28515625" customWidth="1"/>
    <col min="5151" max="5151" width="16.140625" customWidth="1"/>
    <col min="5152" max="5152" width="21.42578125" customWidth="1"/>
    <col min="5153" max="5153" width="18.28515625" customWidth="1"/>
    <col min="5154" max="5154" width="21.7109375" customWidth="1"/>
    <col min="5155" max="5155" width="17.140625" customWidth="1"/>
    <col min="5156" max="5156" width="20.7109375" customWidth="1"/>
    <col min="5157" max="5158" width="21.85546875" customWidth="1"/>
    <col min="5159" max="5159" width="17.5703125" customWidth="1"/>
    <col min="5160" max="5160" width="14.28515625" customWidth="1"/>
    <col min="5161" max="5161" width="17.28515625" customWidth="1"/>
    <col min="5162" max="5162" width="15.28515625" customWidth="1"/>
    <col min="5163" max="5163" width="17.28515625" customWidth="1"/>
    <col min="5164" max="5168" width="13.5703125" customWidth="1"/>
    <col min="5169" max="5169" width="14.28515625" customWidth="1"/>
    <col min="5170" max="5170" width="15" customWidth="1"/>
    <col min="5375" max="5376" width="4.5703125" customWidth="1"/>
    <col min="5377" max="5377" width="40.5703125" customWidth="1"/>
    <col min="5378" max="5378" width="15.7109375" customWidth="1"/>
    <col min="5379" max="5379" width="16.85546875" customWidth="1"/>
    <col min="5380" max="5381" width="14.7109375" customWidth="1"/>
    <col min="5382" max="5382" width="19.140625" customWidth="1"/>
    <col min="5383" max="5384" width="15.5703125" customWidth="1"/>
    <col min="5385" max="5385" width="15.42578125" customWidth="1"/>
    <col min="5386" max="5386" width="16.5703125" customWidth="1"/>
    <col min="5387" max="5388" width="21.42578125" customWidth="1"/>
    <col min="5389" max="5389" width="18.7109375" customWidth="1"/>
    <col min="5390" max="5391" width="18.85546875" customWidth="1"/>
    <col min="5392" max="5392" width="20.5703125" customWidth="1"/>
    <col min="5393" max="5393" width="18.28515625" customWidth="1"/>
    <col min="5394" max="5395" width="15" customWidth="1"/>
    <col min="5396" max="5398" width="18.7109375" customWidth="1"/>
    <col min="5399" max="5399" width="15.7109375" customWidth="1"/>
    <col min="5400" max="5400" width="17.7109375" customWidth="1"/>
    <col min="5401" max="5401" width="21.28515625" customWidth="1"/>
    <col min="5402" max="5404" width="18.5703125" customWidth="1"/>
    <col min="5405" max="5405" width="15.42578125" customWidth="1"/>
    <col min="5406" max="5406" width="17.28515625" customWidth="1"/>
    <col min="5407" max="5407" width="16.140625" customWidth="1"/>
    <col min="5408" max="5408" width="21.42578125" customWidth="1"/>
    <col min="5409" max="5409" width="18.28515625" customWidth="1"/>
    <col min="5410" max="5410" width="21.7109375" customWidth="1"/>
    <col min="5411" max="5411" width="17.140625" customWidth="1"/>
    <col min="5412" max="5412" width="20.7109375" customWidth="1"/>
    <col min="5413" max="5414" width="21.85546875" customWidth="1"/>
    <col min="5415" max="5415" width="17.5703125" customWidth="1"/>
    <col min="5416" max="5416" width="14.28515625" customWidth="1"/>
    <col min="5417" max="5417" width="17.28515625" customWidth="1"/>
    <col min="5418" max="5418" width="15.28515625" customWidth="1"/>
    <col min="5419" max="5419" width="17.28515625" customWidth="1"/>
    <col min="5420" max="5424" width="13.5703125" customWidth="1"/>
    <col min="5425" max="5425" width="14.28515625" customWidth="1"/>
    <col min="5426" max="5426" width="15" customWidth="1"/>
    <col min="5631" max="5632" width="4.5703125" customWidth="1"/>
    <col min="5633" max="5633" width="40.5703125" customWidth="1"/>
    <col min="5634" max="5634" width="15.7109375" customWidth="1"/>
    <col min="5635" max="5635" width="16.85546875" customWidth="1"/>
    <col min="5636" max="5637" width="14.7109375" customWidth="1"/>
    <col min="5638" max="5638" width="19.140625" customWidth="1"/>
    <col min="5639" max="5640" width="15.5703125" customWidth="1"/>
    <col min="5641" max="5641" width="15.42578125" customWidth="1"/>
    <col min="5642" max="5642" width="16.5703125" customWidth="1"/>
    <col min="5643" max="5644" width="21.42578125" customWidth="1"/>
    <col min="5645" max="5645" width="18.7109375" customWidth="1"/>
    <col min="5646" max="5647" width="18.85546875" customWidth="1"/>
    <col min="5648" max="5648" width="20.5703125" customWidth="1"/>
    <col min="5649" max="5649" width="18.28515625" customWidth="1"/>
    <col min="5650" max="5651" width="15" customWidth="1"/>
    <col min="5652" max="5654" width="18.7109375" customWidth="1"/>
    <col min="5655" max="5655" width="15.7109375" customWidth="1"/>
    <col min="5656" max="5656" width="17.7109375" customWidth="1"/>
    <col min="5657" max="5657" width="21.28515625" customWidth="1"/>
    <col min="5658" max="5660" width="18.5703125" customWidth="1"/>
    <col min="5661" max="5661" width="15.42578125" customWidth="1"/>
    <col min="5662" max="5662" width="17.28515625" customWidth="1"/>
    <col min="5663" max="5663" width="16.140625" customWidth="1"/>
    <col min="5664" max="5664" width="21.42578125" customWidth="1"/>
    <col min="5665" max="5665" width="18.28515625" customWidth="1"/>
    <col min="5666" max="5666" width="21.7109375" customWidth="1"/>
    <col min="5667" max="5667" width="17.140625" customWidth="1"/>
    <col min="5668" max="5668" width="20.7109375" customWidth="1"/>
    <col min="5669" max="5670" width="21.85546875" customWidth="1"/>
    <col min="5671" max="5671" width="17.5703125" customWidth="1"/>
    <col min="5672" max="5672" width="14.28515625" customWidth="1"/>
    <col min="5673" max="5673" width="17.28515625" customWidth="1"/>
    <col min="5674" max="5674" width="15.28515625" customWidth="1"/>
    <col min="5675" max="5675" width="17.28515625" customWidth="1"/>
    <col min="5676" max="5680" width="13.5703125" customWidth="1"/>
    <col min="5681" max="5681" width="14.28515625" customWidth="1"/>
    <col min="5682" max="5682" width="15" customWidth="1"/>
    <col min="5887" max="5888" width="4.5703125" customWidth="1"/>
    <col min="5889" max="5889" width="40.5703125" customWidth="1"/>
    <col min="5890" max="5890" width="15.7109375" customWidth="1"/>
    <col min="5891" max="5891" width="16.85546875" customWidth="1"/>
    <col min="5892" max="5893" width="14.7109375" customWidth="1"/>
    <col min="5894" max="5894" width="19.140625" customWidth="1"/>
    <col min="5895" max="5896" width="15.5703125" customWidth="1"/>
    <col min="5897" max="5897" width="15.42578125" customWidth="1"/>
    <col min="5898" max="5898" width="16.5703125" customWidth="1"/>
    <col min="5899" max="5900" width="21.42578125" customWidth="1"/>
    <col min="5901" max="5901" width="18.7109375" customWidth="1"/>
    <col min="5902" max="5903" width="18.85546875" customWidth="1"/>
    <col min="5904" max="5904" width="20.5703125" customWidth="1"/>
    <col min="5905" max="5905" width="18.28515625" customWidth="1"/>
    <col min="5906" max="5907" width="15" customWidth="1"/>
    <col min="5908" max="5910" width="18.7109375" customWidth="1"/>
    <col min="5911" max="5911" width="15.7109375" customWidth="1"/>
    <col min="5912" max="5912" width="17.7109375" customWidth="1"/>
    <col min="5913" max="5913" width="21.28515625" customWidth="1"/>
    <col min="5914" max="5916" width="18.5703125" customWidth="1"/>
    <col min="5917" max="5917" width="15.42578125" customWidth="1"/>
    <col min="5918" max="5918" width="17.28515625" customWidth="1"/>
    <col min="5919" max="5919" width="16.140625" customWidth="1"/>
    <col min="5920" max="5920" width="21.42578125" customWidth="1"/>
    <col min="5921" max="5921" width="18.28515625" customWidth="1"/>
    <col min="5922" max="5922" width="21.7109375" customWidth="1"/>
    <col min="5923" max="5923" width="17.140625" customWidth="1"/>
    <col min="5924" max="5924" width="20.7109375" customWidth="1"/>
    <col min="5925" max="5926" width="21.85546875" customWidth="1"/>
    <col min="5927" max="5927" width="17.5703125" customWidth="1"/>
    <col min="5928" max="5928" width="14.28515625" customWidth="1"/>
    <col min="5929" max="5929" width="17.28515625" customWidth="1"/>
    <col min="5930" max="5930" width="15.28515625" customWidth="1"/>
    <col min="5931" max="5931" width="17.28515625" customWidth="1"/>
    <col min="5932" max="5936" width="13.5703125" customWidth="1"/>
    <col min="5937" max="5937" width="14.28515625" customWidth="1"/>
    <col min="5938" max="5938" width="15" customWidth="1"/>
    <col min="6143" max="6144" width="4.5703125" customWidth="1"/>
    <col min="6145" max="6145" width="40.5703125" customWidth="1"/>
    <col min="6146" max="6146" width="15.7109375" customWidth="1"/>
    <col min="6147" max="6147" width="16.85546875" customWidth="1"/>
    <col min="6148" max="6149" width="14.7109375" customWidth="1"/>
    <col min="6150" max="6150" width="19.140625" customWidth="1"/>
    <col min="6151" max="6152" width="15.5703125" customWidth="1"/>
    <col min="6153" max="6153" width="15.42578125" customWidth="1"/>
    <col min="6154" max="6154" width="16.5703125" customWidth="1"/>
    <col min="6155" max="6156" width="21.42578125" customWidth="1"/>
    <col min="6157" max="6157" width="18.7109375" customWidth="1"/>
    <col min="6158" max="6159" width="18.85546875" customWidth="1"/>
    <col min="6160" max="6160" width="20.5703125" customWidth="1"/>
    <col min="6161" max="6161" width="18.28515625" customWidth="1"/>
    <col min="6162" max="6163" width="15" customWidth="1"/>
    <col min="6164" max="6166" width="18.7109375" customWidth="1"/>
    <col min="6167" max="6167" width="15.7109375" customWidth="1"/>
    <col min="6168" max="6168" width="17.7109375" customWidth="1"/>
    <col min="6169" max="6169" width="21.28515625" customWidth="1"/>
    <col min="6170" max="6172" width="18.5703125" customWidth="1"/>
    <col min="6173" max="6173" width="15.42578125" customWidth="1"/>
    <col min="6174" max="6174" width="17.28515625" customWidth="1"/>
    <col min="6175" max="6175" width="16.140625" customWidth="1"/>
    <col min="6176" max="6176" width="21.42578125" customWidth="1"/>
    <col min="6177" max="6177" width="18.28515625" customWidth="1"/>
    <col min="6178" max="6178" width="21.7109375" customWidth="1"/>
    <col min="6179" max="6179" width="17.140625" customWidth="1"/>
    <col min="6180" max="6180" width="20.7109375" customWidth="1"/>
    <col min="6181" max="6182" width="21.85546875" customWidth="1"/>
    <col min="6183" max="6183" width="17.5703125" customWidth="1"/>
    <col min="6184" max="6184" width="14.28515625" customWidth="1"/>
    <col min="6185" max="6185" width="17.28515625" customWidth="1"/>
    <col min="6186" max="6186" width="15.28515625" customWidth="1"/>
    <col min="6187" max="6187" width="17.28515625" customWidth="1"/>
    <col min="6188" max="6192" width="13.5703125" customWidth="1"/>
    <col min="6193" max="6193" width="14.28515625" customWidth="1"/>
    <col min="6194" max="6194" width="15" customWidth="1"/>
    <col min="6399" max="6400" width="4.5703125" customWidth="1"/>
    <col min="6401" max="6401" width="40.5703125" customWidth="1"/>
    <col min="6402" max="6402" width="15.7109375" customWidth="1"/>
    <col min="6403" max="6403" width="16.85546875" customWidth="1"/>
    <col min="6404" max="6405" width="14.7109375" customWidth="1"/>
    <col min="6406" max="6406" width="19.140625" customWidth="1"/>
    <col min="6407" max="6408" width="15.5703125" customWidth="1"/>
    <col min="6409" max="6409" width="15.42578125" customWidth="1"/>
    <col min="6410" max="6410" width="16.5703125" customWidth="1"/>
    <col min="6411" max="6412" width="21.42578125" customWidth="1"/>
    <col min="6413" max="6413" width="18.7109375" customWidth="1"/>
    <col min="6414" max="6415" width="18.85546875" customWidth="1"/>
    <col min="6416" max="6416" width="20.5703125" customWidth="1"/>
    <col min="6417" max="6417" width="18.28515625" customWidth="1"/>
    <col min="6418" max="6419" width="15" customWidth="1"/>
    <col min="6420" max="6422" width="18.7109375" customWidth="1"/>
    <col min="6423" max="6423" width="15.7109375" customWidth="1"/>
    <col min="6424" max="6424" width="17.7109375" customWidth="1"/>
    <col min="6425" max="6425" width="21.28515625" customWidth="1"/>
    <col min="6426" max="6428" width="18.5703125" customWidth="1"/>
    <col min="6429" max="6429" width="15.42578125" customWidth="1"/>
    <col min="6430" max="6430" width="17.28515625" customWidth="1"/>
    <col min="6431" max="6431" width="16.140625" customWidth="1"/>
    <col min="6432" max="6432" width="21.42578125" customWidth="1"/>
    <col min="6433" max="6433" width="18.28515625" customWidth="1"/>
    <col min="6434" max="6434" width="21.7109375" customWidth="1"/>
    <col min="6435" max="6435" width="17.140625" customWidth="1"/>
    <col min="6436" max="6436" width="20.7109375" customWidth="1"/>
    <col min="6437" max="6438" width="21.85546875" customWidth="1"/>
    <col min="6439" max="6439" width="17.5703125" customWidth="1"/>
    <col min="6440" max="6440" width="14.28515625" customWidth="1"/>
    <col min="6441" max="6441" width="17.28515625" customWidth="1"/>
    <col min="6442" max="6442" width="15.28515625" customWidth="1"/>
    <col min="6443" max="6443" width="17.28515625" customWidth="1"/>
    <col min="6444" max="6448" width="13.5703125" customWidth="1"/>
    <col min="6449" max="6449" width="14.28515625" customWidth="1"/>
    <col min="6450" max="6450" width="15" customWidth="1"/>
    <col min="6655" max="6656" width="4.5703125" customWidth="1"/>
    <col min="6657" max="6657" width="40.5703125" customWidth="1"/>
    <col min="6658" max="6658" width="15.7109375" customWidth="1"/>
    <col min="6659" max="6659" width="16.85546875" customWidth="1"/>
    <col min="6660" max="6661" width="14.7109375" customWidth="1"/>
    <col min="6662" max="6662" width="19.140625" customWidth="1"/>
    <col min="6663" max="6664" width="15.5703125" customWidth="1"/>
    <col min="6665" max="6665" width="15.42578125" customWidth="1"/>
    <col min="6666" max="6666" width="16.5703125" customWidth="1"/>
    <col min="6667" max="6668" width="21.42578125" customWidth="1"/>
    <col min="6669" max="6669" width="18.7109375" customWidth="1"/>
    <col min="6670" max="6671" width="18.85546875" customWidth="1"/>
    <col min="6672" max="6672" width="20.5703125" customWidth="1"/>
    <col min="6673" max="6673" width="18.28515625" customWidth="1"/>
    <col min="6674" max="6675" width="15" customWidth="1"/>
    <col min="6676" max="6678" width="18.7109375" customWidth="1"/>
    <col min="6679" max="6679" width="15.7109375" customWidth="1"/>
    <col min="6680" max="6680" width="17.7109375" customWidth="1"/>
    <col min="6681" max="6681" width="21.28515625" customWidth="1"/>
    <col min="6682" max="6684" width="18.5703125" customWidth="1"/>
    <col min="6685" max="6685" width="15.42578125" customWidth="1"/>
    <col min="6686" max="6686" width="17.28515625" customWidth="1"/>
    <col min="6687" max="6687" width="16.140625" customWidth="1"/>
    <col min="6688" max="6688" width="21.42578125" customWidth="1"/>
    <col min="6689" max="6689" width="18.28515625" customWidth="1"/>
    <col min="6690" max="6690" width="21.7109375" customWidth="1"/>
    <col min="6691" max="6691" width="17.140625" customWidth="1"/>
    <col min="6692" max="6692" width="20.7109375" customWidth="1"/>
    <col min="6693" max="6694" width="21.85546875" customWidth="1"/>
    <col min="6695" max="6695" width="17.5703125" customWidth="1"/>
    <col min="6696" max="6696" width="14.28515625" customWidth="1"/>
    <col min="6697" max="6697" width="17.28515625" customWidth="1"/>
    <col min="6698" max="6698" width="15.28515625" customWidth="1"/>
    <col min="6699" max="6699" width="17.28515625" customWidth="1"/>
    <col min="6700" max="6704" width="13.5703125" customWidth="1"/>
    <col min="6705" max="6705" width="14.28515625" customWidth="1"/>
    <col min="6706" max="6706" width="15" customWidth="1"/>
    <col min="6911" max="6912" width="4.5703125" customWidth="1"/>
    <col min="6913" max="6913" width="40.5703125" customWidth="1"/>
    <col min="6914" max="6914" width="15.7109375" customWidth="1"/>
    <col min="6915" max="6915" width="16.85546875" customWidth="1"/>
    <col min="6916" max="6917" width="14.7109375" customWidth="1"/>
    <col min="6918" max="6918" width="19.140625" customWidth="1"/>
    <col min="6919" max="6920" width="15.5703125" customWidth="1"/>
    <col min="6921" max="6921" width="15.42578125" customWidth="1"/>
    <col min="6922" max="6922" width="16.5703125" customWidth="1"/>
    <col min="6923" max="6924" width="21.42578125" customWidth="1"/>
    <col min="6925" max="6925" width="18.7109375" customWidth="1"/>
    <col min="6926" max="6927" width="18.85546875" customWidth="1"/>
    <col min="6928" max="6928" width="20.5703125" customWidth="1"/>
    <col min="6929" max="6929" width="18.28515625" customWidth="1"/>
    <col min="6930" max="6931" width="15" customWidth="1"/>
    <col min="6932" max="6934" width="18.7109375" customWidth="1"/>
    <col min="6935" max="6935" width="15.7109375" customWidth="1"/>
    <col min="6936" max="6936" width="17.7109375" customWidth="1"/>
    <col min="6937" max="6937" width="21.28515625" customWidth="1"/>
    <col min="6938" max="6940" width="18.5703125" customWidth="1"/>
    <col min="6941" max="6941" width="15.42578125" customWidth="1"/>
    <col min="6942" max="6942" width="17.28515625" customWidth="1"/>
    <col min="6943" max="6943" width="16.140625" customWidth="1"/>
    <col min="6944" max="6944" width="21.42578125" customWidth="1"/>
    <col min="6945" max="6945" width="18.28515625" customWidth="1"/>
    <col min="6946" max="6946" width="21.7109375" customWidth="1"/>
    <col min="6947" max="6947" width="17.140625" customWidth="1"/>
    <col min="6948" max="6948" width="20.7109375" customWidth="1"/>
    <col min="6949" max="6950" width="21.85546875" customWidth="1"/>
    <col min="6951" max="6951" width="17.5703125" customWidth="1"/>
    <col min="6952" max="6952" width="14.28515625" customWidth="1"/>
    <col min="6953" max="6953" width="17.28515625" customWidth="1"/>
    <col min="6954" max="6954" width="15.28515625" customWidth="1"/>
    <col min="6955" max="6955" width="17.28515625" customWidth="1"/>
    <col min="6956" max="6960" width="13.5703125" customWidth="1"/>
    <col min="6961" max="6961" width="14.28515625" customWidth="1"/>
    <col min="6962" max="6962" width="15" customWidth="1"/>
    <col min="7167" max="7168" width="4.5703125" customWidth="1"/>
    <col min="7169" max="7169" width="40.5703125" customWidth="1"/>
    <col min="7170" max="7170" width="15.7109375" customWidth="1"/>
    <col min="7171" max="7171" width="16.85546875" customWidth="1"/>
    <col min="7172" max="7173" width="14.7109375" customWidth="1"/>
    <col min="7174" max="7174" width="19.140625" customWidth="1"/>
    <col min="7175" max="7176" width="15.5703125" customWidth="1"/>
    <col min="7177" max="7177" width="15.42578125" customWidth="1"/>
    <col min="7178" max="7178" width="16.5703125" customWidth="1"/>
    <col min="7179" max="7180" width="21.42578125" customWidth="1"/>
    <col min="7181" max="7181" width="18.7109375" customWidth="1"/>
    <col min="7182" max="7183" width="18.85546875" customWidth="1"/>
    <col min="7184" max="7184" width="20.5703125" customWidth="1"/>
    <col min="7185" max="7185" width="18.28515625" customWidth="1"/>
    <col min="7186" max="7187" width="15" customWidth="1"/>
    <col min="7188" max="7190" width="18.7109375" customWidth="1"/>
    <col min="7191" max="7191" width="15.7109375" customWidth="1"/>
    <col min="7192" max="7192" width="17.7109375" customWidth="1"/>
    <col min="7193" max="7193" width="21.28515625" customWidth="1"/>
    <col min="7194" max="7196" width="18.5703125" customWidth="1"/>
    <col min="7197" max="7197" width="15.42578125" customWidth="1"/>
    <col min="7198" max="7198" width="17.28515625" customWidth="1"/>
    <col min="7199" max="7199" width="16.140625" customWidth="1"/>
    <col min="7200" max="7200" width="21.42578125" customWidth="1"/>
    <col min="7201" max="7201" width="18.28515625" customWidth="1"/>
    <col min="7202" max="7202" width="21.7109375" customWidth="1"/>
    <col min="7203" max="7203" width="17.140625" customWidth="1"/>
    <col min="7204" max="7204" width="20.7109375" customWidth="1"/>
    <col min="7205" max="7206" width="21.85546875" customWidth="1"/>
    <col min="7207" max="7207" width="17.5703125" customWidth="1"/>
    <col min="7208" max="7208" width="14.28515625" customWidth="1"/>
    <col min="7209" max="7209" width="17.28515625" customWidth="1"/>
    <col min="7210" max="7210" width="15.28515625" customWidth="1"/>
    <col min="7211" max="7211" width="17.28515625" customWidth="1"/>
    <col min="7212" max="7216" width="13.5703125" customWidth="1"/>
    <col min="7217" max="7217" width="14.28515625" customWidth="1"/>
    <col min="7218" max="7218" width="15" customWidth="1"/>
    <col min="7423" max="7424" width="4.5703125" customWidth="1"/>
    <col min="7425" max="7425" width="40.5703125" customWidth="1"/>
    <col min="7426" max="7426" width="15.7109375" customWidth="1"/>
    <col min="7427" max="7427" width="16.85546875" customWidth="1"/>
    <col min="7428" max="7429" width="14.7109375" customWidth="1"/>
    <col min="7430" max="7430" width="19.140625" customWidth="1"/>
    <col min="7431" max="7432" width="15.5703125" customWidth="1"/>
    <col min="7433" max="7433" width="15.42578125" customWidth="1"/>
    <col min="7434" max="7434" width="16.5703125" customWidth="1"/>
    <col min="7435" max="7436" width="21.42578125" customWidth="1"/>
    <col min="7437" max="7437" width="18.7109375" customWidth="1"/>
    <col min="7438" max="7439" width="18.85546875" customWidth="1"/>
    <col min="7440" max="7440" width="20.5703125" customWidth="1"/>
    <col min="7441" max="7441" width="18.28515625" customWidth="1"/>
    <col min="7442" max="7443" width="15" customWidth="1"/>
    <col min="7444" max="7446" width="18.7109375" customWidth="1"/>
    <col min="7447" max="7447" width="15.7109375" customWidth="1"/>
    <col min="7448" max="7448" width="17.7109375" customWidth="1"/>
    <col min="7449" max="7449" width="21.28515625" customWidth="1"/>
    <col min="7450" max="7452" width="18.5703125" customWidth="1"/>
    <col min="7453" max="7453" width="15.42578125" customWidth="1"/>
    <col min="7454" max="7454" width="17.28515625" customWidth="1"/>
    <col min="7455" max="7455" width="16.140625" customWidth="1"/>
    <col min="7456" max="7456" width="21.42578125" customWidth="1"/>
    <col min="7457" max="7457" width="18.28515625" customWidth="1"/>
    <col min="7458" max="7458" width="21.7109375" customWidth="1"/>
    <col min="7459" max="7459" width="17.140625" customWidth="1"/>
    <col min="7460" max="7460" width="20.7109375" customWidth="1"/>
    <col min="7461" max="7462" width="21.85546875" customWidth="1"/>
    <col min="7463" max="7463" width="17.5703125" customWidth="1"/>
    <col min="7464" max="7464" width="14.28515625" customWidth="1"/>
    <col min="7465" max="7465" width="17.28515625" customWidth="1"/>
    <col min="7466" max="7466" width="15.28515625" customWidth="1"/>
    <col min="7467" max="7467" width="17.28515625" customWidth="1"/>
    <col min="7468" max="7472" width="13.5703125" customWidth="1"/>
    <col min="7473" max="7473" width="14.28515625" customWidth="1"/>
    <col min="7474" max="7474" width="15" customWidth="1"/>
    <col min="7679" max="7680" width="4.5703125" customWidth="1"/>
    <col min="7681" max="7681" width="40.5703125" customWidth="1"/>
    <col min="7682" max="7682" width="15.7109375" customWidth="1"/>
    <col min="7683" max="7683" width="16.85546875" customWidth="1"/>
    <col min="7684" max="7685" width="14.7109375" customWidth="1"/>
    <col min="7686" max="7686" width="19.140625" customWidth="1"/>
    <col min="7687" max="7688" width="15.5703125" customWidth="1"/>
    <col min="7689" max="7689" width="15.42578125" customWidth="1"/>
    <col min="7690" max="7690" width="16.5703125" customWidth="1"/>
    <col min="7691" max="7692" width="21.42578125" customWidth="1"/>
    <col min="7693" max="7693" width="18.7109375" customWidth="1"/>
    <col min="7694" max="7695" width="18.85546875" customWidth="1"/>
    <col min="7696" max="7696" width="20.5703125" customWidth="1"/>
    <col min="7697" max="7697" width="18.28515625" customWidth="1"/>
    <col min="7698" max="7699" width="15" customWidth="1"/>
    <col min="7700" max="7702" width="18.7109375" customWidth="1"/>
    <col min="7703" max="7703" width="15.7109375" customWidth="1"/>
    <col min="7704" max="7704" width="17.7109375" customWidth="1"/>
    <col min="7705" max="7705" width="21.28515625" customWidth="1"/>
    <col min="7706" max="7708" width="18.5703125" customWidth="1"/>
    <col min="7709" max="7709" width="15.42578125" customWidth="1"/>
    <col min="7710" max="7710" width="17.28515625" customWidth="1"/>
    <col min="7711" max="7711" width="16.140625" customWidth="1"/>
    <col min="7712" max="7712" width="21.42578125" customWidth="1"/>
    <col min="7713" max="7713" width="18.28515625" customWidth="1"/>
    <col min="7714" max="7714" width="21.7109375" customWidth="1"/>
    <col min="7715" max="7715" width="17.140625" customWidth="1"/>
    <col min="7716" max="7716" width="20.7109375" customWidth="1"/>
    <col min="7717" max="7718" width="21.85546875" customWidth="1"/>
    <col min="7719" max="7719" width="17.5703125" customWidth="1"/>
    <col min="7720" max="7720" width="14.28515625" customWidth="1"/>
    <col min="7721" max="7721" width="17.28515625" customWidth="1"/>
    <col min="7722" max="7722" width="15.28515625" customWidth="1"/>
    <col min="7723" max="7723" width="17.28515625" customWidth="1"/>
    <col min="7724" max="7728" width="13.5703125" customWidth="1"/>
    <col min="7729" max="7729" width="14.28515625" customWidth="1"/>
    <col min="7730" max="7730" width="15" customWidth="1"/>
    <col min="7935" max="7936" width="4.5703125" customWidth="1"/>
    <col min="7937" max="7937" width="40.5703125" customWidth="1"/>
    <col min="7938" max="7938" width="15.7109375" customWidth="1"/>
    <col min="7939" max="7939" width="16.85546875" customWidth="1"/>
    <col min="7940" max="7941" width="14.7109375" customWidth="1"/>
    <col min="7942" max="7942" width="19.140625" customWidth="1"/>
    <col min="7943" max="7944" width="15.5703125" customWidth="1"/>
    <col min="7945" max="7945" width="15.42578125" customWidth="1"/>
    <col min="7946" max="7946" width="16.5703125" customWidth="1"/>
    <col min="7947" max="7948" width="21.42578125" customWidth="1"/>
    <col min="7949" max="7949" width="18.7109375" customWidth="1"/>
    <col min="7950" max="7951" width="18.85546875" customWidth="1"/>
    <col min="7952" max="7952" width="20.5703125" customWidth="1"/>
    <col min="7953" max="7953" width="18.28515625" customWidth="1"/>
    <col min="7954" max="7955" width="15" customWidth="1"/>
    <col min="7956" max="7958" width="18.7109375" customWidth="1"/>
    <col min="7959" max="7959" width="15.7109375" customWidth="1"/>
    <col min="7960" max="7960" width="17.7109375" customWidth="1"/>
    <col min="7961" max="7961" width="21.28515625" customWidth="1"/>
    <col min="7962" max="7964" width="18.5703125" customWidth="1"/>
    <col min="7965" max="7965" width="15.42578125" customWidth="1"/>
    <col min="7966" max="7966" width="17.28515625" customWidth="1"/>
    <col min="7967" max="7967" width="16.140625" customWidth="1"/>
    <col min="7968" max="7968" width="21.42578125" customWidth="1"/>
    <col min="7969" max="7969" width="18.28515625" customWidth="1"/>
    <col min="7970" max="7970" width="21.7109375" customWidth="1"/>
    <col min="7971" max="7971" width="17.140625" customWidth="1"/>
    <col min="7972" max="7972" width="20.7109375" customWidth="1"/>
    <col min="7973" max="7974" width="21.85546875" customWidth="1"/>
    <col min="7975" max="7975" width="17.5703125" customWidth="1"/>
    <col min="7976" max="7976" width="14.28515625" customWidth="1"/>
    <col min="7977" max="7977" width="17.28515625" customWidth="1"/>
    <col min="7978" max="7978" width="15.28515625" customWidth="1"/>
    <col min="7979" max="7979" width="17.28515625" customWidth="1"/>
    <col min="7980" max="7984" width="13.5703125" customWidth="1"/>
    <col min="7985" max="7985" width="14.28515625" customWidth="1"/>
    <col min="7986" max="7986" width="15" customWidth="1"/>
    <col min="8191" max="8192" width="4.5703125" customWidth="1"/>
    <col min="8193" max="8193" width="40.5703125" customWidth="1"/>
    <col min="8194" max="8194" width="15.7109375" customWidth="1"/>
    <col min="8195" max="8195" width="16.85546875" customWidth="1"/>
    <col min="8196" max="8197" width="14.7109375" customWidth="1"/>
    <col min="8198" max="8198" width="19.140625" customWidth="1"/>
    <col min="8199" max="8200" width="15.5703125" customWidth="1"/>
    <col min="8201" max="8201" width="15.42578125" customWidth="1"/>
    <col min="8202" max="8202" width="16.5703125" customWidth="1"/>
    <col min="8203" max="8204" width="21.42578125" customWidth="1"/>
    <col min="8205" max="8205" width="18.7109375" customWidth="1"/>
    <col min="8206" max="8207" width="18.85546875" customWidth="1"/>
    <col min="8208" max="8208" width="20.5703125" customWidth="1"/>
    <col min="8209" max="8209" width="18.28515625" customWidth="1"/>
    <col min="8210" max="8211" width="15" customWidth="1"/>
    <col min="8212" max="8214" width="18.7109375" customWidth="1"/>
    <col min="8215" max="8215" width="15.7109375" customWidth="1"/>
    <col min="8216" max="8216" width="17.7109375" customWidth="1"/>
    <col min="8217" max="8217" width="21.28515625" customWidth="1"/>
    <col min="8218" max="8220" width="18.5703125" customWidth="1"/>
    <col min="8221" max="8221" width="15.42578125" customWidth="1"/>
    <col min="8222" max="8222" width="17.28515625" customWidth="1"/>
    <col min="8223" max="8223" width="16.140625" customWidth="1"/>
    <col min="8224" max="8224" width="21.42578125" customWidth="1"/>
    <col min="8225" max="8225" width="18.28515625" customWidth="1"/>
    <col min="8226" max="8226" width="21.7109375" customWidth="1"/>
    <col min="8227" max="8227" width="17.140625" customWidth="1"/>
    <col min="8228" max="8228" width="20.7109375" customWidth="1"/>
    <col min="8229" max="8230" width="21.85546875" customWidth="1"/>
    <col min="8231" max="8231" width="17.5703125" customWidth="1"/>
    <col min="8232" max="8232" width="14.28515625" customWidth="1"/>
    <col min="8233" max="8233" width="17.28515625" customWidth="1"/>
    <col min="8234" max="8234" width="15.28515625" customWidth="1"/>
    <col min="8235" max="8235" width="17.28515625" customWidth="1"/>
    <col min="8236" max="8240" width="13.5703125" customWidth="1"/>
    <col min="8241" max="8241" width="14.28515625" customWidth="1"/>
    <col min="8242" max="8242" width="15" customWidth="1"/>
    <col min="8447" max="8448" width="4.5703125" customWidth="1"/>
    <col min="8449" max="8449" width="40.5703125" customWidth="1"/>
    <col min="8450" max="8450" width="15.7109375" customWidth="1"/>
    <col min="8451" max="8451" width="16.85546875" customWidth="1"/>
    <col min="8452" max="8453" width="14.7109375" customWidth="1"/>
    <col min="8454" max="8454" width="19.140625" customWidth="1"/>
    <col min="8455" max="8456" width="15.5703125" customWidth="1"/>
    <col min="8457" max="8457" width="15.42578125" customWidth="1"/>
    <col min="8458" max="8458" width="16.5703125" customWidth="1"/>
    <col min="8459" max="8460" width="21.42578125" customWidth="1"/>
    <col min="8461" max="8461" width="18.7109375" customWidth="1"/>
    <col min="8462" max="8463" width="18.85546875" customWidth="1"/>
    <col min="8464" max="8464" width="20.5703125" customWidth="1"/>
    <col min="8465" max="8465" width="18.28515625" customWidth="1"/>
    <col min="8466" max="8467" width="15" customWidth="1"/>
    <col min="8468" max="8470" width="18.7109375" customWidth="1"/>
    <col min="8471" max="8471" width="15.7109375" customWidth="1"/>
    <col min="8472" max="8472" width="17.7109375" customWidth="1"/>
    <col min="8473" max="8473" width="21.28515625" customWidth="1"/>
    <col min="8474" max="8476" width="18.5703125" customWidth="1"/>
    <col min="8477" max="8477" width="15.42578125" customWidth="1"/>
    <col min="8478" max="8478" width="17.28515625" customWidth="1"/>
    <col min="8479" max="8479" width="16.140625" customWidth="1"/>
    <col min="8480" max="8480" width="21.42578125" customWidth="1"/>
    <col min="8481" max="8481" width="18.28515625" customWidth="1"/>
    <col min="8482" max="8482" width="21.7109375" customWidth="1"/>
    <col min="8483" max="8483" width="17.140625" customWidth="1"/>
    <col min="8484" max="8484" width="20.7109375" customWidth="1"/>
    <col min="8485" max="8486" width="21.85546875" customWidth="1"/>
    <col min="8487" max="8487" width="17.5703125" customWidth="1"/>
    <col min="8488" max="8488" width="14.28515625" customWidth="1"/>
    <col min="8489" max="8489" width="17.28515625" customWidth="1"/>
    <col min="8490" max="8490" width="15.28515625" customWidth="1"/>
    <col min="8491" max="8491" width="17.28515625" customWidth="1"/>
    <col min="8492" max="8496" width="13.5703125" customWidth="1"/>
    <col min="8497" max="8497" width="14.28515625" customWidth="1"/>
    <col min="8498" max="8498" width="15" customWidth="1"/>
    <col min="8703" max="8704" width="4.5703125" customWidth="1"/>
    <col min="8705" max="8705" width="40.5703125" customWidth="1"/>
    <col min="8706" max="8706" width="15.7109375" customWidth="1"/>
    <col min="8707" max="8707" width="16.85546875" customWidth="1"/>
    <col min="8708" max="8709" width="14.7109375" customWidth="1"/>
    <col min="8710" max="8710" width="19.140625" customWidth="1"/>
    <col min="8711" max="8712" width="15.5703125" customWidth="1"/>
    <col min="8713" max="8713" width="15.42578125" customWidth="1"/>
    <col min="8714" max="8714" width="16.5703125" customWidth="1"/>
    <col min="8715" max="8716" width="21.42578125" customWidth="1"/>
    <col min="8717" max="8717" width="18.7109375" customWidth="1"/>
    <col min="8718" max="8719" width="18.85546875" customWidth="1"/>
    <col min="8720" max="8720" width="20.5703125" customWidth="1"/>
    <col min="8721" max="8721" width="18.28515625" customWidth="1"/>
    <col min="8722" max="8723" width="15" customWidth="1"/>
    <col min="8724" max="8726" width="18.7109375" customWidth="1"/>
    <col min="8727" max="8727" width="15.7109375" customWidth="1"/>
    <col min="8728" max="8728" width="17.7109375" customWidth="1"/>
    <col min="8729" max="8729" width="21.28515625" customWidth="1"/>
    <col min="8730" max="8732" width="18.5703125" customWidth="1"/>
    <col min="8733" max="8733" width="15.42578125" customWidth="1"/>
    <col min="8734" max="8734" width="17.28515625" customWidth="1"/>
    <col min="8735" max="8735" width="16.140625" customWidth="1"/>
    <col min="8736" max="8736" width="21.42578125" customWidth="1"/>
    <col min="8737" max="8737" width="18.28515625" customWidth="1"/>
    <col min="8738" max="8738" width="21.7109375" customWidth="1"/>
    <col min="8739" max="8739" width="17.140625" customWidth="1"/>
    <col min="8740" max="8740" width="20.7109375" customWidth="1"/>
    <col min="8741" max="8742" width="21.85546875" customWidth="1"/>
    <col min="8743" max="8743" width="17.5703125" customWidth="1"/>
    <col min="8744" max="8744" width="14.28515625" customWidth="1"/>
    <col min="8745" max="8745" width="17.28515625" customWidth="1"/>
    <col min="8746" max="8746" width="15.28515625" customWidth="1"/>
    <col min="8747" max="8747" width="17.28515625" customWidth="1"/>
    <col min="8748" max="8752" width="13.5703125" customWidth="1"/>
    <col min="8753" max="8753" width="14.28515625" customWidth="1"/>
    <col min="8754" max="8754" width="15" customWidth="1"/>
    <col min="8959" max="8960" width="4.5703125" customWidth="1"/>
    <col min="8961" max="8961" width="40.5703125" customWidth="1"/>
    <col min="8962" max="8962" width="15.7109375" customWidth="1"/>
    <col min="8963" max="8963" width="16.85546875" customWidth="1"/>
    <col min="8964" max="8965" width="14.7109375" customWidth="1"/>
    <col min="8966" max="8966" width="19.140625" customWidth="1"/>
    <col min="8967" max="8968" width="15.5703125" customWidth="1"/>
    <col min="8969" max="8969" width="15.42578125" customWidth="1"/>
    <col min="8970" max="8970" width="16.5703125" customWidth="1"/>
    <col min="8971" max="8972" width="21.42578125" customWidth="1"/>
    <col min="8973" max="8973" width="18.7109375" customWidth="1"/>
    <col min="8974" max="8975" width="18.85546875" customWidth="1"/>
    <col min="8976" max="8976" width="20.5703125" customWidth="1"/>
    <col min="8977" max="8977" width="18.28515625" customWidth="1"/>
    <col min="8978" max="8979" width="15" customWidth="1"/>
    <col min="8980" max="8982" width="18.7109375" customWidth="1"/>
    <col min="8983" max="8983" width="15.7109375" customWidth="1"/>
    <col min="8984" max="8984" width="17.7109375" customWidth="1"/>
    <col min="8985" max="8985" width="21.28515625" customWidth="1"/>
    <col min="8986" max="8988" width="18.5703125" customWidth="1"/>
    <col min="8989" max="8989" width="15.42578125" customWidth="1"/>
    <col min="8990" max="8990" width="17.28515625" customWidth="1"/>
    <col min="8991" max="8991" width="16.140625" customWidth="1"/>
    <col min="8992" max="8992" width="21.42578125" customWidth="1"/>
    <col min="8993" max="8993" width="18.28515625" customWidth="1"/>
    <col min="8994" max="8994" width="21.7109375" customWidth="1"/>
    <col min="8995" max="8995" width="17.140625" customWidth="1"/>
    <col min="8996" max="8996" width="20.7109375" customWidth="1"/>
    <col min="8997" max="8998" width="21.85546875" customWidth="1"/>
    <col min="8999" max="8999" width="17.5703125" customWidth="1"/>
    <col min="9000" max="9000" width="14.28515625" customWidth="1"/>
    <col min="9001" max="9001" width="17.28515625" customWidth="1"/>
    <col min="9002" max="9002" width="15.28515625" customWidth="1"/>
    <col min="9003" max="9003" width="17.28515625" customWidth="1"/>
    <col min="9004" max="9008" width="13.5703125" customWidth="1"/>
    <col min="9009" max="9009" width="14.28515625" customWidth="1"/>
    <col min="9010" max="9010" width="15" customWidth="1"/>
    <col min="9215" max="9216" width="4.5703125" customWidth="1"/>
    <col min="9217" max="9217" width="40.5703125" customWidth="1"/>
    <col min="9218" max="9218" width="15.7109375" customWidth="1"/>
    <col min="9219" max="9219" width="16.85546875" customWidth="1"/>
    <col min="9220" max="9221" width="14.7109375" customWidth="1"/>
    <col min="9222" max="9222" width="19.140625" customWidth="1"/>
    <col min="9223" max="9224" width="15.5703125" customWidth="1"/>
    <col min="9225" max="9225" width="15.42578125" customWidth="1"/>
    <col min="9226" max="9226" width="16.5703125" customWidth="1"/>
    <col min="9227" max="9228" width="21.42578125" customWidth="1"/>
    <col min="9229" max="9229" width="18.7109375" customWidth="1"/>
    <col min="9230" max="9231" width="18.85546875" customWidth="1"/>
    <col min="9232" max="9232" width="20.5703125" customWidth="1"/>
    <col min="9233" max="9233" width="18.28515625" customWidth="1"/>
    <col min="9234" max="9235" width="15" customWidth="1"/>
    <col min="9236" max="9238" width="18.7109375" customWidth="1"/>
    <col min="9239" max="9239" width="15.7109375" customWidth="1"/>
    <col min="9240" max="9240" width="17.7109375" customWidth="1"/>
    <col min="9241" max="9241" width="21.28515625" customWidth="1"/>
    <col min="9242" max="9244" width="18.5703125" customWidth="1"/>
    <col min="9245" max="9245" width="15.42578125" customWidth="1"/>
    <col min="9246" max="9246" width="17.28515625" customWidth="1"/>
    <col min="9247" max="9247" width="16.140625" customWidth="1"/>
    <col min="9248" max="9248" width="21.42578125" customWidth="1"/>
    <col min="9249" max="9249" width="18.28515625" customWidth="1"/>
    <col min="9250" max="9250" width="21.7109375" customWidth="1"/>
    <col min="9251" max="9251" width="17.140625" customWidth="1"/>
    <col min="9252" max="9252" width="20.7109375" customWidth="1"/>
    <col min="9253" max="9254" width="21.85546875" customWidth="1"/>
    <col min="9255" max="9255" width="17.5703125" customWidth="1"/>
    <col min="9256" max="9256" width="14.28515625" customWidth="1"/>
    <col min="9257" max="9257" width="17.28515625" customWidth="1"/>
    <col min="9258" max="9258" width="15.28515625" customWidth="1"/>
    <col min="9259" max="9259" width="17.28515625" customWidth="1"/>
    <col min="9260" max="9264" width="13.5703125" customWidth="1"/>
    <col min="9265" max="9265" width="14.28515625" customWidth="1"/>
    <col min="9266" max="9266" width="15" customWidth="1"/>
    <col min="9471" max="9472" width="4.5703125" customWidth="1"/>
    <col min="9473" max="9473" width="40.5703125" customWidth="1"/>
    <col min="9474" max="9474" width="15.7109375" customWidth="1"/>
    <col min="9475" max="9475" width="16.85546875" customWidth="1"/>
    <col min="9476" max="9477" width="14.7109375" customWidth="1"/>
    <col min="9478" max="9478" width="19.140625" customWidth="1"/>
    <col min="9479" max="9480" width="15.5703125" customWidth="1"/>
    <col min="9481" max="9481" width="15.42578125" customWidth="1"/>
    <col min="9482" max="9482" width="16.5703125" customWidth="1"/>
    <col min="9483" max="9484" width="21.42578125" customWidth="1"/>
    <col min="9485" max="9485" width="18.7109375" customWidth="1"/>
    <col min="9486" max="9487" width="18.85546875" customWidth="1"/>
    <col min="9488" max="9488" width="20.5703125" customWidth="1"/>
    <col min="9489" max="9489" width="18.28515625" customWidth="1"/>
    <col min="9490" max="9491" width="15" customWidth="1"/>
    <col min="9492" max="9494" width="18.7109375" customWidth="1"/>
    <col min="9495" max="9495" width="15.7109375" customWidth="1"/>
    <col min="9496" max="9496" width="17.7109375" customWidth="1"/>
    <col min="9497" max="9497" width="21.28515625" customWidth="1"/>
    <col min="9498" max="9500" width="18.5703125" customWidth="1"/>
    <col min="9501" max="9501" width="15.42578125" customWidth="1"/>
    <col min="9502" max="9502" width="17.28515625" customWidth="1"/>
    <col min="9503" max="9503" width="16.140625" customWidth="1"/>
    <col min="9504" max="9504" width="21.42578125" customWidth="1"/>
    <col min="9505" max="9505" width="18.28515625" customWidth="1"/>
    <col min="9506" max="9506" width="21.7109375" customWidth="1"/>
    <col min="9507" max="9507" width="17.140625" customWidth="1"/>
    <col min="9508" max="9508" width="20.7109375" customWidth="1"/>
    <col min="9509" max="9510" width="21.85546875" customWidth="1"/>
    <col min="9511" max="9511" width="17.5703125" customWidth="1"/>
    <col min="9512" max="9512" width="14.28515625" customWidth="1"/>
    <col min="9513" max="9513" width="17.28515625" customWidth="1"/>
    <col min="9514" max="9514" width="15.28515625" customWidth="1"/>
    <col min="9515" max="9515" width="17.28515625" customWidth="1"/>
    <col min="9516" max="9520" width="13.5703125" customWidth="1"/>
    <col min="9521" max="9521" width="14.28515625" customWidth="1"/>
    <col min="9522" max="9522" width="15" customWidth="1"/>
    <col min="9727" max="9728" width="4.5703125" customWidth="1"/>
    <col min="9729" max="9729" width="40.5703125" customWidth="1"/>
    <col min="9730" max="9730" width="15.7109375" customWidth="1"/>
    <col min="9731" max="9731" width="16.85546875" customWidth="1"/>
    <col min="9732" max="9733" width="14.7109375" customWidth="1"/>
    <col min="9734" max="9734" width="19.140625" customWidth="1"/>
    <col min="9735" max="9736" width="15.5703125" customWidth="1"/>
    <col min="9737" max="9737" width="15.42578125" customWidth="1"/>
    <col min="9738" max="9738" width="16.5703125" customWidth="1"/>
    <col min="9739" max="9740" width="21.42578125" customWidth="1"/>
    <col min="9741" max="9741" width="18.7109375" customWidth="1"/>
    <col min="9742" max="9743" width="18.85546875" customWidth="1"/>
    <col min="9744" max="9744" width="20.5703125" customWidth="1"/>
    <col min="9745" max="9745" width="18.28515625" customWidth="1"/>
    <col min="9746" max="9747" width="15" customWidth="1"/>
    <col min="9748" max="9750" width="18.7109375" customWidth="1"/>
    <col min="9751" max="9751" width="15.7109375" customWidth="1"/>
    <col min="9752" max="9752" width="17.7109375" customWidth="1"/>
    <col min="9753" max="9753" width="21.28515625" customWidth="1"/>
    <col min="9754" max="9756" width="18.5703125" customWidth="1"/>
    <col min="9757" max="9757" width="15.42578125" customWidth="1"/>
    <col min="9758" max="9758" width="17.28515625" customWidth="1"/>
    <col min="9759" max="9759" width="16.140625" customWidth="1"/>
    <col min="9760" max="9760" width="21.42578125" customWidth="1"/>
    <col min="9761" max="9761" width="18.28515625" customWidth="1"/>
    <col min="9762" max="9762" width="21.7109375" customWidth="1"/>
    <col min="9763" max="9763" width="17.140625" customWidth="1"/>
    <col min="9764" max="9764" width="20.7109375" customWidth="1"/>
    <col min="9765" max="9766" width="21.85546875" customWidth="1"/>
    <col min="9767" max="9767" width="17.5703125" customWidth="1"/>
    <col min="9768" max="9768" width="14.28515625" customWidth="1"/>
    <col min="9769" max="9769" width="17.28515625" customWidth="1"/>
    <col min="9770" max="9770" width="15.28515625" customWidth="1"/>
    <col min="9771" max="9771" width="17.28515625" customWidth="1"/>
    <col min="9772" max="9776" width="13.5703125" customWidth="1"/>
    <col min="9777" max="9777" width="14.28515625" customWidth="1"/>
    <col min="9778" max="9778" width="15" customWidth="1"/>
    <col min="9983" max="9984" width="4.5703125" customWidth="1"/>
    <col min="9985" max="9985" width="40.5703125" customWidth="1"/>
    <col min="9986" max="9986" width="15.7109375" customWidth="1"/>
    <col min="9987" max="9987" width="16.85546875" customWidth="1"/>
    <col min="9988" max="9989" width="14.7109375" customWidth="1"/>
    <col min="9990" max="9990" width="19.140625" customWidth="1"/>
    <col min="9991" max="9992" width="15.5703125" customWidth="1"/>
    <col min="9993" max="9993" width="15.42578125" customWidth="1"/>
    <col min="9994" max="9994" width="16.5703125" customWidth="1"/>
    <col min="9995" max="9996" width="21.42578125" customWidth="1"/>
    <col min="9997" max="9997" width="18.7109375" customWidth="1"/>
    <col min="9998" max="9999" width="18.85546875" customWidth="1"/>
    <col min="10000" max="10000" width="20.5703125" customWidth="1"/>
    <col min="10001" max="10001" width="18.28515625" customWidth="1"/>
    <col min="10002" max="10003" width="15" customWidth="1"/>
    <col min="10004" max="10006" width="18.7109375" customWidth="1"/>
    <col min="10007" max="10007" width="15.7109375" customWidth="1"/>
    <col min="10008" max="10008" width="17.7109375" customWidth="1"/>
    <col min="10009" max="10009" width="21.28515625" customWidth="1"/>
    <col min="10010" max="10012" width="18.5703125" customWidth="1"/>
    <col min="10013" max="10013" width="15.42578125" customWidth="1"/>
    <col min="10014" max="10014" width="17.28515625" customWidth="1"/>
    <col min="10015" max="10015" width="16.140625" customWidth="1"/>
    <col min="10016" max="10016" width="21.42578125" customWidth="1"/>
    <col min="10017" max="10017" width="18.28515625" customWidth="1"/>
    <col min="10018" max="10018" width="21.7109375" customWidth="1"/>
    <col min="10019" max="10019" width="17.140625" customWidth="1"/>
    <col min="10020" max="10020" width="20.7109375" customWidth="1"/>
    <col min="10021" max="10022" width="21.85546875" customWidth="1"/>
    <col min="10023" max="10023" width="17.5703125" customWidth="1"/>
    <col min="10024" max="10024" width="14.28515625" customWidth="1"/>
    <col min="10025" max="10025" width="17.28515625" customWidth="1"/>
    <col min="10026" max="10026" width="15.28515625" customWidth="1"/>
    <col min="10027" max="10027" width="17.28515625" customWidth="1"/>
    <col min="10028" max="10032" width="13.5703125" customWidth="1"/>
    <col min="10033" max="10033" width="14.28515625" customWidth="1"/>
    <col min="10034" max="10034" width="15" customWidth="1"/>
    <col min="10239" max="10240" width="4.5703125" customWidth="1"/>
    <col min="10241" max="10241" width="40.5703125" customWidth="1"/>
    <col min="10242" max="10242" width="15.7109375" customWidth="1"/>
    <col min="10243" max="10243" width="16.85546875" customWidth="1"/>
    <col min="10244" max="10245" width="14.7109375" customWidth="1"/>
    <col min="10246" max="10246" width="19.140625" customWidth="1"/>
    <col min="10247" max="10248" width="15.5703125" customWidth="1"/>
    <col min="10249" max="10249" width="15.42578125" customWidth="1"/>
    <col min="10250" max="10250" width="16.5703125" customWidth="1"/>
    <col min="10251" max="10252" width="21.42578125" customWidth="1"/>
    <col min="10253" max="10253" width="18.7109375" customWidth="1"/>
    <col min="10254" max="10255" width="18.85546875" customWidth="1"/>
    <col min="10256" max="10256" width="20.5703125" customWidth="1"/>
    <col min="10257" max="10257" width="18.28515625" customWidth="1"/>
    <col min="10258" max="10259" width="15" customWidth="1"/>
    <col min="10260" max="10262" width="18.7109375" customWidth="1"/>
    <col min="10263" max="10263" width="15.7109375" customWidth="1"/>
    <col min="10264" max="10264" width="17.7109375" customWidth="1"/>
    <col min="10265" max="10265" width="21.28515625" customWidth="1"/>
    <col min="10266" max="10268" width="18.5703125" customWidth="1"/>
    <col min="10269" max="10269" width="15.42578125" customWidth="1"/>
    <col min="10270" max="10270" width="17.28515625" customWidth="1"/>
    <col min="10271" max="10271" width="16.140625" customWidth="1"/>
    <col min="10272" max="10272" width="21.42578125" customWidth="1"/>
    <col min="10273" max="10273" width="18.28515625" customWidth="1"/>
    <col min="10274" max="10274" width="21.7109375" customWidth="1"/>
    <col min="10275" max="10275" width="17.140625" customWidth="1"/>
    <col min="10276" max="10276" width="20.7109375" customWidth="1"/>
    <col min="10277" max="10278" width="21.85546875" customWidth="1"/>
    <col min="10279" max="10279" width="17.5703125" customWidth="1"/>
    <col min="10280" max="10280" width="14.28515625" customWidth="1"/>
    <col min="10281" max="10281" width="17.28515625" customWidth="1"/>
    <col min="10282" max="10282" width="15.28515625" customWidth="1"/>
    <col min="10283" max="10283" width="17.28515625" customWidth="1"/>
    <col min="10284" max="10288" width="13.5703125" customWidth="1"/>
    <col min="10289" max="10289" width="14.28515625" customWidth="1"/>
    <col min="10290" max="10290" width="15" customWidth="1"/>
    <col min="10495" max="10496" width="4.5703125" customWidth="1"/>
    <col min="10497" max="10497" width="40.5703125" customWidth="1"/>
    <col min="10498" max="10498" width="15.7109375" customWidth="1"/>
    <col min="10499" max="10499" width="16.85546875" customWidth="1"/>
    <col min="10500" max="10501" width="14.7109375" customWidth="1"/>
    <col min="10502" max="10502" width="19.140625" customWidth="1"/>
    <col min="10503" max="10504" width="15.5703125" customWidth="1"/>
    <col min="10505" max="10505" width="15.42578125" customWidth="1"/>
    <col min="10506" max="10506" width="16.5703125" customWidth="1"/>
    <col min="10507" max="10508" width="21.42578125" customWidth="1"/>
    <col min="10509" max="10509" width="18.7109375" customWidth="1"/>
    <col min="10510" max="10511" width="18.85546875" customWidth="1"/>
    <col min="10512" max="10512" width="20.5703125" customWidth="1"/>
    <col min="10513" max="10513" width="18.28515625" customWidth="1"/>
    <col min="10514" max="10515" width="15" customWidth="1"/>
    <col min="10516" max="10518" width="18.7109375" customWidth="1"/>
    <col min="10519" max="10519" width="15.7109375" customWidth="1"/>
    <col min="10520" max="10520" width="17.7109375" customWidth="1"/>
    <col min="10521" max="10521" width="21.28515625" customWidth="1"/>
    <col min="10522" max="10524" width="18.5703125" customWidth="1"/>
    <col min="10525" max="10525" width="15.42578125" customWidth="1"/>
    <col min="10526" max="10526" width="17.28515625" customWidth="1"/>
    <col min="10527" max="10527" width="16.140625" customWidth="1"/>
    <col min="10528" max="10528" width="21.42578125" customWidth="1"/>
    <col min="10529" max="10529" width="18.28515625" customWidth="1"/>
    <col min="10530" max="10530" width="21.7109375" customWidth="1"/>
    <col min="10531" max="10531" width="17.140625" customWidth="1"/>
    <col min="10532" max="10532" width="20.7109375" customWidth="1"/>
    <col min="10533" max="10534" width="21.85546875" customWidth="1"/>
    <col min="10535" max="10535" width="17.5703125" customWidth="1"/>
    <col min="10536" max="10536" width="14.28515625" customWidth="1"/>
    <col min="10537" max="10537" width="17.28515625" customWidth="1"/>
    <col min="10538" max="10538" width="15.28515625" customWidth="1"/>
    <col min="10539" max="10539" width="17.28515625" customWidth="1"/>
    <col min="10540" max="10544" width="13.5703125" customWidth="1"/>
    <col min="10545" max="10545" width="14.28515625" customWidth="1"/>
    <col min="10546" max="10546" width="15" customWidth="1"/>
    <col min="10751" max="10752" width="4.5703125" customWidth="1"/>
    <col min="10753" max="10753" width="40.5703125" customWidth="1"/>
    <col min="10754" max="10754" width="15.7109375" customWidth="1"/>
    <col min="10755" max="10755" width="16.85546875" customWidth="1"/>
    <col min="10756" max="10757" width="14.7109375" customWidth="1"/>
    <col min="10758" max="10758" width="19.140625" customWidth="1"/>
    <col min="10759" max="10760" width="15.5703125" customWidth="1"/>
    <col min="10761" max="10761" width="15.42578125" customWidth="1"/>
    <col min="10762" max="10762" width="16.5703125" customWidth="1"/>
    <col min="10763" max="10764" width="21.42578125" customWidth="1"/>
    <col min="10765" max="10765" width="18.7109375" customWidth="1"/>
    <col min="10766" max="10767" width="18.85546875" customWidth="1"/>
    <col min="10768" max="10768" width="20.5703125" customWidth="1"/>
    <col min="10769" max="10769" width="18.28515625" customWidth="1"/>
    <col min="10770" max="10771" width="15" customWidth="1"/>
    <col min="10772" max="10774" width="18.7109375" customWidth="1"/>
    <col min="10775" max="10775" width="15.7109375" customWidth="1"/>
    <col min="10776" max="10776" width="17.7109375" customWidth="1"/>
    <col min="10777" max="10777" width="21.28515625" customWidth="1"/>
    <col min="10778" max="10780" width="18.5703125" customWidth="1"/>
    <col min="10781" max="10781" width="15.42578125" customWidth="1"/>
    <col min="10782" max="10782" width="17.28515625" customWidth="1"/>
    <col min="10783" max="10783" width="16.140625" customWidth="1"/>
    <col min="10784" max="10784" width="21.42578125" customWidth="1"/>
    <col min="10785" max="10785" width="18.28515625" customWidth="1"/>
    <col min="10786" max="10786" width="21.7109375" customWidth="1"/>
    <col min="10787" max="10787" width="17.140625" customWidth="1"/>
    <col min="10788" max="10788" width="20.7109375" customWidth="1"/>
    <col min="10789" max="10790" width="21.85546875" customWidth="1"/>
    <col min="10791" max="10791" width="17.5703125" customWidth="1"/>
    <col min="10792" max="10792" width="14.28515625" customWidth="1"/>
    <col min="10793" max="10793" width="17.28515625" customWidth="1"/>
    <col min="10794" max="10794" width="15.28515625" customWidth="1"/>
    <col min="10795" max="10795" width="17.28515625" customWidth="1"/>
    <col min="10796" max="10800" width="13.5703125" customWidth="1"/>
    <col min="10801" max="10801" width="14.28515625" customWidth="1"/>
    <col min="10802" max="10802" width="15" customWidth="1"/>
    <col min="11007" max="11008" width="4.5703125" customWidth="1"/>
    <col min="11009" max="11009" width="40.5703125" customWidth="1"/>
    <col min="11010" max="11010" width="15.7109375" customWidth="1"/>
    <col min="11011" max="11011" width="16.85546875" customWidth="1"/>
    <col min="11012" max="11013" width="14.7109375" customWidth="1"/>
    <col min="11014" max="11014" width="19.140625" customWidth="1"/>
    <col min="11015" max="11016" width="15.5703125" customWidth="1"/>
    <col min="11017" max="11017" width="15.42578125" customWidth="1"/>
    <col min="11018" max="11018" width="16.5703125" customWidth="1"/>
    <col min="11019" max="11020" width="21.42578125" customWidth="1"/>
    <col min="11021" max="11021" width="18.7109375" customWidth="1"/>
    <col min="11022" max="11023" width="18.85546875" customWidth="1"/>
    <col min="11024" max="11024" width="20.5703125" customWidth="1"/>
    <col min="11025" max="11025" width="18.28515625" customWidth="1"/>
    <col min="11026" max="11027" width="15" customWidth="1"/>
    <col min="11028" max="11030" width="18.7109375" customWidth="1"/>
    <col min="11031" max="11031" width="15.7109375" customWidth="1"/>
    <col min="11032" max="11032" width="17.7109375" customWidth="1"/>
    <col min="11033" max="11033" width="21.28515625" customWidth="1"/>
    <col min="11034" max="11036" width="18.5703125" customWidth="1"/>
    <col min="11037" max="11037" width="15.42578125" customWidth="1"/>
    <col min="11038" max="11038" width="17.28515625" customWidth="1"/>
    <col min="11039" max="11039" width="16.140625" customWidth="1"/>
    <col min="11040" max="11040" width="21.42578125" customWidth="1"/>
    <col min="11041" max="11041" width="18.28515625" customWidth="1"/>
    <col min="11042" max="11042" width="21.7109375" customWidth="1"/>
    <col min="11043" max="11043" width="17.140625" customWidth="1"/>
    <col min="11044" max="11044" width="20.7109375" customWidth="1"/>
    <col min="11045" max="11046" width="21.85546875" customWidth="1"/>
    <col min="11047" max="11047" width="17.5703125" customWidth="1"/>
    <col min="11048" max="11048" width="14.28515625" customWidth="1"/>
    <col min="11049" max="11049" width="17.28515625" customWidth="1"/>
    <col min="11050" max="11050" width="15.28515625" customWidth="1"/>
    <col min="11051" max="11051" width="17.28515625" customWidth="1"/>
    <col min="11052" max="11056" width="13.5703125" customWidth="1"/>
    <col min="11057" max="11057" width="14.28515625" customWidth="1"/>
    <col min="11058" max="11058" width="15" customWidth="1"/>
    <col min="11263" max="11264" width="4.5703125" customWidth="1"/>
    <col min="11265" max="11265" width="40.5703125" customWidth="1"/>
    <col min="11266" max="11266" width="15.7109375" customWidth="1"/>
    <col min="11267" max="11267" width="16.85546875" customWidth="1"/>
    <col min="11268" max="11269" width="14.7109375" customWidth="1"/>
    <col min="11270" max="11270" width="19.140625" customWidth="1"/>
    <col min="11271" max="11272" width="15.5703125" customWidth="1"/>
    <col min="11273" max="11273" width="15.42578125" customWidth="1"/>
    <col min="11274" max="11274" width="16.5703125" customWidth="1"/>
    <col min="11275" max="11276" width="21.42578125" customWidth="1"/>
    <col min="11277" max="11277" width="18.7109375" customWidth="1"/>
    <col min="11278" max="11279" width="18.85546875" customWidth="1"/>
    <col min="11280" max="11280" width="20.5703125" customWidth="1"/>
    <col min="11281" max="11281" width="18.28515625" customWidth="1"/>
    <col min="11282" max="11283" width="15" customWidth="1"/>
    <col min="11284" max="11286" width="18.7109375" customWidth="1"/>
    <col min="11287" max="11287" width="15.7109375" customWidth="1"/>
    <col min="11288" max="11288" width="17.7109375" customWidth="1"/>
    <col min="11289" max="11289" width="21.28515625" customWidth="1"/>
    <col min="11290" max="11292" width="18.5703125" customWidth="1"/>
    <col min="11293" max="11293" width="15.42578125" customWidth="1"/>
    <col min="11294" max="11294" width="17.28515625" customWidth="1"/>
    <col min="11295" max="11295" width="16.140625" customWidth="1"/>
    <col min="11296" max="11296" width="21.42578125" customWidth="1"/>
    <col min="11297" max="11297" width="18.28515625" customWidth="1"/>
    <col min="11298" max="11298" width="21.7109375" customWidth="1"/>
    <col min="11299" max="11299" width="17.140625" customWidth="1"/>
    <col min="11300" max="11300" width="20.7109375" customWidth="1"/>
    <col min="11301" max="11302" width="21.85546875" customWidth="1"/>
    <col min="11303" max="11303" width="17.5703125" customWidth="1"/>
    <col min="11304" max="11304" width="14.28515625" customWidth="1"/>
    <col min="11305" max="11305" width="17.28515625" customWidth="1"/>
    <col min="11306" max="11306" width="15.28515625" customWidth="1"/>
    <col min="11307" max="11307" width="17.28515625" customWidth="1"/>
    <col min="11308" max="11312" width="13.5703125" customWidth="1"/>
    <col min="11313" max="11313" width="14.28515625" customWidth="1"/>
    <col min="11314" max="11314" width="15" customWidth="1"/>
    <col min="11519" max="11520" width="4.5703125" customWidth="1"/>
    <col min="11521" max="11521" width="40.5703125" customWidth="1"/>
    <col min="11522" max="11522" width="15.7109375" customWidth="1"/>
    <col min="11523" max="11523" width="16.85546875" customWidth="1"/>
    <col min="11524" max="11525" width="14.7109375" customWidth="1"/>
    <col min="11526" max="11526" width="19.140625" customWidth="1"/>
    <col min="11527" max="11528" width="15.5703125" customWidth="1"/>
    <col min="11529" max="11529" width="15.42578125" customWidth="1"/>
    <col min="11530" max="11530" width="16.5703125" customWidth="1"/>
    <col min="11531" max="11532" width="21.42578125" customWidth="1"/>
    <col min="11533" max="11533" width="18.7109375" customWidth="1"/>
    <col min="11534" max="11535" width="18.85546875" customWidth="1"/>
    <col min="11536" max="11536" width="20.5703125" customWidth="1"/>
    <col min="11537" max="11537" width="18.28515625" customWidth="1"/>
    <col min="11538" max="11539" width="15" customWidth="1"/>
    <col min="11540" max="11542" width="18.7109375" customWidth="1"/>
    <col min="11543" max="11543" width="15.7109375" customWidth="1"/>
    <col min="11544" max="11544" width="17.7109375" customWidth="1"/>
    <col min="11545" max="11545" width="21.28515625" customWidth="1"/>
    <col min="11546" max="11548" width="18.5703125" customWidth="1"/>
    <col min="11549" max="11549" width="15.42578125" customWidth="1"/>
    <col min="11550" max="11550" width="17.28515625" customWidth="1"/>
    <col min="11551" max="11551" width="16.140625" customWidth="1"/>
    <col min="11552" max="11552" width="21.42578125" customWidth="1"/>
    <col min="11553" max="11553" width="18.28515625" customWidth="1"/>
    <col min="11554" max="11554" width="21.7109375" customWidth="1"/>
    <col min="11555" max="11555" width="17.140625" customWidth="1"/>
    <col min="11556" max="11556" width="20.7109375" customWidth="1"/>
    <col min="11557" max="11558" width="21.85546875" customWidth="1"/>
    <col min="11559" max="11559" width="17.5703125" customWidth="1"/>
    <col min="11560" max="11560" width="14.28515625" customWidth="1"/>
    <col min="11561" max="11561" width="17.28515625" customWidth="1"/>
    <col min="11562" max="11562" width="15.28515625" customWidth="1"/>
    <col min="11563" max="11563" width="17.28515625" customWidth="1"/>
    <col min="11564" max="11568" width="13.5703125" customWidth="1"/>
    <col min="11569" max="11569" width="14.28515625" customWidth="1"/>
    <col min="11570" max="11570" width="15" customWidth="1"/>
    <col min="11775" max="11776" width="4.5703125" customWidth="1"/>
    <col min="11777" max="11777" width="40.5703125" customWidth="1"/>
    <col min="11778" max="11778" width="15.7109375" customWidth="1"/>
    <col min="11779" max="11779" width="16.85546875" customWidth="1"/>
    <col min="11780" max="11781" width="14.7109375" customWidth="1"/>
    <col min="11782" max="11782" width="19.140625" customWidth="1"/>
    <col min="11783" max="11784" width="15.5703125" customWidth="1"/>
    <col min="11785" max="11785" width="15.42578125" customWidth="1"/>
    <col min="11786" max="11786" width="16.5703125" customWidth="1"/>
    <col min="11787" max="11788" width="21.42578125" customWidth="1"/>
    <col min="11789" max="11789" width="18.7109375" customWidth="1"/>
    <col min="11790" max="11791" width="18.85546875" customWidth="1"/>
    <col min="11792" max="11792" width="20.5703125" customWidth="1"/>
    <col min="11793" max="11793" width="18.28515625" customWidth="1"/>
    <col min="11794" max="11795" width="15" customWidth="1"/>
    <col min="11796" max="11798" width="18.7109375" customWidth="1"/>
    <col min="11799" max="11799" width="15.7109375" customWidth="1"/>
    <col min="11800" max="11800" width="17.7109375" customWidth="1"/>
    <col min="11801" max="11801" width="21.28515625" customWidth="1"/>
    <col min="11802" max="11804" width="18.5703125" customWidth="1"/>
    <col min="11805" max="11805" width="15.42578125" customWidth="1"/>
    <col min="11806" max="11806" width="17.28515625" customWidth="1"/>
    <col min="11807" max="11807" width="16.140625" customWidth="1"/>
    <col min="11808" max="11808" width="21.42578125" customWidth="1"/>
    <col min="11809" max="11809" width="18.28515625" customWidth="1"/>
    <col min="11810" max="11810" width="21.7109375" customWidth="1"/>
    <col min="11811" max="11811" width="17.140625" customWidth="1"/>
    <col min="11812" max="11812" width="20.7109375" customWidth="1"/>
    <col min="11813" max="11814" width="21.85546875" customWidth="1"/>
    <col min="11815" max="11815" width="17.5703125" customWidth="1"/>
    <col min="11816" max="11816" width="14.28515625" customWidth="1"/>
    <col min="11817" max="11817" width="17.28515625" customWidth="1"/>
    <col min="11818" max="11818" width="15.28515625" customWidth="1"/>
    <col min="11819" max="11819" width="17.28515625" customWidth="1"/>
    <col min="11820" max="11824" width="13.5703125" customWidth="1"/>
    <col min="11825" max="11825" width="14.28515625" customWidth="1"/>
    <col min="11826" max="11826" width="15" customWidth="1"/>
    <col min="12031" max="12032" width="4.5703125" customWidth="1"/>
    <col min="12033" max="12033" width="40.5703125" customWidth="1"/>
    <col min="12034" max="12034" width="15.7109375" customWidth="1"/>
    <col min="12035" max="12035" width="16.85546875" customWidth="1"/>
    <col min="12036" max="12037" width="14.7109375" customWidth="1"/>
    <col min="12038" max="12038" width="19.140625" customWidth="1"/>
    <col min="12039" max="12040" width="15.5703125" customWidth="1"/>
    <col min="12041" max="12041" width="15.42578125" customWidth="1"/>
    <col min="12042" max="12042" width="16.5703125" customWidth="1"/>
    <col min="12043" max="12044" width="21.42578125" customWidth="1"/>
    <col min="12045" max="12045" width="18.7109375" customWidth="1"/>
    <col min="12046" max="12047" width="18.85546875" customWidth="1"/>
    <col min="12048" max="12048" width="20.5703125" customWidth="1"/>
    <col min="12049" max="12049" width="18.28515625" customWidth="1"/>
    <col min="12050" max="12051" width="15" customWidth="1"/>
    <col min="12052" max="12054" width="18.7109375" customWidth="1"/>
    <col min="12055" max="12055" width="15.7109375" customWidth="1"/>
    <col min="12056" max="12056" width="17.7109375" customWidth="1"/>
    <col min="12057" max="12057" width="21.28515625" customWidth="1"/>
    <col min="12058" max="12060" width="18.5703125" customWidth="1"/>
    <col min="12061" max="12061" width="15.42578125" customWidth="1"/>
    <col min="12062" max="12062" width="17.28515625" customWidth="1"/>
    <col min="12063" max="12063" width="16.140625" customWidth="1"/>
    <col min="12064" max="12064" width="21.42578125" customWidth="1"/>
    <col min="12065" max="12065" width="18.28515625" customWidth="1"/>
    <col min="12066" max="12066" width="21.7109375" customWidth="1"/>
    <col min="12067" max="12067" width="17.140625" customWidth="1"/>
    <col min="12068" max="12068" width="20.7109375" customWidth="1"/>
    <col min="12069" max="12070" width="21.85546875" customWidth="1"/>
    <col min="12071" max="12071" width="17.5703125" customWidth="1"/>
    <col min="12072" max="12072" width="14.28515625" customWidth="1"/>
    <col min="12073" max="12073" width="17.28515625" customWidth="1"/>
    <col min="12074" max="12074" width="15.28515625" customWidth="1"/>
    <col min="12075" max="12075" width="17.28515625" customWidth="1"/>
    <col min="12076" max="12080" width="13.5703125" customWidth="1"/>
    <col min="12081" max="12081" width="14.28515625" customWidth="1"/>
    <col min="12082" max="12082" width="15" customWidth="1"/>
    <col min="12287" max="12288" width="4.5703125" customWidth="1"/>
    <col min="12289" max="12289" width="40.5703125" customWidth="1"/>
    <col min="12290" max="12290" width="15.7109375" customWidth="1"/>
    <col min="12291" max="12291" width="16.85546875" customWidth="1"/>
    <col min="12292" max="12293" width="14.7109375" customWidth="1"/>
    <col min="12294" max="12294" width="19.140625" customWidth="1"/>
    <col min="12295" max="12296" width="15.5703125" customWidth="1"/>
    <col min="12297" max="12297" width="15.42578125" customWidth="1"/>
    <col min="12298" max="12298" width="16.5703125" customWidth="1"/>
    <col min="12299" max="12300" width="21.42578125" customWidth="1"/>
    <col min="12301" max="12301" width="18.7109375" customWidth="1"/>
    <col min="12302" max="12303" width="18.85546875" customWidth="1"/>
    <col min="12304" max="12304" width="20.5703125" customWidth="1"/>
    <col min="12305" max="12305" width="18.28515625" customWidth="1"/>
    <col min="12306" max="12307" width="15" customWidth="1"/>
    <col min="12308" max="12310" width="18.7109375" customWidth="1"/>
    <col min="12311" max="12311" width="15.7109375" customWidth="1"/>
    <col min="12312" max="12312" width="17.7109375" customWidth="1"/>
    <col min="12313" max="12313" width="21.28515625" customWidth="1"/>
    <col min="12314" max="12316" width="18.5703125" customWidth="1"/>
    <col min="12317" max="12317" width="15.42578125" customWidth="1"/>
    <col min="12318" max="12318" width="17.28515625" customWidth="1"/>
    <col min="12319" max="12319" width="16.140625" customWidth="1"/>
    <col min="12320" max="12320" width="21.42578125" customWidth="1"/>
    <col min="12321" max="12321" width="18.28515625" customWidth="1"/>
    <col min="12322" max="12322" width="21.7109375" customWidth="1"/>
    <col min="12323" max="12323" width="17.140625" customWidth="1"/>
    <col min="12324" max="12324" width="20.7109375" customWidth="1"/>
    <col min="12325" max="12326" width="21.85546875" customWidth="1"/>
    <col min="12327" max="12327" width="17.5703125" customWidth="1"/>
    <col min="12328" max="12328" width="14.28515625" customWidth="1"/>
    <col min="12329" max="12329" width="17.28515625" customWidth="1"/>
    <col min="12330" max="12330" width="15.28515625" customWidth="1"/>
    <col min="12331" max="12331" width="17.28515625" customWidth="1"/>
    <col min="12332" max="12336" width="13.5703125" customWidth="1"/>
    <col min="12337" max="12337" width="14.28515625" customWidth="1"/>
    <col min="12338" max="12338" width="15" customWidth="1"/>
    <col min="12543" max="12544" width="4.5703125" customWidth="1"/>
    <col min="12545" max="12545" width="40.5703125" customWidth="1"/>
    <col min="12546" max="12546" width="15.7109375" customWidth="1"/>
    <col min="12547" max="12547" width="16.85546875" customWidth="1"/>
    <col min="12548" max="12549" width="14.7109375" customWidth="1"/>
    <col min="12550" max="12550" width="19.140625" customWidth="1"/>
    <col min="12551" max="12552" width="15.5703125" customWidth="1"/>
    <col min="12553" max="12553" width="15.42578125" customWidth="1"/>
    <col min="12554" max="12554" width="16.5703125" customWidth="1"/>
    <col min="12555" max="12556" width="21.42578125" customWidth="1"/>
    <col min="12557" max="12557" width="18.7109375" customWidth="1"/>
    <col min="12558" max="12559" width="18.85546875" customWidth="1"/>
    <col min="12560" max="12560" width="20.5703125" customWidth="1"/>
    <col min="12561" max="12561" width="18.28515625" customWidth="1"/>
    <col min="12562" max="12563" width="15" customWidth="1"/>
    <col min="12564" max="12566" width="18.7109375" customWidth="1"/>
    <col min="12567" max="12567" width="15.7109375" customWidth="1"/>
    <col min="12568" max="12568" width="17.7109375" customWidth="1"/>
    <col min="12569" max="12569" width="21.28515625" customWidth="1"/>
    <col min="12570" max="12572" width="18.5703125" customWidth="1"/>
    <col min="12573" max="12573" width="15.42578125" customWidth="1"/>
    <col min="12574" max="12574" width="17.28515625" customWidth="1"/>
    <col min="12575" max="12575" width="16.140625" customWidth="1"/>
    <col min="12576" max="12576" width="21.42578125" customWidth="1"/>
    <col min="12577" max="12577" width="18.28515625" customWidth="1"/>
    <col min="12578" max="12578" width="21.7109375" customWidth="1"/>
    <col min="12579" max="12579" width="17.140625" customWidth="1"/>
    <col min="12580" max="12580" width="20.7109375" customWidth="1"/>
    <col min="12581" max="12582" width="21.85546875" customWidth="1"/>
    <col min="12583" max="12583" width="17.5703125" customWidth="1"/>
    <col min="12584" max="12584" width="14.28515625" customWidth="1"/>
    <col min="12585" max="12585" width="17.28515625" customWidth="1"/>
    <col min="12586" max="12586" width="15.28515625" customWidth="1"/>
    <col min="12587" max="12587" width="17.28515625" customWidth="1"/>
    <col min="12588" max="12592" width="13.5703125" customWidth="1"/>
    <col min="12593" max="12593" width="14.28515625" customWidth="1"/>
    <col min="12594" max="12594" width="15" customWidth="1"/>
    <col min="12799" max="12800" width="4.5703125" customWidth="1"/>
    <col min="12801" max="12801" width="40.5703125" customWidth="1"/>
    <col min="12802" max="12802" width="15.7109375" customWidth="1"/>
    <col min="12803" max="12803" width="16.85546875" customWidth="1"/>
    <col min="12804" max="12805" width="14.7109375" customWidth="1"/>
    <col min="12806" max="12806" width="19.140625" customWidth="1"/>
    <col min="12807" max="12808" width="15.5703125" customWidth="1"/>
    <col min="12809" max="12809" width="15.42578125" customWidth="1"/>
    <col min="12810" max="12810" width="16.5703125" customWidth="1"/>
    <col min="12811" max="12812" width="21.42578125" customWidth="1"/>
    <col min="12813" max="12813" width="18.7109375" customWidth="1"/>
    <col min="12814" max="12815" width="18.85546875" customWidth="1"/>
    <col min="12816" max="12816" width="20.5703125" customWidth="1"/>
    <col min="12817" max="12817" width="18.28515625" customWidth="1"/>
    <col min="12818" max="12819" width="15" customWidth="1"/>
    <col min="12820" max="12822" width="18.7109375" customWidth="1"/>
    <col min="12823" max="12823" width="15.7109375" customWidth="1"/>
    <col min="12824" max="12824" width="17.7109375" customWidth="1"/>
    <col min="12825" max="12825" width="21.28515625" customWidth="1"/>
    <col min="12826" max="12828" width="18.5703125" customWidth="1"/>
    <col min="12829" max="12829" width="15.42578125" customWidth="1"/>
    <col min="12830" max="12830" width="17.28515625" customWidth="1"/>
    <col min="12831" max="12831" width="16.140625" customWidth="1"/>
    <col min="12832" max="12832" width="21.42578125" customWidth="1"/>
    <col min="12833" max="12833" width="18.28515625" customWidth="1"/>
    <col min="12834" max="12834" width="21.7109375" customWidth="1"/>
    <col min="12835" max="12835" width="17.140625" customWidth="1"/>
    <col min="12836" max="12836" width="20.7109375" customWidth="1"/>
    <col min="12837" max="12838" width="21.85546875" customWidth="1"/>
    <col min="12839" max="12839" width="17.5703125" customWidth="1"/>
    <col min="12840" max="12840" width="14.28515625" customWidth="1"/>
    <col min="12841" max="12841" width="17.28515625" customWidth="1"/>
    <col min="12842" max="12842" width="15.28515625" customWidth="1"/>
    <col min="12843" max="12843" width="17.28515625" customWidth="1"/>
    <col min="12844" max="12848" width="13.5703125" customWidth="1"/>
    <col min="12849" max="12849" width="14.28515625" customWidth="1"/>
    <col min="12850" max="12850" width="15" customWidth="1"/>
    <col min="13055" max="13056" width="4.5703125" customWidth="1"/>
    <col min="13057" max="13057" width="40.5703125" customWidth="1"/>
    <col min="13058" max="13058" width="15.7109375" customWidth="1"/>
    <col min="13059" max="13059" width="16.85546875" customWidth="1"/>
    <col min="13060" max="13061" width="14.7109375" customWidth="1"/>
    <col min="13062" max="13062" width="19.140625" customWidth="1"/>
    <col min="13063" max="13064" width="15.5703125" customWidth="1"/>
    <col min="13065" max="13065" width="15.42578125" customWidth="1"/>
    <col min="13066" max="13066" width="16.5703125" customWidth="1"/>
    <col min="13067" max="13068" width="21.42578125" customWidth="1"/>
    <col min="13069" max="13069" width="18.7109375" customWidth="1"/>
    <col min="13070" max="13071" width="18.85546875" customWidth="1"/>
    <col min="13072" max="13072" width="20.5703125" customWidth="1"/>
    <col min="13073" max="13073" width="18.28515625" customWidth="1"/>
    <col min="13074" max="13075" width="15" customWidth="1"/>
    <col min="13076" max="13078" width="18.7109375" customWidth="1"/>
    <col min="13079" max="13079" width="15.7109375" customWidth="1"/>
    <col min="13080" max="13080" width="17.7109375" customWidth="1"/>
    <col min="13081" max="13081" width="21.28515625" customWidth="1"/>
    <col min="13082" max="13084" width="18.5703125" customWidth="1"/>
    <col min="13085" max="13085" width="15.42578125" customWidth="1"/>
    <col min="13086" max="13086" width="17.28515625" customWidth="1"/>
    <col min="13087" max="13087" width="16.140625" customWidth="1"/>
    <col min="13088" max="13088" width="21.42578125" customWidth="1"/>
    <col min="13089" max="13089" width="18.28515625" customWidth="1"/>
    <col min="13090" max="13090" width="21.7109375" customWidth="1"/>
    <col min="13091" max="13091" width="17.140625" customWidth="1"/>
    <col min="13092" max="13092" width="20.7109375" customWidth="1"/>
    <col min="13093" max="13094" width="21.85546875" customWidth="1"/>
    <col min="13095" max="13095" width="17.5703125" customWidth="1"/>
    <col min="13096" max="13096" width="14.28515625" customWidth="1"/>
    <col min="13097" max="13097" width="17.28515625" customWidth="1"/>
    <col min="13098" max="13098" width="15.28515625" customWidth="1"/>
    <col min="13099" max="13099" width="17.28515625" customWidth="1"/>
    <col min="13100" max="13104" width="13.5703125" customWidth="1"/>
    <col min="13105" max="13105" width="14.28515625" customWidth="1"/>
    <col min="13106" max="13106" width="15" customWidth="1"/>
    <col min="13311" max="13312" width="4.5703125" customWidth="1"/>
    <col min="13313" max="13313" width="40.5703125" customWidth="1"/>
    <col min="13314" max="13314" width="15.7109375" customWidth="1"/>
    <col min="13315" max="13315" width="16.85546875" customWidth="1"/>
    <col min="13316" max="13317" width="14.7109375" customWidth="1"/>
    <col min="13318" max="13318" width="19.140625" customWidth="1"/>
    <col min="13319" max="13320" width="15.5703125" customWidth="1"/>
    <col min="13321" max="13321" width="15.42578125" customWidth="1"/>
    <col min="13322" max="13322" width="16.5703125" customWidth="1"/>
    <col min="13323" max="13324" width="21.42578125" customWidth="1"/>
    <col min="13325" max="13325" width="18.7109375" customWidth="1"/>
    <col min="13326" max="13327" width="18.85546875" customWidth="1"/>
    <col min="13328" max="13328" width="20.5703125" customWidth="1"/>
    <col min="13329" max="13329" width="18.28515625" customWidth="1"/>
    <col min="13330" max="13331" width="15" customWidth="1"/>
    <col min="13332" max="13334" width="18.7109375" customWidth="1"/>
    <col min="13335" max="13335" width="15.7109375" customWidth="1"/>
    <col min="13336" max="13336" width="17.7109375" customWidth="1"/>
    <col min="13337" max="13337" width="21.28515625" customWidth="1"/>
    <col min="13338" max="13340" width="18.5703125" customWidth="1"/>
    <col min="13341" max="13341" width="15.42578125" customWidth="1"/>
    <col min="13342" max="13342" width="17.28515625" customWidth="1"/>
    <col min="13343" max="13343" width="16.140625" customWidth="1"/>
    <col min="13344" max="13344" width="21.42578125" customWidth="1"/>
    <col min="13345" max="13345" width="18.28515625" customWidth="1"/>
    <col min="13346" max="13346" width="21.7109375" customWidth="1"/>
    <col min="13347" max="13347" width="17.140625" customWidth="1"/>
    <col min="13348" max="13348" width="20.7109375" customWidth="1"/>
    <col min="13349" max="13350" width="21.85546875" customWidth="1"/>
    <col min="13351" max="13351" width="17.5703125" customWidth="1"/>
    <col min="13352" max="13352" width="14.28515625" customWidth="1"/>
    <col min="13353" max="13353" width="17.28515625" customWidth="1"/>
    <col min="13354" max="13354" width="15.28515625" customWidth="1"/>
    <col min="13355" max="13355" width="17.28515625" customWidth="1"/>
    <col min="13356" max="13360" width="13.5703125" customWidth="1"/>
    <col min="13361" max="13361" width="14.28515625" customWidth="1"/>
    <col min="13362" max="13362" width="15" customWidth="1"/>
    <col min="13567" max="13568" width="4.5703125" customWidth="1"/>
    <col min="13569" max="13569" width="40.5703125" customWidth="1"/>
    <col min="13570" max="13570" width="15.7109375" customWidth="1"/>
    <col min="13571" max="13571" width="16.85546875" customWidth="1"/>
    <col min="13572" max="13573" width="14.7109375" customWidth="1"/>
    <col min="13574" max="13574" width="19.140625" customWidth="1"/>
    <col min="13575" max="13576" width="15.5703125" customWidth="1"/>
    <col min="13577" max="13577" width="15.42578125" customWidth="1"/>
    <col min="13578" max="13578" width="16.5703125" customWidth="1"/>
    <col min="13579" max="13580" width="21.42578125" customWidth="1"/>
    <col min="13581" max="13581" width="18.7109375" customWidth="1"/>
    <col min="13582" max="13583" width="18.85546875" customWidth="1"/>
    <col min="13584" max="13584" width="20.5703125" customWidth="1"/>
    <col min="13585" max="13585" width="18.28515625" customWidth="1"/>
    <col min="13586" max="13587" width="15" customWidth="1"/>
    <col min="13588" max="13590" width="18.7109375" customWidth="1"/>
    <col min="13591" max="13591" width="15.7109375" customWidth="1"/>
    <col min="13592" max="13592" width="17.7109375" customWidth="1"/>
    <col min="13593" max="13593" width="21.28515625" customWidth="1"/>
    <col min="13594" max="13596" width="18.5703125" customWidth="1"/>
    <col min="13597" max="13597" width="15.42578125" customWidth="1"/>
    <col min="13598" max="13598" width="17.28515625" customWidth="1"/>
    <col min="13599" max="13599" width="16.140625" customWidth="1"/>
    <col min="13600" max="13600" width="21.42578125" customWidth="1"/>
    <col min="13601" max="13601" width="18.28515625" customWidth="1"/>
    <col min="13602" max="13602" width="21.7109375" customWidth="1"/>
    <col min="13603" max="13603" width="17.140625" customWidth="1"/>
    <col min="13604" max="13604" width="20.7109375" customWidth="1"/>
    <col min="13605" max="13606" width="21.85546875" customWidth="1"/>
    <col min="13607" max="13607" width="17.5703125" customWidth="1"/>
    <col min="13608" max="13608" width="14.28515625" customWidth="1"/>
    <col min="13609" max="13609" width="17.28515625" customWidth="1"/>
    <col min="13610" max="13610" width="15.28515625" customWidth="1"/>
    <col min="13611" max="13611" width="17.28515625" customWidth="1"/>
    <col min="13612" max="13616" width="13.5703125" customWidth="1"/>
    <col min="13617" max="13617" width="14.28515625" customWidth="1"/>
    <col min="13618" max="13618" width="15" customWidth="1"/>
    <col min="13823" max="13824" width="4.5703125" customWidth="1"/>
    <col min="13825" max="13825" width="40.5703125" customWidth="1"/>
    <col min="13826" max="13826" width="15.7109375" customWidth="1"/>
    <col min="13827" max="13827" width="16.85546875" customWidth="1"/>
    <col min="13828" max="13829" width="14.7109375" customWidth="1"/>
    <col min="13830" max="13830" width="19.140625" customWidth="1"/>
    <col min="13831" max="13832" width="15.5703125" customWidth="1"/>
    <col min="13833" max="13833" width="15.42578125" customWidth="1"/>
    <col min="13834" max="13834" width="16.5703125" customWidth="1"/>
    <col min="13835" max="13836" width="21.42578125" customWidth="1"/>
    <col min="13837" max="13837" width="18.7109375" customWidth="1"/>
    <col min="13838" max="13839" width="18.85546875" customWidth="1"/>
    <col min="13840" max="13840" width="20.5703125" customWidth="1"/>
    <col min="13841" max="13841" width="18.28515625" customWidth="1"/>
    <col min="13842" max="13843" width="15" customWidth="1"/>
    <col min="13844" max="13846" width="18.7109375" customWidth="1"/>
    <col min="13847" max="13847" width="15.7109375" customWidth="1"/>
    <col min="13848" max="13848" width="17.7109375" customWidth="1"/>
    <col min="13849" max="13849" width="21.28515625" customWidth="1"/>
    <col min="13850" max="13852" width="18.5703125" customWidth="1"/>
    <col min="13853" max="13853" width="15.42578125" customWidth="1"/>
    <col min="13854" max="13854" width="17.28515625" customWidth="1"/>
    <col min="13855" max="13855" width="16.140625" customWidth="1"/>
    <col min="13856" max="13856" width="21.42578125" customWidth="1"/>
    <col min="13857" max="13857" width="18.28515625" customWidth="1"/>
    <col min="13858" max="13858" width="21.7109375" customWidth="1"/>
    <col min="13859" max="13859" width="17.140625" customWidth="1"/>
    <col min="13860" max="13860" width="20.7109375" customWidth="1"/>
    <col min="13861" max="13862" width="21.85546875" customWidth="1"/>
    <col min="13863" max="13863" width="17.5703125" customWidth="1"/>
    <col min="13864" max="13864" width="14.28515625" customWidth="1"/>
    <col min="13865" max="13865" width="17.28515625" customWidth="1"/>
    <col min="13866" max="13866" width="15.28515625" customWidth="1"/>
    <col min="13867" max="13867" width="17.28515625" customWidth="1"/>
    <col min="13868" max="13872" width="13.5703125" customWidth="1"/>
    <col min="13873" max="13873" width="14.28515625" customWidth="1"/>
    <col min="13874" max="13874" width="15" customWidth="1"/>
    <col min="14079" max="14080" width="4.5703125" customWidth="1"/>
    <col min="14081" max="14081" width="40.5703125" customWidth="1"/>
    <col min="14082" max="14082" width="15.7109375" customWidth="1"/>
    <col min="14083" max="14083" width="16.85546875" customWidth="1"/>
    <col min="14084" max="14085" width="14.7109375" customWidth="1"/>
    <col min="14086" max="14086" width="19.140625" customWidth="1"/>
    <col min="14087" max="14088" width="15.5703125" customWidth="1"/>
    <col min="14089" max="14089" width="15.42578125" customWidth="1"/>
    <col min="14090" max="14090" width="16.5703125" customWidth="1"/>
    <col min="14091" max="14092" width="21.42578125" customWidth="1"/>
    <col min="14093" max="14093" width="18.7109375" customWidth="1"/>
    <col min="14094" max="14095" width="18.85546875" customWidth="1"/>
    <col min="14096" max="14096" width="20.5703125" customWidth="1"/>
    <col min="14097" max="14097" width="18.28515625" customWidth="1"/>
    <col min="14098" max="14099" width="15" customWidth="1"/>
    <col min="14100" max="14102" width="18.7109375" customWidth="1"/>
    <col min="14103" max="14103" width="15.7109375" customWidth="1"/>
    <col min="14104" max="14104" width="17.7109375" customWidth="1"/>
    <col min="14105" max="14105" width="21.28515625" customWidth="1"/>
    <col min="14106" max="14108" width="18.5703125" customWidth="1"/>
    <col min="14109" max="14109" width="15.42578125" customWidth="1"/>
    <col min="14110" max="14110" width="17.28515625" customWidth="1"/>
    <col min="14111" max="14111" width="16.140625" customWidth="1"/>
    <col min="14112" max="14112" width="21.42578125" customWidth="1"/>
    <col min="14113" max="14113" width="18.28515625" customWidth="1"/>
    <col min="14114" max="14114" width="21.7109375" customWidth="1"/>
    <col min="14115" max="14115" width="17.140625" customWidth="1"/>
    <col min="14116" max="14116" width="20.7109375" customWidth="1"/>
    <col min="14117" max="14118" width="21.85546875" customWidth="1"/>
    <col min="14119" max="14119" width="17.5703125" customWidth="1"/>
    <col min="14120" max="14120" width="14.28515625" customWidth="1"/>
    <col min="14121" max="14121" width="17.28515625" customWidth="1"/>
    <col min="14122" max="14122" width="15.28515625" customWidth="1"/>
    <col min="14123" max="14123" width="17.28515625" customWidth="1"/>
    <col min="14124" max="14128" width="13.5703125" customWidth="1"/>
    <col min="14129" max="14129" width="14.28515625" customWidth="1"/>
    <col min="14130" max="14130" width="15" customWidth="1"/>
    <col min="14335" max="14336" width="4.5703125" customWidth="1"/>
    <col min="14337" max="14337" width="40.5703125" customWidth="1"/>
    <col min="14338" max="14338" width="15.7109375" customWidth="1"/>
    <col min="14339" max="14339" width="16.85546875" customWidth="1"/>
    <col min="14340" max="14341" width="14.7109375" customWidth="1"/>
    <col min="14342" max="14342" width="19.140625" customWidth="1"/>
    <col min="14343" max="14344" width="15.5703125" customWidth="1"/>
    <col min="14345" max="14345" width="15.42578125" customWidth="1"/>
    <col min="14346" max="14346" width="16.5703125" customWidth="1"/>
    <col min="14347" max="14348" width="21.42578125" customWidth="1"/>
    <col min="14349" max="14349" width="18.7109375" customWidth="1"/>
    <col min="14350" max="14351" width="18.85546875" customWidth="1"/>
    <col min="14352" max="14352" width="20.5703125" customWidth="1"/>
    <col min="14353" max="14353" width="18.28515625" customWidth="1"/>
    <col min="14354" max="14355" width="15" customWidth="1"/>
    <col min="14356" max="14358" width="18.7109375" customWidth="1"/>
    <col min="14359" max="14359" width="15.7109375" customWidth="1"/>
    <col min="14360" max="14360" width="17.7109375" customWidth="1"/>
    <col min="14361" max="14361" width="21.28515625" customWidth="1"/>
    <col min="14362" max="14364" width="18.5703125" customWidth="1"/>
    <col min="14365" max="14365" width="15.42578125" customWidth="1"/>
    <col min="14366" max="14366" width="17.28515625" customWidth="1"/>
    <col min="14367" max="14367" width="16.140625" customWidth="1"/>
    <col min="14368" max="14368" width="21.42578125" customWidth="1"/>
    <col min="14369" max="14369" width="18.28515625" customWidth="1"/>
    <col min="14370" max="14370" width="21.7109375" customWidth="1"/>
    <col min="14371" max="14371" width="17.140625" customWidth="1"/>
    <col min="14372" max="14372" width="20.7109375" customWidth="1"/>
    <col min="14373" max="14374" width="21.85546875" customWidth="1"/>
    <col min="14375" max="14375" width="17.5703125" customWidth="1"/>
    <col min="14376" max="14376" width="14.28515625" customWidth="1"/>
    <col min="14377" max="14377" width="17.28515625" customWidth="1"/>
    <col min="14378" max="14378" width="15.28515625" customWidth="1"/>
    <col min="14379" max="14379" width="17.28515625" customWidth="1"/>
    <col min="14380" max="14384" width="13.5703125" customWidth="1"/>
    <col min="14385" max="14385" width="14.28515625" customWidth="1"/>
    <col min="14386" max="14386" width="15" customWidth="1"/>
    <col min="14591" max="14592" width="4.5703125" customWidth="1"/>
    <col min="14593" max="14593" width="40.5703125" customWidth="1"/>
    <col min="14594" max="14594" width="15.7109375" customWidth="1"/>
    <col min="14595" max="14595" width="16.85546875" customWidth="1"/>
    <col min="14596" max="14597" width="14.7109375" customWidth="1"/>
    <col min="14598" max="14598" width="19.140625" customWidth="1"/>
    <col min="14599" max="14600" width="15.5703125" customWidth="1"/>
    <col min="14601" max="14601" width="15.42578125" customWidth="1"/>
    <col min="14602" max="14602" width="16.5703125" customWidth="1"/>
    <col min="14603" max="14604" width="21.42578125" customWidth="1"/>
    <col min="14605" max="14605" width="18.7109375" customWidth="1"/>
    <col min="14606" max="14607" width="18.85546875" customWidth="1"/>
    <col min="14608" max="14608" width="20.5703125" customWidth="1"/>
    <col min="14609" max="14609" width="18.28515625" customWidth="1"/>
    <col min="14610" max="14611" width="15" customWidth="1"/>
    <col min="14612" max="14614" width="18.7109375" customWidth="1"/>
    <col min="14615" max="14615" width="15.7109375" customWidth="1"/>
    <col min="14616" max="14616" width="17.7109375" customWidth="1"/>
    <col min="14617" max="14617" width="21.28515625" customWidth="1"/>
    <col min="14618" max="14620" width="18.5703125" customWidth="1"/>
    <col min="14621" max="14621" width="15.42578125" customWidth="1"/>
    <col min="14622" max="14622" width="17.28515625" customWidth="1"/>
    <col min="14623" max="14623" width="16.140625" customWidth="1"/>
    <col min="14624" max="14624" width="21.42578125" customWidth="1"/>
    <col min="14625" max="14625" width="18.28515625" customWidth="1"/>
    <col min="14626" max="14626" width="21.7109375" customWidth="1"/>
    <col min="14627" max="14627" width="17.140625" customWidth="1"/>
    <col min="14628" max="14628" width="20.7109375" customWidth="1"/>
    <col min="14629" max="14630" width="21.85546875" customWidth="1"/>
    <col min="14631" max="14631" width="17.5703125" customWidth="1"/>
    <col min="14632" max="14632" width="14.28515625" customWidth="1"/>
    <col min="14633" max="14633" width="17.28515625" customWidth="1"/>
    <col min="14634" max="14634" width="15.28515625" customWidth="1"/>
    <col min="14635" max="14635" width="17.28515625" customWidth="1"/>
    <col min="14636" max="14640" width="13.5703125" customWidth="1"/>
    <col min="14641" max="14641" width="14.28515625" customWidth="1"/>
    <col min="14642" max="14642" width="15" customWidth="1"/>
    <col min="14847" max="14848" width="4.5703125" customWidth="1"/>
    <col min="14849" max="14849" width="40.5703125" customWidth="1"/>
    <col min="14850" max="14850" width="15.7109375" customWidth="1"/>
    <col min="14851" max="14851" width="16.85546875" customWidth="1"/>
    <col min="14852" max="14853" width="14.7109375" customWidth="1"/>
    <col min="14854" max="14854" width="19.140625" customWidth="1"/>
    <col min="14855" max="14856" width="15.5703125" customWidth="1"/>
    <col min="14857" max="14857" width="15.42578125" customWidth="1"/>
    <col min="14858" max="14858" width="16.5703125" customWidth="1"/>
    <col min="14859" max="14860" width="21.42578125" customWidth="1"/>
    <col min="14861" max="14861" width="18.7109375" customWidth="1"/>
    <col min="14862" max="14863" width="18.85546875" customWidth="1"/>
    <col min="14864" max="14864" width="20.5703125" customWidth="1"/>
    <col min="14865" max="14865" width="18.28515625" customWidth="1"/>
    <col min="14866" max="14867" width="15" customWidth="1"/>
    <col min="14868" max="14870" width="18.7109375" customWidth="1"/>
    <col min="14871" max="14871" width="15.7109375" customWidth="1"/>
    <col min="14872" max="14872" width="17.7109375" customWidth="1"/>
    <col min="14873" max="14873" width="21.28515625" customWidth="1"/>
    <col min="14874" max="14876" width="18.5703125" customWidth="1"/>
    <col min="14877" max="14877" width="15.42578125" customWidth="1"/>
    <col min="14878" max="14878" width="17.28515625" customWidth="1"/>
    <col min="14879" max="14879" width="16.140625" customWidth="1"/>
    <col min="14880" max="14880" width="21.42578125" customWidth="1"/>
    <col min="14881" max="14881" width="18.28515625" customWidth="1"/>
    <col min="14882" max="14882" width="21.7109375" customWidth="1"/>
    <col min="14883" max="14883" width="17.140625" customWidth="1"/>
    <col min="14884" max="14884" width="20.7109375" customWidth="1"/>
    <col min="14885" max="14886" width="21.85546875" customWidth="1"/>
    <col min="14887" max="14887" width="17.5703125" customWidth="1"/>
    <col min="14888" max="14888" width="14.28515625" customWidth="1"/>
    <col min="14889" max="14889" width="17.28515625" customWidth="1"/>
    <col min="14890" max="14890" width="15.28515625" customWidth="1"/>
    <col min="14891" max="14891" width="17.28515625" customWidth="1"/>
    <col min="14892" max="14896" width="13.5703125" customWidth="1"/>
    <col min="14897" max="14897" width="14.28515625" customWidth="1"/>
    <col min="14898" max="14898" width="15" customWidth="1"/>
    <col min="15103" max="15104" width="4.5703125" customWidth="1"/>
    <col min="15105" max="15105" width="40.5703125" customWidth="1"/>
    <col min="15106" max="15106" width="15.7109375" customWidth="1"/>
    <col min="15107" max="15107" width="16.85546875" customWidth="1"/>
    <col min="15108" max="15109" width="14.7109375" customWidth="1"/>
    <col min="15110" max="15110" width="19.140625" customWidth="1"/>
    <col min="15111" max="15112" width="15.5703125" customWidth="1"/>
    <col min="15113" max="15113" width="15.42578125" customWidth="1"/>
    <col min="15114" max="15114" width="16.5703125" customWidth="1"/>
    <col min="15115" max="15116" width="21.42578125" customWidth="1"/>
    <col min="15117" max="15117" width="18.7109375" customWidth="1"/>
    <col min="15118" max="15119" width="18.85546875" customWidth="1"/>
    <col min="15120" max="15120" width="20.5703125" customWidth="1"/>
    <col min="15121" max="15121" width="18.28515625" customWidth="1"/>
    <col min="15122" max="15123" width="15" customWidth="1"/>
    <col min="15124" max="15126" width="18.7109375" customWidth="1"/>
    <col min="15127" max="15127" width="15.7109375" customWidth="1"/>
    <col min="15128" max="15128" width="17.7109375" customWidth="1"/>
    <col min="15129" max="15129" width="21.28515625" customWidth="1"/>
    <col min="15130" max="15132" width="18.5703125" customWidth="1"/>
    <col min="15133" max="15133" width="15.42578125" customWidth="1"/>
    <col min="15134" max="15134" width="17.28515625" customWidth="1"/>
    <col min="15135" max="15135" width="16.140625" customWidth="1"/>
    <col min="15136" max="15136" width="21.42578125" customWidth="1"/>
    <col min="15137" max="15137" width="18.28515625" customWidth="1"/>
    <col min="15138" max="15138" width="21.7109375" customWidth="1"/>
    <col min="15139" max="15139" width="17.140625" customWidth="1"/>
    <col min="15140" max="15140" width="20.7109375" customWidth="1"/>
    <col min="15141" max="15142" width="21.85546875" customWidth="1"/>
    <col min="15143" max="15143" width="17.5703125" customWidth="1"/>
    <col min="15144" max="15144" width="14.28515625" customWidth="1"/>
    <col min="15145" max="15145" width="17.28515625" customWidth="1"/>
    <col min="15146" max="15146" width="15.28515625" customWidth="1"/>
    <col min="15147" max="15147" width="17.28515625" customWidth="1"/>
    <col min="15148" max="15152" width="13.5703125" customWidth="1"/>
    <col min="15153" max="15153" width="14.28515625" customWidth="1"/>
    <col min="15154" max="15154" width="15" customWidth="1"/>
    <col min="15359" max="15360" width="4.5703125" customWidth="1"/>
    <col min="15361" max="15361" width="40.5703125" customWidth="1"/>
    <col min="15362" max="15362" width="15.7109375" customWidth="1"/>
    <col min="15363" max="15363" width="16.85546875" customWidth="1"/>
    <col min="15364" max="15365" width="14.7109375" customWidth="1"/>
    <col min="15366" max="15366" width="19.140625" customWidth="1"/>
    <col min="15367" max="15368" width="15.5703125" customWidth="1"/>
    <col min="15369" max="15369" width="15.42578125" customWidth="1"/>
    <col min="15370" max="15370" width="16.5703125" customWidth="1"/>
    <col min="15371" max="15372" width="21.42578125" customWidth="1"/>
    <col min="15373" max="15373" width="18.7109375" customWidth="1"/>
    <col min="15374" max="15375" width="18.85546875" customWidth="1"/>
    <col min="15376" max="15376" width="20.5703125" customWidth="1"/>
    <col min="15377" max="15377" width="18.28515625" customWidth="1"/>
    <col min="15378" max="15379" width="15" customWidth="1"/>
    <col min="15380" max="15382" width="18.7109375" customWidth="1"/>
    <col min="15383" max="15383" width="15.7109375" customWidth="1"/>
    <col min="15384" max="15384" width="17.7109375" customWidth="1"/>
    <col min="15385" max="15385" width="21.28515625" customWidth="1"/>
    <col min="15386" max="15388" width="18.5703125" customWidth="1"/>
    <col min="15389" max="15389" width="15.42578125" customWidth="1"/>
    <col min="15390" max="15390" width="17.28515625" customWidth="1"/>
    <col min="15391" max="15391" width="16.140625" customWidth="1"/>
    <col min="15392" max="15392" width="21.42578125" customWidth="1"/>
    <col min="15393" max="15393" width="18.28515625" customWidth="1"/>
    <col min="15394" max="15394" width="21.7109375" customWidth="1"/>
    <col min="15395" max="15395" width="17.140625" customWidth="1"/>
    <col min="15396" max="15396" width="20.7109375" customWidth="1"/>
    <col min="15397" max="15398" width="21.85546875" customWidth="1"/>
    <col min="15399" max="15399" width="17.5703125" customWidth="1"/>
    <col min="15400" max="15400" width="14.28515625" customWidth="1"/>
    <col min="15401" max="15401" width="17.28515625" customWidth="1"/>
    <col min="15402" max="15402" width="15.28515625" customWidth="1"/>
    <col min="15403" max="15403" width="17.28515625" customWidth="1"/>
    <col min="15404" max="15408" width="13.5703125" customWidth="1"/>
    <col min="15409" max="15409" width="14.28515625" customWidth="1"/>
    <col min="15410" max="15410" width="15" customWidth="1"/>
    <col min="15615" max="15616" width="4.5703125" customWidth="1"/>
    <col min="15617" max="15617" width="40.5703125" customWidth="1"/>
    <col min="15618" max="15618" width="15.7109375" customWidth="1"/>
    <col min="15619" max="15619" width="16.85546875" customWidth="1"/>
    <col min="15620" max="15621" width="14.7109375" customWidth="1"/>
    <col min="15622" max="15622" width="19.140625" customWidth="1"/>
    <col min="15623" max="15624" width="15.5703125" customWidth="1"/>
    <col min="15625" max="15625" width="15.42578125" customWidth="1"/>
    <col min="15626" max="15626" width="16.5703125" customWidth="1"/>
    <col min="15627" max="15628" width="21.42578125" customWidth="1"/>
    <col min="15629" max="15629" width="18.7109375" customWidth="1"/>
    <col min="15630" max="15631" width="18.85546875" customWidth="1"/>
    <col min="15632" max="15632" width="20.5703125" customWidth="1"/>
    <col min="15633" max="15633" width="18.28515625" customWidth="1"/>
    <col min="15634" max="15635" width="15" customWidth="1"/>
    <col min="15636" max="15638" width="18.7109375" customWidth="1"/>
    <col min="15639" max="15639" width="15.7109375" customWidth="1"/>
    <col min="15640" max="15640" width="17.7109375" customWidth="1"/>
    <col min="15641" max="15641" width="21.28515625" customWidth="1"/>
    <col min="15642" max="15644" width="18.5703125" customWidth="1"/>
    <col min="15645" max="15645" width="15.42578125" customWidth="1"/>
    <col min="15646" max="15646" width="17.28515625" customWidth="1"/>
    <col min="15647" max="15647" width="16.140625" customWidth="1"/>
    <col min="15648" max="15648" width="21.42578125" customWidth="1"/>
    <col min="15649" max="15649" width="18.28515625" customWidth="1"/>
    <col min="15650" max="15650" width="21.7109375" customWidth="1"/>
    <col min="15651" max="15651" width="17.140625" customWidth="1"/>
    <col min="15652" max="15652" width="20.7109375" customWidth="1"/>
    <col min="15653" max="15654" width="21.85546875" customWidth="1"/>
    <col min="15655" max="15655" width="17.5703125" customWidth="1"/>
    <col min="15656" max="15656" width="14.28515625" customWidth="1"/>
    <col min="15657" max="15657" width="17.28515625" customWidth="1"/>
    <col min="15658" max="15658" width="15.28515625" customWidth="1"/>
    <col min="15659" max="15659" width="17.28515625" customWidth="1"/>
    <col min="15660" max="15664" width="13.5703125" customWidth="1"/>
    <col min="15665" max="15665" width="14.28515625" customWidth="1"/>
    <col min="15666" max="15666" width="15" customWidth="1"/>
    <col min="15871" max="15872" width="4.5703125" customWidth="1"/>
    <col min="15873" max="15873" width="40.5703125" customWidth="1"/>
    <col min="15874" max="15874" width="15.7109375" customWidth="1"/>
    <col min="15875" max="15875" width="16.85546875" customWidth="1"/>
    <col min="15876" max="15877" width="14.7109375" customWidth="1"/>
    <col min="15878" max="15878" width="19.140625" customWidth="1"/>
    <col min="15879" max="15880" width="15.5703125" customWidth="1"/>
    <col min="15881" max="15881" width="15.42578125" customWidth="1"/>
    <col min="15882" max="15882" width="16.5703125" customWidth="1"/>
    <col min="15883" max="15884" width="21.42578125" customWidth="1"/>
    <col min="15885" max="15885" width="18.7109375" customWidth="1"/>
    <col min="15886" max="15887" width="18.85546875" customWidth="1"/>
    <col min="15888" max="15888" width="20.5703125" customWidth="1"/>
    <col min="15889" max="15889" width="18.28515625" customWidth="1"/>
    <col min="15890" max="15891" width="15" customWidth="1"/>
    <col min="15892" max="15894" width="18.7109375" customWidth="1"/>
    <col min="15895" max="15895" width="15.7109375" customWidth="1"/>
    <col min="15896" max="15896" width="17.7109375" customWidth="1"/>
    <col min="15897" max="15897" width="21.28515625" customWidth="1"/>
    <col min="15898" max="15900" width="18.5703125" customWidth="1"/>
    <col min="15901" max="15901" width="15.42578125" customWidth="1"/>
    <col min="15902" max="15902" width="17.28515625" customWidth="1"/>
    <col min="15903" max="15903" width="16.140625" customWidth="1"/>
    <col min="15904" max="15904" width="21.42578125" customWidth="1"/>
    <col min="15905" max="15905" width="18.28515625" customWidth="1"/>
    <col min="15906" max="15906" width="21.7109375" customWidth="1"/>
    <col min="15907" max="15907" width="17.140625" customWidth="1"/>
    <col min="15908" max="15908" width="20.7109375" customWidth="1"/>
    <col min="15909" max="15910" width="21.85546875" customWidth="1"/>
    <col min="15911" max="15911" width="17.5703125" customWidth="1"/>
    <col min="15912" max="15912" width="14.28515625" customWidth="1"/>
    <col min="15913" max="15913" width="17.28515625" customWidth="1"/>
    <col min="15914" max="15914" width="15.28515625" customWidth="1"/>
    <col min="15915" max="15915" width="17.28515625" customWidth="1"/>
    <col min="15916" max="15920" width="13.5703125" customWidth="1"/>
    <col min="15921" max="15921" width="14.28515625" customWidth="1"/>
    <col min="15922" max="15922" width="15" customWidth="1"/>
    <col min="16127" max="16128" width="4.5703125" customWidth="1"/>
    <col min="16129" max="16129" width="40.5703125" customWidth="1"/>
    <col min="16130" max="16130" width="15.7109375" customWidth="1"/>
    <col min="16131" max="16131" width="16.85546875" customWidth="1"/>
    <col min="16132" max="16133" width="14.7109375" customWidth="1"/>
    <col min="16134" max="16134" width="19.140625" customWidth="1"/>
    <col min="16135" max="16136" width="15.5703125" customWidth="1"/>
    <col min="16137" max="16137" width="15.42578125" customWidth="1"/>
    <col min="16138" max="16138" width="16.5703125" customWidth="1"/>
    <col min="16139" max="16140" width="21.42578125" customWidth="1"/>
    <col min="16141" max="16141" width="18.7109375" customWidth="1"/>
    <col min="16142" max="16143" width="18.85546875" customWidth="1"/>
    <col min="16144" max="16144" width="20.5703125" customWidth="1"/>
    <col min="16145" max="16145" width="18.28515625" customWidth="1"/>
    <col min="16146" max="16147" width="15" customWidth="1"/>
    <col min="16148" max="16150" width="18.7109375" customWidth="1"/>
    <col min="16151" max="16151" width="15.7109375" customWidth="1"/>
    <col min="16152" max="16152" width="17.7109375" customWidth="1"/>
    <col min="16153" max="16153" width="21.28515625" customWidth="1"/>
    <col min="16154" max="16156" width="18.5703125" customWidth="1"/>
    <col min="16157" max="16157" width="15.42578125" customWidth="1"/>
    <col min="16158" max="16158" width="17.28515625" customWidth="1"/>
    <col min="16159" max="16159" width="16.140625" customWidth="1"/>
    <col min="16160" max="16160" width="21.42578125" customWidth="1"/>
    <col min="16161" max="16161" width="18.28515625" customWidth="1"/>
    <col min="16162" max="16162" width="21.7109375" customWidth="1"/>
    <col min="16163" max="16163" width="17.140625" customWidth="1"/>
    <col min="16164" max="16164" width="20.7109375" customWidth="1"/>
    <col min="16165" max="16166" width="21.85546875" customWidth="1"/>
    <col min="16167" max="16167" width="17.5703125" customWidth="1"/>
    <col min="16168" max="16168" width="14.28515625" customWidth="1"/>
    <col min="16169" max="16169" width="17.28515625" customWidth="1"/>
    <col min="16170" max="16170" width="15.28515625" customWidth="1"/>
    <col min="16171" max="16171" width="17.28515625" customWidth="1"/>
    <col min="16172" max="16176" width="13.5703125" customWidth="1"/>
    <col min="16177" max="16177" width="14.28515625" customWidth="1"/>
    <col min="16178" max="16178" width="15" customWidth="1"/>
  </cols>
  <sheetData>
    <row r="1" spans="1:50" ht="44.25" customHeight="1" x14ac:dyDescent="0.2">
      <c r="A1" s="2139" t="s">
        <v>1733</v>
      </c>
      <c r="B1" s="2139"/>
      <c r="C1" s="2139"/>
      <c r="D1" s="2139"/>
      <c r="E1" s="2139"/>
      <c r="F1" s="2139"/>
      <c r="G1" s="2139"/>
      <c r="H1" s="2139"/>
      <c r="I1" s="2139"/>
      <c r="J1" s="2139"/>
      <c r="K1" s="2139"/>
      <c r="L1" s="2139"/>
      <c r="M1" s="2139"/>
      <c r="N1" s="2139"/>
      <c r="O1" s="2139"/>
      <c r="P1" s="2140" t="s">
        <v>1733</v>
      </c>
      <c r="Q1" s="2140"/>
      <c r="R1" s="2140"/>
      <c r="S1" s="2140"/>
      <c r="T1" s="2140"/>
      <c r="U1" s="2140"/>
      <c r="V1" s="2140"/>
      <c r="W1" s="2140"/>
      <c r="X1" s="2140"/>
      <c r="Y1" s="2140"/>
      <c r="Z1" s="2140"/>
      <c r="AA1" s="2140"/>
      <c r="AB1" s="2139" t="s">
        <v>1733</v>
      </c>
      <c r="AC1" s="2139"/>
      <c r="AD1" s="2139"/>
      <c r="AE1" s="2139"/>
      <c r="AF1" s="2139"/>
      <c r="AG1" s="2139"/>
      <c r="AH1" s="2139"/>
      <c r="AI1" s="2139"/>
      <c r="AJ1" s="2139"/>
      <c r="AK1" s="2139"/>
      <c r="AL1" s="2139"/>
      <c r="AM1" s="2139"/>
      <c r="AN1" s="2139" t="s">
        <v>1733</v>
      </c>
      <c r="AO1" s="2139"/>
      <c r="AP1" s="2139"/>
      <c r="AQ1" s="2139"/>
      <c r="AR1" s="2139"/>
      <c r="AS1" s="2139"/>
      <c r="AT1" s="2139"/>
      <c r="AU1" s="2139"/>
      <c r="AV1" s="2139"/>
      <c r="AW1" s="2139"/>
      <c r="AX1" s="2139"/>
    </row>
    <row r="2" spans="1:50" ht="127.5" x14ac:dyDescent="0.2">
      <c r="A2" s="1102" t="s">
        <v>53</v>
      </c>
      <c r="B2" s="1356" t="s">
        <v>1640</v>
      </c>
      <c r="C2" s="701" t="s">
        <v>2</v>
      </c>
      <c r="D2" s="769" t="s">
        <v>860</v>
      </c>
      <c r="E2" s="769" t="s">
        <v>861</v>
      </c>
      <c r="F2" s="701" t="s">
        <v>181</v>
      </c>
      <c r="G2" s="701" t="s">
        <v>1734</v>
      </c>
      <c r="H2" s="701" t="s">
        <v>1740</v>
      </c>
      <c r="I2" s="752" t="s">
        <v>1735</v>
      </c>
      <c r="J2" s="752" t="s">
        <v>363</v>
      </c>
      <c r="K2" s="752" t="s">
        <v>364</v>
      </c>
      <c r="L2" s="752" t="s">
        <v>1736</v>
      </c>
      <c r="M2" s="752" t="s">
        <v>3051</v>
      </c>
      <c r="N2" s="752" t="s">
        <v>1274</v>
      </c>
      <c r="O2" s="769" t="s">
        <v>887</v>
      </c>
      <c r="P2" s="752" t="s">
        <v>740</v>
      </c>
      <c r="Q2" s="701" t="s">
        <v>48</v>
      </c>
      <c r="R2" s="769" t="s">
        <v>917</v>
      </c>
      <c r="S2" s="701" t="s">
        <v>1737</v>
      </c>
      <c r="T2" s="701" t="s">
        <v>43</v>
      </c>
      <c r="U2" s="701" t="s">
        <v>44</v>
      </c>
      <c r="V2" s="701" t="s">
        <v>45</v>
      </c>
      <c r="W2" s="701" t="s">
        <v>46</v>
      </c>
      <c r="X2" s="701" t="s">
        <v>47</v>
      </c>
      <c r="Y2" s="752" t="s">
        <v>533</v>
      </c>
      <c r="Z2" s="752" t="s">
        <v>611</v>
      </c>
      <c r="AA2" s="1563" t="s">
        <v>856</v>
      </c>
      <c r="AB2" s="1563" t="s">
        <v>855</v>
      </c>
      <c r="AC2" s="1563" t="s">
        <v>1300</v>
      </c>
      <c r="AD2" s="1563" t="s">
        <v>1301</v>
      </c>
      <c r="AE2" s="1563" t="s">
        <v>1302</v>
      </c>
      <c r="AF2" s="701" t="s">
        <v>114</v>
      </c>
      <c r="AG2" s="701" t="s">
        <v>668</v>
      </c>
      <c r="AH2" s="701" t="s">
        <v>669</v>
      </c>
      <c r="AI2" s="701" t="s">
        <v>39</v>
      </c>
      <c r="AJ2" s="701" t="s">
        <v>664</v>
      </c>
      <c r="AK2" s="701" t="s">
        <v>398</v>
      </c>
      <c r="AL2" s="701" t="s">
        <v>42</v>
      </c>
      <c r="AM2" s="701" t="s">
        <v>893</v>
      </c>
      <c r="AN2" s="769" t="s">
        <v>911</v>
      </c>
      <c r="AO2" s="701" t="s">
        <v>661</v>
      </c>
      <c r="AP2" s="701" t="s">
        <v>568</v>
      </c>
      <c r="AQ2" s="1583" t="s">
        <v>794</v>
      </c>
      <c r="AR2" s="752" t="s">
        <v>795</v>
      </c>
      <c r="AS2" s="752" t="s">
        <v>1738</v>
      </c>
      <c r="AT2" s="752" t="s">
        <v>2338</v>
      </c>
      <c r="AU2" s="701" t="s">
        <v>2541</v>
      </c>
      <c r="AV2" s="701" t="s">
        <v>3258</v>
      </c>
      <c r="AW2" s="701" t="s">
        <v>49</v>
      </c>
      <c r="AX2" s="1564" t="s">
        <v>50</v>
      </c>
    </row>
    <row r="3" spans="1:50" ht="21.75" customHeight="1" x14ac:dyDescent="0.2">
      <c r="A3" s="1103" t="s">
        <v>1739</v>
      </c>
      <c r="B3" s="1104" t="s">
        <v>194</v>
      </c>
      <c r="C3" s="1105" t="s">
        <v>279</v>
      </c>
      <c r="D3" s="1106">
        <v>10000000</v>
      </c>
      <c r="E3" s="1106">
        <v>10000000</v>
      </c>
      <c r="F3" s="1106">
        <v>10000000</v>
      </c>
      <c r="G3" s="1106">
        <v>17000000</v>
      </c>
      <c r="H3" s="1106">
        <v>5000000</v>
      </c>
      <c r="I3" s="1107">
        <v>2044893</v>
      </c>
      <c r="J3" s="1107">
        <v>659324</v>
      </c>
      <c r="K3" s="1107">
        <v>4074055</v>
      </c>
      <c r="L3" s="1107">
        <v>1521732</v>
      </c>
      <c r="M3" s="1107">
        <v>9494228</v>
      </c>
      <c r="N3" s="1108">
        <v>10245932</v>
      </c>
      <c r="O3" s="1108">
        <v>308324</v>
      </c>
      <c r="P3" s="1107">
        <v>0</v>
      </c>
      <c r="Q3" s="1106">
        <v>235459836</v>
      </c>
      <c r="R3" s="1106">
        <v>10000000</v>
      </c>
      <c r="S3" s="1106">
        <v>3000000</v>
      </c>
      <c r="T3" s="1106">
        <v>3390000</v>
      </c>
      <c r="U3" s="1106">
        <v>3000000</v>
      </c>
      <c r="V3" s="1106">
        <v>2000000</v>
      </c>
      <c r="W3" s="1106">
        <v>3390000</v>
      </c>
      <c r="X3" s="1106">
        <v>2260000</v>
      </c>
      <c r="Y3" s="63">
        <v>0</v>
      </c>
      <c r="Z3" s="1106">
        <v>10000000</v>
      </c>
      <c r="AA3" s="1106">
        <v>35000000</v>
      </c>
      <c r="AB3" s="1106">
        <v>75000000</v>
      </c>
      <c r="AC3" s="1117">
        <v>2260000</v>
      </c>
      <c r="AD3" s="1117">
        <v>22600000</v>
      </c>
      <c r="AE3" s="1117">
        <v>13560000</v>
      </c>
      <c r="AF3" s="1117">
        <v>50000000</v>
      </c>
      <c r="AG3" s="1106">
        <v>50000000</v>
      </c>
      <c r="AH3" s="1106">
        <v>15000000</v>
      </c>
      <c r="AI3" s="1106">
        <v>1000000</v>
      </c>
      <c r="AJ3" s="1106">
        <v>2000000</v>
      </c>
      <c r="AK3" s="1106">
        <v>10000000</v>
      </c>
      <c r="AL3" s="1106">
        <v>30864742</v>
      </c>
      <c r="AM3" s="1106">
        <v>136416896</v>
      </c>
      <c r="AN3" s="1106">
        <v>0</v>
      </c>
      <c r="AO3" s="1106">
        <v>20000000</v>
      </c>
      <c r="AP3" s="1106">
        <v>50000000</v>
      </c>
      <c r="AQ3" s="1106">
        <v>0</v>
      </c>
      <c r="AR3" s="1106">
        <v>0</v>
      </c>
      <c r="AS3" s="1106">
        <v>0</v>
      </c>
      <c r="AT3" s="1106">
        <v>0</v>
      </c>
      <c r="AU3" s="1106">
        <v>0</v>
      </c>
      <c r="AV3" s="1106">
        <v>0</v>
      </c>
      <c r="AW3" s="1106">
        <v>25000000</v>
      </c>
      <c r="AX3" s="1109">
        <v>5600000</v>
      </c>
    </row>
    <row r="4" spans="1:50" ht="59.25" customHeight="1" x14ac:dyDescent="0.2">
      <c r="A4" s="1204" t="s">
        <v>202</v>
      </c>
      <c r="B4" s="1205" t="s">
        <v>769</v>
      </c>
      <c r="C4" s="754" t="s">
        <v>1783</v>
      </c>
      <c r="D4" s="1357"/>
      <c r="E4" s="1357"/>
      <c r="F4" s="1357"/>
      <c r="G4" s="1357"/>
      <c r="H4" s="1357"/>
      <c r="I4" s="1358"/>
      <c r="J4" s="1358"/>
      <c r="K4" s="1358"/>
      <c r="L4" s="1358"/>
      <c r="M4" s="1358"/>
      <c r="N4" s="1359"/>
      <c r="O4" s="1359"/>
      <c r="P4" s="1358"/>
      <c r="Q4" s="1357"/>
      <c r="R4" s="1357"/>
      <c r="S4" s="1357"/>
      <c r="T4" s="1357"/>
      <c r="U4" s="1357"/>
      <c r="V4" s="1357"/>
      <c r="W4" s="1357"/>
      <c r="X4" s="1357"/>
      <c r="Y4" s="1357">
        <v>2037004</v>
      </c>
      <c r="Z4" s="1357"/>
      <c r="AA4" s="1357"/>
      <c r="AB4" s="1357"/>
      <c r="AC4" s="1360"/>
      <c r="AD4" s="1360"/>
      <c r="AE4" s="1360"/>
      <c r="AF4" s="1106"/>
      <c r="AG4" s="1357"/>
      <c r="AH4" s="1357"/>
      <c r="AI4" s="1357"/>
      <c r="AJ4" s="1357"/>
      <c r="AK4" s="1357"/>
      <c r="AL4" s="1357"/>
      <c r="AM4" s="1357"/>
      <c r="AN4" s="1357"/>
      <c r="AO4" s="1357"/>
      <c r="AP4" s="1357"/>
      <c r="AQ4" s="1357"/>
      <c r="AR4" s="1357"/>
      <c r="AS4" s="1357"/>
      <c r="AT4" s="1357"/>
      <c r="AU4" s="1357"/>
      <c r="AV4" s="1357"/>
      <c r="AW4" s="1357"/>
      <c r="AX4" s="1362"/>
    </row>
    <row r="5" spans="1:50" ht="57.75" customHeight="1" x14ac:dyDescent="0.2">
      <c r="A5" s="1174" t="s">
        <v>203</v>
      </c>
      <c r="B5" s="1206" t="s">
        <v>770</v>
      </c>
      <c r="C5" s="754" t="s">
        <v>1797</v>
      </c>
      <c r="D5" s="1357"/>
      <c r="E5" s="1357"/>
      <c r="F5" s="1357"/>
      <c r="G5" s="1357"/>
      <c r="H5" s="1357"/>
      <c r="I5" s="1358"/>
      <c r="J5" s="1358"/>
      <c r="K5" s="1358"/>
      <c r="L5" s="1358"/>
      <c r="M5" s="1358"/>
      <c r="N5" s="1359"/>
      <c r="O5" s="1359"/>
      <c r="P5" s="1358"/>
      <c r="Q5" s="1357"/>
      <c r="R5" s="1357"/>
      <c r="S5" s="1357"/>
      <c r="T5" s="1357"/>
      <c r="U5" s="1357"/>
      <c r="V5" s="1357"/>
      <c r="W5" s="1357"/>
      <c r="X5" s="1357"/>
      <c r="Y5" s="1357">
        <v>2619348</v>
      </c>
      <c r="Z5" s="1357"/>
      <c r="AA5" s="1357"/>
      <c r="AB5" s="1357"/>
      <c r="AC5" s="1357"/>
      <c r="AD5" s="1357"/>
      <c r="AE5" s="1357"/>
      <c r="AF5" s="1357"/>
      <c r="AG5" s="1357"/>
      <c r="AH5" s="1357"/>
      <c r="AI5" s="1357"/>
      <c r="AJ5" s="1357"/>
      <c r="AK5" s="1357"/>
      <c r="AL5" s="1357"/>
      <c r="AM5" s="1357"/>
      <c r="AN5" s="1357"/>
      <c r="AO5" s="1357"/>
      <c r="AP5" s="1357"/>
      <c r="AQ5" s="1357"/>
      <c r="AR5" s="1357"/>
      <c r="AS5" s="1357"/>
      <c r="AT5" s="1357"/>
      <c r="AU5" s="1357"/>
      <c r="AV5" s="1357"/>
      <c r="AW5" s="1357"/>
      <c r="AX5" s="1362"/>
    </row>
    <row r="6" spans="1:50" ht="83.25" customHeight="1" x14ac:dyDescent="0.2">
      <c r="A6" s="1174" t="s">
        <v>204</v>
      </c>
      <c r="B6" s="1206" t="s">
        <v>771</v>
      </c>
      <c r="C6" s="754" t="s">
        <v>1798</v>
      </c>
      <c r="D6" s="1357"/>
      <c r="E6" s="1357"/>
      <c r="F6" s="1357"/>
      <c r="G6" s="1357"/>
      <c r="H6" s="1357"/>
      <c r="I6" s="1358"/>
      <c r="J6" s="1358"/>
      <c r="K6" s="1358"/>
      <c r="L6" s="1358"/>
      <c r="M6" s="1358"/>
      <c r="N6" s="1359"/>
      <c r="O6" s="1359"/>
      <c r="P6" s="1358"/>
      <c r="Q6" s="1357"/>
      <c r="R6" s="1357"/>
      <c r="S6" s="1357"/>
      <c r="T6" s="1357"/>
      <c r="U6" s="1357"/>
      <c r="V6" s="1357"/>
      <c r="W6" s="1357"/>
      <c r="X6" s="1357"/>
      <c r="Y6" s="1357"/>
      <c r="Z6" s="1357"/>
      <c r="AA6" s="1357"/>
      <c r="AB6" s="1357"/>
      <c r="AC6" s="1357"/>
      <c r="AD6" s="1357"/>
      <c r="AE6" s="1357"/>
      <c r="AF6" s="1357"/>
      <c r="AG6" s="1357"/>
      <c r="AH6" s="1357"/>
      <c r="AI6" s="1357">
        <v>-275000</v>
      </c>
      <c r="AJ6" s="1357"/>
      <c r="AK6" s="1357"/>
      <c r="AL6" s="1357"/>
      <c r="AM6" s="1357"/>
      <c r="AN6" s="1357"/>
      <c r="AO6" s="1357"/>
      <c r="AP6" s="1357"/>
      <c r="AQ6" s="1357"/>
      <c r="AR6" s="1357"/>
      <c r="AS6" s="1357"/>
      <c r="AT6" s="1357"/>
      <c r="AU6" s="1357"/>
      <c r="AV6" s="1357"/>
      <c r="AW6" s="1357"/>
      <c r="AX6" s="1362"/>
    </row>
    <row r="7" spans="1:50" ht="60.75" customHeight="1" x14ac:dyDescent="0.2">
      <c r="A7" s="1174" t="s">
        <v>232</v>
      </c>
      <c r="B7" s="1206" t="s">
        <v>772</v>
      </c>
      <c r="C7" s="754" t="s">
        <v>1804</v>
      </c>
      <c r="D7" s="1357"/>
      <c r="E7" s="1357">
        <v>-2476500</v>
      </c>
      <c r="F7" s="1357"/>
      <c r="G7" s="1357"/>
      <c r="H7" s="1357"/>
      <c r="I7" s="1358"/>
      <c r="J7" s="1358"/>
      <c r="K7" s="1358"/>
      <c r="L7" s="1358"/>
      <c r="M7" s="1358"/>
      <c r="N7" s="1359"/>
      <c r="O7" s="1359"/>
      <c r="P7" s="1358"/>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c r="AS7" s="1357"/>
      <c r="AT7" s="1357"/>
      <c r="AU7" s="1357"/>
      <c r="AV7" s="1357"/>
      <c r="AW7" s="1357"/>
      <c r="AX7" s="1362"/>
    </row>
    <row r="8" spans="1:50" ht="64.5" customHeight="1" x14ac:dyDescent="0.2">
      <c r="A8" s="1174" t="s">
        <v>233</v>
      </c>
      <c r="B8" s="1206" t="s">
        <v>909</v>
      </c>
      <c r="C8" s="754" t="s">
        <v>1805</v>
      </c>
      <c r="D8" s="1357"/>
      <c r="E8" s="1357">
        <v>-2476500</v>
      </c>
      <c r="F8" s="1357"/>
      <c r="G8" s="1357"/>
      <c r="H8" s="1357"/>
      <c r="I8" s="1358"/>
      <c r="J8" s="1358"/>
      <c r="K8" s="1358"/>
      <c r="L8" s="1358"/>
      <c r="M8" s="1358"/>
      <c r="N8" s="1359"/>
      <c r="O8" s="1359"/>
      <c r="P8" s="1358"/>
      <c r="Q8" s="1357"/>
      <c r="R8" s="1357"/>
      <c r="S8" s="1357"/>
      <c r="T8" s="1357"/>
      <c r="U8" s="1357"/>
      <c r="V8" s="1357"/>
      <c r="W8" s="1357"/>
      <c r="X8" s="1357"/>
      <c r="Y8" s="1357"/>
      <c r="Z8" s="1357"/>
      <c r="AA8" s="1357"/>
      <c r="AB8" s="1357"/>
      <c r="AC8" s="1357"/>
      <c r="AD8" s="1357"/>
      <c r="AE8" s="1357"/>
      <c r="AF8" s="1357"/>
      <c r="AG8" s="1357"/>
      <c r="AH8" s="1357"/>
      <c r="AI8" s="1357"/>
      <c r="AJ8" s="1357"/>
      <c r="AK8" s="1357"/>
      <c r="AL8" s="1357"/>
      <c r="AM8" s="1357"/>
      <c r="AN8" s="1357"/>
      <c r="AO8" s="1357"/>
      <c r="AP8" s="1357"/>
      <c r="AQ8" s="1357"/>
      <c r="AR8" s="1357"/>
      <c r="AS8" s="1357"/>
      <c r="AT8" s="1357"/>
      <c r="AU8" s="1357"/>
      <c r="AV8" s="1357"/>
      <c r="AW8" s="1357"/>
      <c r="AX8" s="1362"/>
    </row>
    <row r="9" spans="1:50" ht="45" customHeight="1" x14ac:dyDescent="0.2">
      <c r="A9" s="1174" t="s">
        <v>235</v>
      </c>
      <c r="B9" s="1206" t="s">
        <v>329</v>
      </c>
      <c r="C9" s="754" t="s">
        <v>1808</v>
      </c>
      <c r="D9" s="1357"/>
      <c r="E9" s="1357"/>
      <c r="F9" s="1357"/>
      <c r="G9" s="1357"/>
      <c r="H9" s="1357">
        <v>-4906000</v>
      </c>
      <c r="I9" s="1358"/>
      <c r="J9" s="1358"/>
      <c r="K9" s="1358"/>
      <c r="L9" s="1358"/>
      <c r="M9" s="1358"/>
      <c r="N9" s="1359"/>
      <c r="O9" s="1359"/>
      <c r="P9" s="1358"/>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57"/>
      <c r="AV9" s="1357"/>
      <c r="AW9" s="1357"/>
      <c r="AX9" s="1362"/>
    </row>
    <row r="10" spans="1:50" ht="56.25" customHeight="1" x14ac:dyDescent="0.2">
      <c r="A10" s="1174" t="s">
        <v>236</v>
      </c>
      <c r="B10" s="1206" t="s">
        <v>330</v>
      </c>
      <c r="C10" s="754" t="s">
        <v>1809</v>
      </c>
      <c r="D10" s="1357"/>
      <c r="E10" s="1357"/>
      <c r="F10" s="1357"/>
      <c r="G10" s="1357"/>
      <c r="H10" s="1357"/>
      <c r="I10" s="1358"/>
      <c r="J10" s="1358"/>
      <c r="K10" s="1358"/>
      <c r="L10" s="1358"/>
      <c r="M10" s="1358"/>
      <c r="N10" s="1359">
        <v>-10245932</v>
      </c>
      <c r="O10" s="1359"/>
      <c r="P10" s="1358"/>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c r="AT10" s="1357"/>
      <c r="AU10" s="1357"/>
      <c r="AV10" s="1357"/>
      <c r="AW10" s="1357"/>
      <c r="AX10" s="1362"/>
    </row>
    <row r="11" spans="1:50" ht="41.25" customHeight="1" x14ac:dyDescent="0.2">
      <c r="A11" s="1174" t="s">
        <v>266</v>
      </c>
      <c r="B11" s="1206" t="s">
        <v>799</v>
      </c>
      <c r="C11" s="754" t="s">
        <v>1827</v>
      </c>
      <c r="D11" s="1357"/>
      <c r="E11" s="1357"/>
      <c r="F11" s="1357"/>
      <c r="G11" s="1357"/>
      <c r="H11" s="1357"/>
      <c r="I11" s="1358"/>
      <c r="J11" s="1358"/>
      <c r="K11" s="1358"/>
      <c r="L11" s="1358"/>
      <c r="M11" s="1358"/>
      <c r="N11" s="1359"/>
      <c r="O11" s="1359"/>
      <c r="P11" s="1358"/>
      <c r="Q11" s="1357">
        <v>-24500000</v>
      </c>
      <c r="R11" s="1357"/>
      <c r="S11" s="1357"/>
      <c r="T11" s="1357"/>
      <c r="U11" s="1357"/>
      <c r="V11" s="1357"/>
      <c r="W11" s="1357"/>
      <c r="X11" s="1357"/>
      <c r="Y11" s="1357"/>
      <c r="Z11" s="1357"/>
      <c r="AA11" s="1357"/>
      <c r="AB11" s="1357"/>
      <c r="AC11" s="1357"/>
      <c r="AD11" s="1357"/>
      <c r="AE11" s="1357"/>
      <c r="AF11" s="1357"/>
      <c r="AG11" s="1357"/>
      <c r="AH11" s="1357"/>
      <c r="AI11" s="1357"/>
      <c r="AJ11" s="1357"/>
      <c r="AK11" s="1357"/>
      <c r="AL11" s="1357"/>
      <c r="AM11" s="1357"/>
      <c r="AN11" s="1357"/>
      <c r="AO11" s="1357"/>
      <c r="AP11" s="1357"/>
      <c r="AQ11" s="1357"/>
      <c r="AR11" s="1357"/>
      <c r="AS11" s="1357"/>
      <c r="AT11" s="1357"/>
      <c r="AU11" s="1357"/>
      <c r="AV11" s="1357"/>
      <c r="AW11" s="1357"/>
      <c r="AX11" s="1362"/>
    </row>
    <row r="12" spans="1:50" ht="34.5" customHeight="1" x14ac:dyDescent="0.2">
      <c r="A12" s="1174" t="s">
        <v>267</v>
      </c>
      <c r="B12" s="1206" t="s">
        <v>800</v>
      </c>
      <c r="C12" s="754" t="s">
        <v>1829</v>
      </c>
      <c r="D12" s="1357"/>
      <c r="E12" s="1357"/>
      <c r="F12" s="1357"/>
      <c r="G12" s="1357"/>
      <c r="H12" s="1357"/>
      <c r="I12" s="1358"/>
      <c r="J12" s="1358"/>
      <c r="K12" s="1358"/>
      <c r="L12" s="1358"/>
      <c r="M12" s="1358"/>
      <c r="N12" s="1359"/>
      <c r="O12" s="1359"/>
      <c r="P12" s="1358"/>
      <c r="Q12" s="1357"/>
      <c r="R12" s="1357"/>
      <c r="S12" s="1357"/>
      <c r="T12" s="1357"/>
      <c r="U12" s="1357"/>
      <c r="V12" s="1357"/>
      <c r="W12" s="1357"/>
      <c r="X12" s="1357"/>
      <c r="Y12" s="1357"/>
      <c r="Z12" s="1357"/>
      <c r="AA12" s="1357"/>
      <c r="AB12" s="1357"/>
      <c r="AC12" s="1357"/>
      <c r="AD12" s="1357"/>
      <c r="AE12" s="1357"/>
      <c r="AF12" s="1357"/>
      <c r="AG12" s="1357"/>
      <c r="AH12" s="1357"/>
      <c r="AI12" s="1357"/>
      <c r="AJ12" s="1357"/>
      <c r="AK12" s="1357"/>
      <c r="AL12" s="1357"/>
      <c r="AM12" s="1357"/>
      <c r="AN12" s="1357"/>
      <c r="AO12" s="1357"/>
      <c r="AP12" s="1357"/>
      <c r="AQ12" s="1357"/>
      <c r="AR12" s="1357"/>
      <c r="AS12" s="1357"/>
      <c r="AT12" s="1357"/>
      <c r="AU12" s="1357"/>
      <c r="AV12" s="1357"/>
      <c r="AW12" s="1357"/>
      <c r="AX12" s="1362">
        <v>-700000</v>
      </c>
    </row>
    <row r="13" spans="1:50" ht="48" customHeight="1" x14ac:dyDescent="0.2">
      <c r="A13" s="1174" t="s">
        <v>268</v>
      </c>
      <c r="B13" s="1206" t="s">
        <v>801</v>
      </c>
      <c r="C13" s="754" t="s">
        <v>1833</v>
      </c>
      <c r="D13" s="1357"/>
      <c r="E13" s="1357"/>
      <c r="F13" s="1357"/>
      <c r="G13" s="1357"/>
      <c r="H13" s="1357"/>
      <c r="I13" s="1358"/>
      <c r="J13" s="1358"/>
      <c r="K13" s="1358"/>
      <c r="L13" s="1358"/>
      <c r="M13" s="1358"/>
      <c r="N13" s="1359"/>
      <c r="O13" s="1359"/>
      <c r="P13" s="1358"/>
      <c r="Q13" s="1357">
        <v>-8953500</v>
      </c>
      <c r="R13" s="1357"/>
      <c r="S13" s="1357"/>
      <c r="T13" s="1357"/>
      <c r="U13" s="1357"/>
      <c r="V13" s="1357"/>
      <c r="W13" s="1357"/>
      <c r="X13" s="1357"/>
      <c r="Y13" s="1357"/>
      <c r="Z13" s="1357"/>
      <c r="AA13" s="1357"/>
      <c r="AB13" s="1357"/>
      <c r="AC13" s="1357"/>
      <c r="AD13" s="1357"/>
      <c r="AE13" s="1357"/>
      <c r="AF13" s="1357"/>
      <c r="AG13" s="1357"/>
      <c r="AH13" s="1357"/>
      <c r="AI13" s="1357"/>
      <c r="AJ13" s="1357"/>
      <c r="AK13" s="1357"/>
      <c r="AL13" s="1357"/>
      <c r="AM13" s="1357"/>
      <c r="AN13" s="1357"/>
      <c r="AO13" s="1357"/>
      <c r="AP13" s="1357"/>
      <c r="AQ13" s="1357"/>
      <c r="AR13" s="1357"/>
      <c r="AS13" s="1357"/>
      <c r="AT13" s="1357"/>
      <c r="AU13" s="1357"/>
      <c r="AV13" s="1357"/>
      <c r="AW13" s="1357"/>
      <c r="AX13" s="1362"/>
    </row>
    <row r="14" spans="1:50" ht="60.75" customHeight="1" x14ac:dyDescent="0.2">
      <c r="A14" s="1174" t="s">
        <v>273</v>
      </c>
      <c r="B14" s="1206" t="s">
        <v>1493</v>
      </c>
      <c r="C14" s="754" t="s">
        <v>2208</v>
      </c>
      <c r="D14" s="1357"/>
      <c r="E14" s="1357"/>
      <c r="F14" s="1357"/>
      <c r="G14" s="1357"/>
      <c r="H14" s="1357"/>
      <c r="I14" s="1358"/>
      <c r="J14" s="1358"/>
      <c r="K14" s="1358"/>
      <c r="L14" s="1358"/>
      <c r="M14" s="1358"/>
      <c r="N14" s="1359"/>
      <c r="O14" s="1359"/>
      <c r="P14" s="1358"/>
      <c r="Q14" s="1357">
        <v>-26736</v>
      </c>
      <c r="R14" s="1357"/>
      <c r="S14" s="1357"/>
      <c r="T14" s="1357"/>
      <c r="U14" s="1357"/>
      <c r="V14" s="1357"/>
      <c r="W14" s="1357"/>
      <c r="X14" s="1357"/>
      <c r="Y14" s="1357"/>
      <c r="Z14" s="1357"/>
      <c r="AA14" s="1357"/>
      <c r="AB14" s="1357"/>
      <c r="AC14" s="1357"/>
      <c r="AD14" s="1357"/>
      <c r="AE14" s="1357"/>
      <c r="AF14" s="1357"/>
      <c r="AG14" s="1357"/>
      <c r="AH14" s="1357"/>
      <c r="AI14" s="1357"/>
      <c r="AJ14" s="1357"/>
      <c r="AK14" s="1357"/>
      <c r="AL14" s="1357"/>
      <c r="AM14" s="1357"/>
      <c r="AN14" s="1357"/>
      <c r="AO14" s="1357"/>
      <c r="AP14" s="1357"/>
      <c r="AQ14" s="1357"/>
      <c r="AR14" s="1357"/>
      <c r="AS14" s="1357"/>
      <c r="AT14" s="1357"/>
      <c r="AU14" s="1357"/>
      <c r="AV14" s="1357"/>
      <c r="AW14" s="1357"/>
      <c r="AX14" s="1362"/>
    </row>
    <row r="15" spans="1:50" ht="48" customHeight="1" x14ac:dyDescent="0.2">
      <c r="A15" s="1174" t="s">
        <v>275</v>
      </c>
      <c r="B15" s="1206" t="s">
        <v>806</v>
      </c>
      <c r="C15" s="754" t="s">
        <v>1843</v>
      </c>
      <c r="D15" s="1357"/>
      <c r="E15" s="1357"/>
      <c r="F15" s="1357"/>
      <c r="G15" s="1357"/>
      <c r="H15" s="1357"/>
      <c r="I15" s="1358"/>
      <c r="J15" s="1358"/>
      <c r="K15" s="1358"/>
      <c r="L15" s="1358"/>
      <c r="M15" s="1358"/>
      <c r="N15" s="1359"/>
      <c r="O15" s="1359"/>
      <c r="P15" s="1358"/>
      <c r="Q15" s="1357">
        <v>-1333500</v>
      </c>
      <c r="R15" s="1357"/>
      <c r="S15" s="1357"/>
      <c r="T15" s="1357"/>
      <c r="U15" s="1357"/>
      <c r="V15" s="1357"/>
      <c r="W15" s="1357"/>
      <c r="X15" s="1357"/>
      <c r="Y15" s="1357"/>
      <c r="Z15" s="1357"/>
      <c r="AA15" s="1357"/>
      <c r="AB15" s="1357"/>
      <c r="AC15" s="1357"/>
      <c r="AD15" s="1357"/>
      <c r="AE15" s="1357"/>
      <c r="AF15" s="1357"/>
      <c r="AG15" s="1357"/>
      <c r="AH15" s="1357"/>
      <c r="AI15" s="1357"/>
      <c r="AJ15" s="1357"/>
      <c r="AK15" s="1357"/>
      <c r="AL15" s="1357"/>
      <c r="AM15" s="1357"/>
      <c r="AN15" s="1357"/>
      <c r="AO15" s="1357"/>
      <c r="AP15" s="1357"/>
      <c r="AQ15" s="1357"/>
      <c r="AR15" s="1357"/>
      <c r="AS15" s="1357"/>
      <c r="AT15" s="1357"/>
      <c r="AU15" s="1357"/>
      <c r="AV15" s="1357"/>
      <c r="AW15" s="1357"/>
      <c r="AX15" s="1362"/>
    </row>
    <row r="16" spans="1:50" ht="69.75" customHeight="1" x14ac:dyDescent="0.2">
      <c r="A16" s="1174" t="s">
        <v>277</v>
      </c>
      <c r="B16" s="1206" t="s">
        <v>808</v>
      </c>
      <c r="C16" s="754" t="s">
        <v>1847</v>
      </c>
      <c r="D16" s="1357"/>
      <c r="E16" s="1357"/>
      <c r="F16" s="1357"/>
      <c r="G16" s="1357"/>
      <c r="H16" s="1357"/>
      <c r="I16" s="1358"/>
      <c r="J16" s="1358"/>
      <c r="K16" s="1358"/>
      <c r="L16" s="1358"/>
      <c r="M16" s="1358"/>
      <c r="N16" s="1359"/>
      <c r="O16" s="1359"/>
      <c r="P16" s="1358"/>
      <c r="Q16" s="1357"/>
      <c r="R16" s="1357"/>
      <c r="S16" s="1357"/>
      <c r="T16" s="1357"/>
      <c r="U16" s="1357"/>
      <c r="V16" s="1357"/>
      <c r="W16" s="1357"/>
      <c r="X16" s="1357"/>
      <c r="Y16" s="1357"/>
      <c r="Z16" s="1357"/>
      <c r="AA16" s="1357"/>
      <c r="AB16" s="1357"/>
      <c r="AC16" s="1357"/>
      <c r="AD16" s="1357"/>
      <c r="AE16" s="1357"/>
      <c r="AF16" s="1357"/>
      <c r="AG16" s="1357"/>
      <c r="AH16" s="1357"/>
      <c r="AI16" s="1357"/>
      <c r="AJ16" s="1357"/>
      <c r="AK16" s="1357"/>
      <c r="AL16" s="1357"/>
      <c r="AM16" s="1357"/>
      <c r="AN16" s="1357"/>
      <c r="AO16" s="1357"/>
      <c r="AP16" s="1357"/>
      <c r="AQ16" s="1357"/>
      <c r="AR16" s="1357"/>
      <c r="AS16" s="1357">
        <v>32017</v>
      </c>
      <c r="AT16" s="1357"/>
      <c r="AU16" s="1357"/>
      <c r="AV16" s="1357"/>
      <c r="AW16" s="1357"/>
      <c r="AX16" s="1362"/>
    </row>
    <row r="17" spans="1:50" ht="48.75" customHeight="1" x14ac:dyDescent="0.2">
      <c r="A17" s="1174" t="s">
        <v>282</v>
      </c>
      <c r="B17" s="1206" t="s">
        <v>812</v>
      </c>
      <c r="C17" s="754" t="s">
        <v>1851</v>
      </c>
      <c r="D17" s="1357"/>
      <c r="E17" s="1357"/>
      <c r="F17" s="1357"/>
      <c r="G17" s="1357"/>
      <c r="H17" s="1357"/>
      <c r="I17" s="1358"/>
      <c r="J17" s="1358"/>
      <c r="K17" s="1358"/>
      <c r="L17" s="1358"/>
      <c r="M17" s="1358"/>
      <c r="N17" s="1359"/>
      <c r="O17" s="1359"/>
      <c r="P17" s="1358"/>
      <c r="Q17" s="1357">
        <v>-15000</v>
      </c>
      <c r="R17" s="1357"/>
      <c r="S17" s="1357"/>
      <c r="T17" s="1357"/>
      <c r="U17" s="1357"/>
      <c r="V17" s="1357"/>
      <c r="W17" s="1357"/>
      <c r="X17" s="1357"/>
      <c r="Y17" s="1357"/>
      <c r="Z17" s="1357"/>
      <c r="AA17" s="1357"/>
      <c r="AB17" s="1357"/>
      <c r="AC17" s="1357"/>
      <c r="AD17" s="1357"/>
      <c r="AE17" s="1357"/>
      <c r="AF17" s="1357"/>
      <c r="AG17" s="1357"/>
      <c r="AH17" s="1357"/>
      <c r="AI17" s="1357"/>
      <c r="AJ17" s="1357"/>
      <c r="AK17" s="1357"/>
      <c r="AL17" s="1357"/>
      <c r="AM17" s="1357"/>
      <c r="AN17" s="1357"/>
      <c r="AO17" s="1357"/>
      <c r="AP17" s="1357"/>
      <c r="AQ17" s="1357"/>
      <c r="AR17" s="1357"/>
      <c r="AS17" s="1357"/>
      <c r="AT17" s="1357"/>
      <c r="AU17" s="1357"/>
      <c r="AV17" s="1357"/>
      <c r="AW17" s="1357"/>
      <c r="AX17" s="1362"/>
    </row>
    <row r="18" spans="1:50" ht="48" customHeight="1" x14ac:dyDescent="0.2">
      <c r="A18" s="1174" t="s">
        <v>285</v>
      </c>
      <c r="B18" s="1206" t="s">
        <v>815</v>
      </c>
      <c r="C18" s="754" t="s">
        <v>1858</v>
      </c>
      <c r="D18" s="1357"/>
      <c r="E18" s="1357"/>
      <c r="F18" s="1357"/>
      <c r="G18" s="1357"/>
      <c r="H18" s="1357"/>
      <c r="I18" s="1358"/>
      <c r="J18" s="1358"/>
      <c r="K18" s="1358"/>
      <c r="L18" s="1358"/>
      <c r="M18" s="1358"/>
      <c r="N18" s="1359"/>
      <c r="O18" s="1359"/>
      <c r="P18" s="1358"/>
      <c r="Q18" s="1357">
        <v>-82550</v>
      </c>
      <c r="R18" s="1357"/>
      <c r="S18" s="1357"/>
      <c r="T18" s="1357"/>
      <c r="U18" s="1357"/>
      <c r="V18" s="1357"/>
      <c r="W18" s="1357"/>
      <c r="X18" s="1357"/>
      <c r="Y18" s="1357"/>
      <c r="Z18" s="1357"/>
      <c r="AA18" s="1357"/>
      <c r="AB18" s="1357"/>
      <c r="AC18" s="1357"/>
      <c r="AD18" s="1357"/>
      <c r="AE18" s="1357"/>
      <c r="AF18" s="1357"/>
      <c r="AG18" s="1357"/>
      <c r="AH18" s="1357"/>
      <c r="AI18" s="1357"/>
      <c r="AJ18" s="1357"/>
      <c r="AK18" s="1357"/>
      <c r="AL18" s="1357"/>
      <c r="AM18" s="1357"/>
      <c r="AN18" s="1357"/>
      <c r="AO18" s="1357"/>
      <c r="AP18" s="1357"/>
      <c r="AQ18" s="1357"/>
      <c r="AR18" s="1357"/>
      <c r="AS18" s="1357"/>
      <c r="AT18" s="1357"/>
      <c r="AU18" s="1357"/>
      <c r="AV18" s="1357"/>
      <c r="AW18" s="1357"/>
      <c r="AX18" s="1362"/>
    </row>
    <row r="19" spans="1:50" ht="71.25" customHeight="1" x14ac:dyDescent="0.2">
      <c r="A19" s="1174" t="s">
        <v>289</v>
      </c>
      <c r="B19" s="1206" t="s">
        <v>819</v>
      </c>
      <c r="C19" s="754" t="s">
        <v>1867</v>
      </c>
      <c r="D19" s="1357"/>
      <c r="E19" s="1357"/>
      <c r="F19" s="1357"/>
      <c r="G19" s="1357"/>
      <c r="H19" s="1357"/>
      <c r="I19" s="1358"/>
      <c r="J19" s="1358"/>
      <c r="K19" s="1358"/>
      <c r="L19" s="1358"/>
      <c r="M19" s="1358"/>
      <c r="N19" s="1359"/>
      <c r="O19" s="1359"/>
      <c r="P19" s="1358"/>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c r="AM19" s="1357"/>
      <c r="AN19" s="1357"/>
      <c r="AO19" s="1357"/>
      <c r="AP19" s="1357"/>
      <c r="AQ19" s="1357"/>
      <c r="AR19" s="1357"/>
      <c r="AS19" s="1357">
        <v>94060</v>
      </c>
      <c r="AT19" s="1357"/>
      <c r="AU19" s="1357"/>
      <c r="AV19" s="1357"/>
      <c r="AW19" s="1357"/>
      <c r="AX19" s="1362"/>
    </row>
    <row r="20" spans="1:50" ht="34.5" customHeight="1" x14ac:dyDescent="0.2">
      <c r="A20" s="1174" t="s">
        <v>291</v>
      </c>
      <c r="B20" s="1206" t="s">
        <v>821</v>
      </c>
      <c r="C20" s="754" t="s">
        <v>1869</v>
      </c>
      <c r="D20" s="1357"/>
      <c r="E20" s="1357"/>
      <c r="F20" s="1357"/>
      <c r="G20" s="1357"/>
      <c r="H20" s="1357"/>
      <c r="I20" s="1358"/>
      <c r="J20" s="1358"/>
      <c r="K20" s="1358"/>
      <c r="L20" s="1358"/>
      <c r="M20" s="1358"/>
      <c r="N20" s="1359"/>
      <c r="O20" s="1359"/>
      <c r="P20" s="1358"/>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c r="AL20" s="1357"/>
      <c r="AM20" s="1357"/>
      <c r="AN20" s="1357"/>
      <c r="AO20" s="1357"/>
      <c r="AP20" s="1357"/>
      <c r="AQ20" s="1357">
        <v>10000</v>
      </c>
      <c r="AR20" s="1357"/>
      <c r="AS20" s="1357"/>
      <c r="AT20" s="1357"/>
      <c r="AU20" s="1357"/>
      <c r="AV20" s="1357"/>
      <c r="AW20" s="1357"/>
      <c r="AX20" s="1362"/>
    </row>
    <row r="21" spans="1:50" ht="36.75" customHeight="1" x14ac:dyDescent="0.2">
      <c r="A21" s="1174" t="s">
        <v>293</v>
      </c>
      <c r="B21" s="1206" t="s">
        <v>823</v>
      </c>
      <c r="C21" s="952" t="s">
        <v>1873</v>
      </c>
      <c r="D21" s="1357"/>
      <c r="E21" s="1357"/>
      <c r="F21" s="1357"/>
      <c r="G21" s="1357"/>
      <c r="H21" s="1357"/>
      <c r="I21" s="1358"/>
      <c r="J21" s="1358"/>
      <c r="K21" s="1358"/>
      <c r="L21" s="1358"/>
      <c r="M21" s="1358"/>
      <c r="N21" s="1359"/>
      <c r="O21" s="1359"/>
      <c r="P21" s="1358"/>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c r="AL21" s="1357"/>
      <c r="AM21" s="1357"/>
      <c r="AN21" s="1357"/>
      <c r="AO21" s="1357"/>
      <c r="AP21" s="1357"/>
      <c r="AQ21" s="1357">
        <v>630000</v>
      </c>
      <c r="AR21" s="1357"/>
      <c r="AS21" s="1357"/>
      <c r="AT21" s="1357"/>
      <c r="AU21" s="1357"/>
      <c r="AV21" s="1357"/>
      <c r="AW21" s="1357"/>
      <c r="AX21" s="1362"/>
    </row>
    <row r="22" spans="1:50" ht="38.25" customHeight="1" x14ac:dyDescent="0.2">
      <c r="A22" s="1174" t="s">
        <v>294</v>
      </c>
      <c r="B22" s="1206" t="s">
        <v>831</v>
      </c>
      <c r="C22" s="952" t="s">
        <v>1875</v>
      </c>
      <c r="D22" s="1357"/>
      <c r="E22" s="1357"/>
      <c r="F22" s="1357"/>
      <c r="G22" s="1357"/>
      <c r="H22" s="1357"/>
      <c r="I22" s="1358"/>
      <c r="J22" s="1358"/>
      <c r="K22" s="1358"/>
      <c r="L22" s="1358"/>
      <c r="M22" s="1358"/>
      <c r="N22" s="1359"/>
      <c r="O22" s="1359"/>
      <c r="P22" s="1358"/>
      <c r="Q22" s="1357"/>
      <c r="R22" s="1357"/>
      <c r="S22" s="1357"/>
      <c r="T22" s="1357"/>
      <c r="U22" s="1357"/>
      <c r="V22" s="1357"/>
      <c r="W22" s="1357"/>
      <c r="X22" s="1357"/>
      <c r="Y22" s="1357"/>
      <c r="Z22" s="1357"/>
      <c r="AA22" s="1357"/>
      <c r="AB22" s="1357"/>
      <c r="AC22" s="1357"/>
      <c r="AD22" s="1357"/>
      <c r="AE22" s="1357"/>
      <c r="AF22" s="1357"/>
      <c r="AG22" s="1357"/>
      <c r="AH22" s="1357"/>
      <c r="AI22" s="1357"/>
      <c r="AJ22" s="1357"/>
      <c r="AK22" s="1357"/>
      <c r="AL22" s="1357">
        <v>-4768251</v>
      </c>
      <c r="AM22" s="1357"/>
      <c r="AN22" s="1357"/>
      <c r="AO22" s="1357"/>
      <c r="AP22" s="1357"/>
      <c r="AQ22" s="1357"/>
      <c r="AR22" s="1357"/>
      <c r="AS22" s="1357"/>
      <c r="AT22" s="1357"/>
      <c r="AU22" s="1357"/>
      <c r="AV22" s="1357"/>
      <c r="AW22" s="1357"/>
      <c r="AX22" s="1362"/>
    </row>
    <row r="23" spans="1:50" ht="41.25" customHeight="1" x14ac:dyDescent="0.2">
      <c r="A23" s="1174" t="s">
        <v>296</v>
      </c>
      <c r="B23" s="1206" t="s">
        <v>832</v>
      </c>
      <c r="C23" s="952" t="s">
        <v>1881</v>
      </c>
      <c r="D23" s="1357"/>
      <c r="E23" s="1357"/>
      <c r="F23" s="1357"/>
      <c r="G23" s="1357"/>
      <c r="H23" s="1357"/>
      <c r="I23" s="1358"/>
      <c r="J23" s="1358"/>
      <c r="K23" s="1358"/>
      <c r="L23" s="1358"/>
      <c r="M23" s="1358"/>
      <c r="N23" s="1359"/>
      <c r="O23" s="1359"/>
      <c r="P23" s="1358"/>
      <c r="Q23" s="1357"/>
      <c r="R23" s="1357"/>
      <c r="S23" s="1357"/>
      <c r="T23" s="1357"/>
      <c r="U23" s="1357"/>
      <c r="V23" s="1357"/>
      <c r="W23" s="1357"/>
      <c r="X23" s="1357"/>
      <c r="Y23" s="1357"/>
      <c r="Z23" s="1357"/>
      <c r="AA23" s="1357"/>
      <c r="AB23" s="1357"/>
      <c r="AC23" s="1357"/>
      <c r="AD23" s="1357"/>
      <c r="AE23" s="1357"/>
      <c r="AF23" s="1357"/>
      <c r="AG23" s="1357"/>
      <c r="AH23" s="1357"/>
      <c r="AI23" s="1357"/>
      <c r="AJ23" s="1357"/>
      <c r="AK23" s="1357"/>
      <c r="AL23" s="1357">
        <v>-87549</v>
      </c>
      <c r="AM23" s="1357"/>
      <c r="AN23" s="1357"/>
      <c r="AO23" s="1357"/>
      <c r="AP23" s="1357"/>
      <c r="AQ23" s="1357"/>
      <c r="AR23" s="1357"/>
      <c r="AS23" s="1357"/>
      <c r="AT23" s="1357"/>
      <c r="AU23" s="1357"/>
      <c r="AV23" s="1357"/>
      <c r="AW23" s="1357"/>
      <c r="AX23" s="1362"/>
    </row>
    <row r="24" spans="1:50" ht="59.25" customHeight="1" x14ac:dyDescent="0.2">
      <c r="A24" s="1174" t="s">
        <v>298</v>
      </c>
      <c r="B24" s="1206" t="s">
        <v>834</v>
      </c>
      <c r="C24" s="952" t="s">
        <v>1885</v>
      </c>
      <c r="D24" s="1357"/>
      <c r="E24" s="1357"/>
      <c r="F24" s="1357"/>
      <c r="G24" s="1357"/>
      <c r="H24" s="1357"/>
      <c r="I24" s="1358"/>
      <c r="J24" s="1358"/>
      <c r="K24" s="1358"/>
      <c r="L24" s="1358"/>
      <c r="M24" s="1358"/>
      <c r="N24" s="1359"/>
      <c r="O24" s="1359"/>
      <c r="P24" s="1358"/>
      <c r="Q24" s="1357"/>
      <c r="R24" s="1357"/>
      <c r="S24" s="1357"/>
      <c r="T24" s="1357"/>
      <c r="U24" s="1357"/>
      <c r="V24" s="1357"/>
      <c r="W24" s="1357"/>
      <c r="X24" s="1357"/>
      <c r="Y24" s="1357">
        <v>2596264</v>
      </c>
      <c r="Z24" s="1357"/>
      <c r="AA24" s="1357"/>
      <c r="AB24" s="1357"/>
      <c r="AC24" s="1357"/>
      <c r="AD24" s="1357"/>
      <c r="AE24" s="1357"/>
      <c r="AF24" s="1357"/>
      <c r="AG24" s="1357"/>
      <c r="AH24" s="1357"/>
      <c r="AI24" s="1357"/>
      <c r="AJ24" s="1357"/>
      <c r="AK24" s="1357"/>
      <c r="AL24" s="1357"/>
      <c r="AM24" s="1357"/>
      <c r="AN24" s="1357"/>
      <c r="AO24" s="1357"/>
      <c r="AP24" s="1357"/>
      <c r="AQ24" s="1357"/>
      <c r="AR24" s="1357"/>
      <c r="AS24" s="1357"/>
      <c r="AT24" s="1357"/>
      <c r="AU24" s="1357"/>
      <c r="AV24" s="1357"/>
      <c r="AW24" s="1357"/>
      <c r="AX24" s="1362"/>
    </row>
    <row r="25" spans="1:50" ht="57" customHeight="1" x14ac:dyDescent="0.2">
      <c r="A25" s="1174" t="s">
        <v>759</v>
      </c>
      <c r="B25" s="1206" t="s">
        <v>837</v>
      </c>
      <c r="C25" s="754" t="s">
        <v>1910</v>
      </c>
      <c r="D25" s="1357"/>
      <c r="E25" s="1357"/>
      <c r="F25" s="1357"/>
      <c r="G25" s="1357"/>
      <c r="H25" s="1357"/>
      <c r="I25" s="1358"/>
      <c r="J25" s="1358"/>
      <c r="K25" s="1358"/>
      <c r="L25" s="1358"/>
      <c r="M25" s="1358"/>
      <c r="N25" s="1359"/>
      <c r="O25" s="1359"/>
      <c r="P25" s="1358"/>
      <c r="Q25" s="1357">
        <v>-5461000</v>
      </c>
      <c r="R25" s="1357"/>
      <c r="S25" s="1357"/>
      <c r="T25" s="1357"/>
      <c r="U25" s="1357"/>
      <c r="V25" s="1357"/>
      <c r="W25" s="1357"/>
      <c r="X25" s="1357"/>
      <c r="Y25" s="1357"/>
      <c r="Z25" s="1357"/>
      <c r="AA25" s="1357"/>
      <c r="AB25" s="1357"/>
      <c r="AC25" s="1357"/>
      <c r="AD25" s="1357"/>
      <c r="AE25" s="1357"/>
      <c r="AF25" s="1357"/>
      <c r="AG25" s="1357"/>
      <c r="AH25" s="1357"/>
      <c r="AI25" s="1357"/>
      <c r="AJ25" s="1357"/>
      <c r="AK25" s="1357"/>
      <c r="AL25" s="1357"/>
      <c r="AM25" s="1357"/>
      <c r="AN25" s="1357"/>
      <c r="AO25" s="1357"/>
      <c r="AP25" s="1357"/>
      <c r="AQ25" s="1357"/>
      <c r="AR25" s="1357"/>
      <c r="AS25" s="1357"/>
      <c r="AT25" s="1357"/>
      <c r="AU25" s="1357"/>
      <c r="AV25" s="1357"/>
      <c r="AW25" s="1357"/>
      <c r="AX25" s="1362"/>
    </row>
    <row r="26" spans="1:50" ht="46.5" customHeight="1" x14ac:dyDescent="0.2">
      <c r="A26" s="1174" t="s">
        <v>760</v>
      </c>
      <c r="B26" s="1206" t="s">
        <v>825</v>
      </c>
      <c r="C26" s="754" t="s">
        <v>1898</v>
      </c>
      <c r="D26" s="1357"/>
      <c r="E26" s="1357"/>
      <c r="F26" s="1357"/>
      <c r="G26" s="1357"/>
      <c r="H26" s="1357"/>
      <c r="I26" s="1358"/>
      <c r="J26" s="1358"/>
      <c r="K26" s="1358"/>
      <c r="L26" s="1358"/>
      <c r="M26" s="1358"/>
      <c r="N26" s="1359"/>
      <c r="O26" s="1359"/>
      <c r="P26" s="1358"/>
      <c r="Q26" s="1357"/>
      <c r="R26" s="1357"/>
      <c r="S26" s="1357"/>
      <c r="T26" s="1357"/>
      <c r="U26" s="1357"/>
      <c r="V26" s="1357"/>
      <c r="W26" s="1357"/>
      <c r="X26" s="1357"/>
      <c r="Y26" s="1357"/>
      <c r="Z26" s="1357"/>
      <c r="AA26" s="1357"/>
      <c r="AB26" s="1357"/>
      <c r="AC26" s="1357"/>
      <c r="AD26" s="1357">
        <v>-3186600</v>
      </c>
      <c r="AE26" s="1357"/>
      <c r="AF26" s="1357"/>
      <c r="AG26" s="1357"/>
      <c r="AH26" s="1357"/>
      <c r="AI26" s="1357"/>
      <c r="AJ26" s="1357"/>
      <c r="AK26" s="1357"/>
      <c r="AL26" s="1357"/>
      <c r="AM26" s="1357"/>
      <c r="AN26" s="1357"/>
      <c r="AO26" s="1357"/>
      <c r="AP26" s="1357"/>
      <c r="AQ26" s="1357"/>
      <c r="AR26" s="1357"/>
      <c r="AS26" s="1357"/>
      <c r="AT26" s="1357"/>
      <c r="AU26" s="1357"/>
      <c r="AV26" s="1357"/>
      <c r="AW26" s="1357"/>
      <c r="AX26" s="1362"/>
    </row>
    <row r="27" spans="1:50" ht="46.5" customHeight="1" x14ac:dyDescent="0.2">
      <c r="A27" s="1174" t="s">
        <v>302</v>
      </c>
      <c r="B27" s="1206" t="s">
        <v>824</v>
      </c>
      <c r="C27" s="1490" t="s">
        <v>1899</v>
      </c>
      <c r="D27" s="1357"/>
      <c r="E27" s="1357"/>
      <c r="F27" s="1357"/>
      <c r="G27" s="1357"/>
      <c r="H27" s="1357"/>
      <c r="I27" s="1358"/>
      <c r="J27" s="1358"/>
      <c r="K27" s="1358"/>
      <c r="L27" s="1358"/>
      <c r="M27" s="1358"/>
      <c r="N27" s="1359"/>
      <c r="O27" s="1359"/>
      <c r="P27" s="1358"/>
      <c r="Q27" s="1357"/>
      <c r="R27" s="1357"/>
      <c r="S27" s="1357"/>
      <c r="T27" s="1357"/>
      <c r="U27" s="1357"/>
      <c r="V27" s="1357"/>
      <c r="W27" s="1357"/>
      <c r="X27" s="1357"/>
      <c r="Y27" s="1357">
        <v>19413400</v>
      </c>
      <c r="Z27" s="1357"/>
      <c r="AA27" s="1357"/>
      <c r="AB27" s="1357"/>
      <c r="AC27" s="1357"/>
      <c r="AD27" s="1357">
        <v>-19413400</v>
      </c>
      <c r="AE27" s="1357"/>
      <c r="AF27" s="1357"/>
      <c r="AG27" s="1357"/>
      <c r="AH27" s="1357"/>
      <c r="AI27" s="1357"/>
      <c r="AJ27" s="1357"/>
      <c r="AK27" s="1357"/>
      <c r="AL27" s="1357"/>
      <c r="AM27" s="1357"/>
      <c r="AN27" s="1357"/>
      <c r="AO27" s="1357"/>
      <c r="AP27" s="1357"/>
      <c r="AQ27" s="1357"/>
      <c r="AR27" s="1357"/>
      <c r="AS27" s="1357"/>
      <c r="AT27" s="1357"/>
      <c r="AU27" s="1357"/>
      <c r="AV27" s="1357"/>
      <c r="AW27" s="1357"/>
      <c r="AX27" s="1362"/>
    </row>
    <row r="28" spans="1:50" ht="38.25" customHeight="1" x14ac:dyDescent="0.2">
      <c r="A28" s="1174" t="s">
        <v>304</v>
      </c>
      <c r="B28" s="1206" t="s">
        <v>839</v>
      </c>
      <c r="C28" s="754" t="s">
        <v>1905</v>
      </c>
      <c r="D28" s="1357"/>
      <c r="E28" s="1357"/>
      <c r="F28" s="1357"/>
      <c r="G28" s="1357"/>
      <c r="H28" s="1357"/>
      <c r="I28" s="1358"/>
      <c r="J28" s="1358"/>
      <c r="K28" s="1358"/>
      <c r="L28" s="1358"/>
      <c r="M28" s="1358"/>
      <c r="N28" s="1359"/>
      <c r="O28" s="1359"/>
      <c r="P28" s="1358"/>
      <c r="Q28" s="1357"/>
      <c r="R28" s="1357"/>
      <c r="S28" s="1357"/>
      <c r="T28" s="1357"/>
      <c r="U28" s="1357"/>
      <c r="V28" s="1357"/>
      <c r="W28" s="1357"/>
      <c r="X28" s="1357"/>
      <c r="Y28" s="1357"/>
      <c r="Z28" s="1357"/>
      <c r="AA28" s="1357"/>
      <c r="AB28" s="1357"/>
      <c r="AC28" s="1357"/>
      <c r="AD28" s="1357"/>
      <c r="AE28" s="1357"/>
      <c r="AF28" s="1357"/>
      <c r="AG28" s="1357"/>
      <c r="AH28" s="1357"/>
      <c r="AI28" s="1357"/>
      <c r="AJ28" s="1357"/>
      <c r="AK28" s="1357"/>
      <c r="AL28" s="1357"/>
      <c r="AM28" s="1357"/>
      <c r="AN28" s="1357"/>
      <c r="AO28" s="1357"/>
      <c r="AP28" s="1357"/>
      <c r="AQ28" s="1357"/>
      <c r="AR28" s="1357">
        <v>2916629</v>
      </c>
      <c r="AS28" s="1357"/>
      <c r="AT28" s="1357"/>
      <c r="AU28" s="1357"/>
      <c r="AV28" s="1357"/>
      <c r="AW28" s="1357"/>
      <c r="AX28" s="1362"/>
    </row>
    <row r="29" spans="1:50" ht="61.5" customHeight="1" x14ac:dyDescent="0.2">
      <c r="A29" s="1174" t="s">
        <v>306</v>
      </c>
      <c r="B29" s="1207" t="s">
        <v>1916</v>
      </c>
      <c r="C29" s="754" t="s">
        <v>1912</v>
      </c>
      <c r="D29" s="1357"/>
      <c r="E29" s="1357"/>
      <c r="F29" s="1357"/>
      <c r="G29" s="1357">
        <v>-5000000</v>
      </c>
      <c r="H29" s="1357"/>
      <c r="I29" s="1358"/>
      <c r="J29" s="1358"/>
      <c r="K29" s="1358"/>
      <c r="L29" s="1358"/>
      <c r="M29" s="1358"/>
      <c r="N29" s="1359"/>
      <c r="O29" s="1359"/>
      <c r="P29" s="1358"/>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c r="AL29" s="1357"/>
      <c r="AM29" s="1357"/>
      <c r="AN29" s="1357"/>
      <c r="AO29" s="1357"/>
      <c r="AP29" s="1357"/>
      <c r="AQ29" s="1357"/>
      <c r="AR29" s="1357"/>
      <c r="AS29" s="1357"/>
      <c r="AT29" s="1357"/>
      <c r="AU29" s="1357"/>
      <c r="AV29" s="1357"/>
      <c r="AW29" s="1357"/>
      <c r="AX29" s="1362"/>
    </row>
    <row r="30" spans="1:50" ht="55.5" customHeight="1" x14ac:dyDescent="0.2">
      <c r="A30" s="1174" t="s">
        <v>307</v>
      </c>
      <c r="B30" s="1206" t="s">
        <v>1321</v>
      </c>
      <c r="C30" s="754" t="s">
        <v>1918</v>
      </c>
      <c r="D30" s="1357"/>
      <c r="E30" s="1357"/>
      <c r="F30" s="1357"/>
      <c r="G30" s="1357"/>
      <c r="H30" s="1357"/>
      <c r="I30" s="1358"/>
      <c r="J30" s="1358"/>
      <c r="K30" s="1358"/>
      <c r="L30" s="1358"/>
      <c r="M30" s="1358"/>
      <c r="N30" s="1359"/>
      <c r="O30" s="1359"/>
      <c r="P30" s="1358"/>
      <c r="Q30" s="1357">
        <v>-3826500</v>
      </c>
      <c r="R30" s="1357"/>
      <c r="S30" s="1357"/>
      <c r="T30" s="1357"/>
      <c r="U30" s="1357"/>
      <c r="V30" s="1357"/>
      <c r="W30" s="1357"/>
      <c r="X30" s="1357"/>
      <c r="Y30" s="1357"/>
      <c r="Z30" s="1357"/>
      <c r="AA30" s="1357"/>
      <c r="AB30" s="1357"/>
      <c r="AC30" s="1357"/>
      <c r="AD30" s="1357"/>
      <c r="AE30" s="1357"/>
      <c r="AF30" s="1357"/>
      <c r="AG30" s="1357"/>
      <c r="AH30" s="1357"/>
      <c r="AI30" s="1357"/>
      <c r="AJ30" s="1357"/>
      <c r="AK30" s="1357"/>
      <c r="AL30" s="1357"/>
      <c r="AM30" s="1357"/>
      <c r="AN30" s="1357"/>
      <c r="AO30" s="1357"/>
      <c r="AP30" s="1357"/>
      <c r="AQ30" s="1357"/>
      <c r="AR30" s="1357"/>
      <c r="AS30" s="1357"/>
      <c r="AT30" s="1357"/>
      <c r="AU30" s="1357"/>
      <c r="AV30" s="1357"/>
      <c r="AW30" s="1357"/>
      <c r="AX30" s="1362"/>
    </row>
    <row r="31" spans="1:50" ht="73.5" customHeight="1" x14ac:dyDescent="0.2">
      <c r="A31" s="1174" t="s">
        <v>312</v>
      </c>
      <c r="B31" s="1206" t="s">
        <v>1333</v>
      </c>
      <c r="C31" s="952" t="s">
        <v>1935</v>
      </c>
      <c r="D31" s="1357"/>
      <c r="E31" s="1357"/>
      <c r="F31" s="1357"/>
      <c r="G31" s="1357"/>
      <c r="H31" s="1357"/>
      <c r="I31" s="1358"/>
      <c r="J31" s="1358"/>
      <c r="K31" s="1358"/>
      <c r="L31" s="1358"/>
      <c r="M31" s="1358"/>
      <c r="N31" s="1359"/>
      <c r="O31" s="1359"/>
      <c r="P31" s="1358"/>
      <c r="Q31" s="1357"/>
      <c r="R31" s="1357"/>
      <c r="S31" s="1357"/>
      <c r="T31" s="1357"/>
      <c r="U31" s="1357"/>
      <c r="V31" s="1357"/>
      <c r="W31" s="1357"/>
      <c r="X31" s="1357"/>
      <c r="Y31" s="1357"/>
      <c r="Z31" s="1357"/>
      <c r="AA31" s="1357"/>
      <c r="AB31" s="1357"/>
      <c r="AC31" s="1357"/>
      <c r="AD31" s="1357"/>
      <c r="AE31" s="1357"/>
      <c r="AF31" s="1357"/>
      <c r="AG31" s="1357"/>
      <c r="AH31" s="1357"/>
      <c r="AI31" s="1357"/>
      <c r="AJ31" s="1357"/>
      <c r="AK31" s="1357"/>
      <c r="AL31" s="1357"/>
      <c r="AM31" s="1357"/>
      <c r="AN31" s="1357"/>
      <c r="AO31" s="1357"/>
      <c r="AP31" s="1357"/>
      <c r="AQ31" s="1357"/>
      <c r="AR31" s="1357"/>
      <c r="AS31" s="1357"/>
      <c r="AT31" s="1357"/>
      <c r="AU31" s="1357"/>
      <c r="AV31" s="1357"/>
      <c r="AW31" s="1357">
        <v>-3175000</v>
      </c>
      <c r="AX31" s="1362"/>
    </row>
    <row r="32" spans="1:50" ht="29.25" customHeight="1" x14ac:dyDescent="0.2">
      <c r="A32" s="1174" t="s">
        <v>313</v>
      </c>
      <c r="B32" s="1206" t="s">
        <v>1340</v>
      </c>
      <c r="C32" s="952" t="s">
        <v>1938</v>
      </c>
      <c r="D32" s="1357"/>
      <c r="E32" s="1357"/>
      <c r="F32" s="1357"/>
      <c r="G32" s="1357"/>
      <c r="H32" s="1357"/>
      <c r="I32" s="1358"/>
      <c r="J32" s="1358"/>
      <c r="K32" s="1358"/>
      <c r="L32" s="1358"/>
      <c r="M32" s="1358"/>
      <c r="N32" s="1359"/>
      <c r="O32" s="1359"/>
      <c r="P32" s="1358"/>
      <c r="Q32" s="1357"/>
      <c r="R32" s="1357"/>
      <c r="S32" s="1357"/>
      <c r="T32" s="1357"/>
      <c r="U32" s="1357"/>
      <c r="V32" s="1357"/>
      <c r="W32" s="1357"/>
      <c r="X32" s="1357"/>
      <c r="Y32" s="1357"/>
      <c r="Z32" s="1357"/>
      <c r="AA32" s="1357"/>
      <c r="AB32" s="1357"/>
      <c r="AC32" s="1357"/>
      <c r="AD32" s="1357"/>
      <c r="AE32" s="1357"/>
      <c r="AF32" s="1357"/>
      <c r="AG32" s="1357"/>
      <c r="AH32" s="1357"/>
      <c r="AI32" s="1357"/>
      <c r="AJ32" s="1357"/>
      <c r="AK32" s="1357"/>
      <c r="AL32" s="1357"/>
      <c r="AM32" s="1357"/>
      <c r="AN32" s="1357"/>
      <c r="AO32" s="1357"/>
      <c r="AP32" s="1357"/>
      <c r="AQ32" s="1357"/>
      <c r="AR32" s="1357"/>
      <c r="AS32" s="1357"/>
      <c r="AT32" s="1357"/>
      <c r="AU32" s="1357"/>
      <c r="AV32" s="1357"/>
      <c r="AW32" s="1357"/>
      <c r="AX32" s="1362">
        <v>-1000000</v>
      </c>
    </row>
    <row r="33" spans="1:50" ht="39" customHeight="1" x14ac:dyDescent="0.2">
      <c r="A33" s="1174" t="s">
        <v>314</v>
      </c>
      <c r="B33" s="1206" t="s">
        <v>1341</v>
      </c>
      <c r="C33" s="754" t="s">
        <v>2205</v>
      </c>
      <c r="D33" s="1357"/>
      <c r="E33" s="1357"/>
      <c r="F33" s="1357"/>
      <c r="G33" s="1357"/>
      <c r="H33" s="1357"/>
      <c r="I33" s="1358"/>
      <c r="J33" s="1358"/>
      <c r="K33" s="1358"/>
      <c r="L33" s="1358"/>
      <c r="M33" s="1358"/>
      <c r="N33" s="1359"/>
      <c r="O33" s="1359"/>
      <c r="P33" s="1358"/>
      <c r="Q33" s="1357">
        <v>-2607074</v>
      </c>
      <c r="R33" s="1357"/>
      <c r="S33" s="1357"/>
      <c r="T33" s="1357"/>
      <c r="U33" s="1357"/>
      <c r="V33" s="1357"/>
      <c r="W33" s="1357"/>
      <c r="X33" s="1357"/>
      <c r="Y33" s="1357"/>
      <c r="Z33" s="1357"/>
      <c r="AA33" s="1357"/>
      <c r="AB33" s="1357"/>
      <c r="AC33" s="1357"/>
      <c r="AD33" s="1357"/>
      <c r="AE33" s="1357"/>
      <c r="AF33" s="1357"/>
      <c r="AG33" s="1357"/>
      <c r="AH33" s="1357"/>
      <c r="AI33" s="1357"/>
      <c r="AJ33" s="1357"/>
      <c r="AK33" s="1357"/>
      <c r="AL33" s="1357"/>
      <c r="AM33" s="1357"/>
      <c r="AN33" s="1357"/>
      <c r="AO33" s="1357"/>
      <c r="AP33" s="1357"/>
      <c r="AQ33" s="1357"/>
      <c r="AR33" s="1357"/>
      <c r="AS33" s="1357"/>
      <c r="AT33" s="1357"/>
      <c r="AU33" s="1357"/>
      <c r="AV33" s="1357"/>
      <c r="AW33" s="1357"/>
      <c r="AX33" s="1362"/>
    </row>
    <row r="34" spans="1:50" ht="56.25" customHeight="1" x14ac:dyDescent="0.2">
      <c r="A34" s="1174" t="s">
        <v>315</v>
      </c>
      <c r="B34" s="1206" t="s">
        <v>1342</v>
      </c>
      <c r="C34" s="952" t="s">
        <v>1941</v>
      </c>
      <c r="D34" s="1357"/>
      <c r="E34" s="1357"/>
      <c r="F34" s="1357"/>
      <c r="G34" s="1357"/>
      <c r="H34" s="1357"/>
      <c r="I34" s="1358"/>
      <c r="J34" s="1358"/>
      <c r="K34" s="1358"/>
      <c r="L34" s="1358"/>
      <c r="M34" s="1358"/>
      <c r="N34" s="1359"/>
      <c r="O34" s="1359"/>
      <c r="P34" s="1358"/>
      <c r="Q34" s="1357"/>
      <c r="R34" s="1357"/>
      <c r="S34" s="1357"/>
      <c r="T34" s="1357"/>
      <c r="U34" s="1357"/>
      <c r="V34" s="1357">
        <v>-750000</v>
      </c>
      <c r="W34" s="1357"/>
      <c r="X34" s="1357"/>
      <c r="Y34" s="1357"/>
      <c r="Z34" s="1357"/>
      <c r="AA34" s="1357"/>
      <c r="AB34" s="1357"/>
      <c r="AC34" s="1357"/>
      <c r="AD34" s="1357"/>
      <c r="AE34" s="1357"/>
      <c r="AF34" s="1357"/>
      <c r="AG34" s="1357"/>
      <c r="AH34" s="1357"/>
      <c r="AI34" s="1357"/>
      <c r="AJ34" s="1357"/>
      <c r="AK34" s="1357"/>
      <c r="AL34" s="1357"/>
      <c r="AM34" s="1357"/>
      <c r="AN34" s="1357"/>
      <c r="AO34" s="1357"/>
      <c r="AP34" s="1357"/>
      <c r="AQ34" s="1357"/>
      <c r="AR34" s="1357"/>
      <c r="AS34" s="1357"/>
      <c r="AT34" s="1357"/>
      <c r="AU34" s="1357"/>
      <c r="AV34" s="1357"/>
      <c r="AW34" s="1357"/>
      <c r="AX34" s="1362"/>
    </row>
    <row r="35" spans="1:50" ht="42" customHeight="1" x14ac:dyDescent="0.2">
      <c r="A35" s="1174" t="s">
        <v>316</v>
      </c>
      <c r="B35" s="1206" t="s">
        <v>1345</v>
      </c>
      <c r="C35" s="952" t="s">
        <v>1943</v>
      </c>
      <c r="D35" s="1357"/>
      <c r="E35" s="1357"/>
      <c r="F35" s="1357"/>
      <c r="G35" s="1357"/>
      <c r="H35" s="1357"/>
      <c r="I35" s="1358"/>
      <c r="J35" s="1358"/>
      <c r="K35" s="1358"/>
      <c r="L35" s="1358"/>
      <c r="M35" s="1358"/>
      <c r="N35" s="1359"/>
      <c r="O35" s="1359"/>
      <c r="P35" s="1358"/>
      <c r="Q35" s="1357"/>
      <c r="R35" s="1357">
        <v>-3294400</v>
      </c>
      <c r="S35" s="1357"/>
      <c r="T35" s="1357"/>
      <c r="U35" s="1357"/>
      <c r="V35" s="1357"/>
      <c r="W35" s="1357"/>
      <c r="X35" s="1357"/>
      <c r="Y35" s="1357"/>
      <c r="Z35" s="1357"/>
      <c r="AA35" s="1357"/>
      <c r="AB35" s="1357"/>
      <c r="AC35" s="1357"/>
      <c r="AD35" s="1357"/>
      <c r="AE35" s="1357"/>
      <c r="AF35" s="1357"/>
      <c r="AG35" s="1357"/>
      <c r="AH35" s="1357"/>
      <c r="AI35" s="1357"/>
      <c r="AJ35" s="1357"/>
      <c r="AK35" s="1357"/>
      <c r="AL35" s="1357"/>
      <c r="AM35" s="1357"/>
      <c r="AN35" s="1357"/>
      <c r="AO35" s="1357"/>
      <c r="AP35" s="1357"/>
      <c r="AQ35" s="1357"/>
      <c r="AR35" s="1357"/>
      <c r="AS35" s="1357"/>
      <c r="AT35" s="1357"/>
      <c r="AU35" s="1357"/>
      <c r="AV35" s="1357"/>
      <c r="AW35" s="1357"/>
      <c r="AX35" s="1362"/>
    </row>
    <row r="36" spans="1:50" ht="43.5" customHeight="1" x14ac:dyDescent="0.2">
      <c r="A36" s="1174" t="s">
        <v>317</v>
      </c>
      <c r="B36" s="1206" t="s">
        <v>1372</v>
      </c>
      <c r="C36" s="952" t="s">
        <v>1944</v>
      </c>
      <c r="D36" s="1357"/>
      <c r="E36" s="1357"/>
      <c r="F36" s="1357"/>
      <c r="G36" s="1357"/>
      <c r="H36" s="1357"/>
      <c r="I36" s="1358"/>
      <c r="J36" s="1358"/>
      <c r="K36" s="1358"/>
      <c r="L36" s="1358"/>
      <c r="M36" s="1358"/>
      <c r="N36" s="1359"/>
      <c r="O36" s="1359"/>
      <c r="P36" s="1358"/>
      <c r="Q36" s="1357"/>
      <c r="R36" s="1357"/>
      <c r="S36" s="1357">
        <v>-3000000</v>
      </c>
      <c r="T36" s="1357"/>
      <c r="U36" s="1357"/>
      <c r="V36" s="1357"/>
      <c r="W36" s="1357"/>
      <c r="X36" s="1357"/>
      <c r="Y36" s="1357"/>
      <c r="Z36" s="1357"/>
      <c r="AA36" s="1357"/>
      <c r="AB36" s="1357"/>
      <c r="AC36" s="1357"/>
      <c r="AD36" s="1357"/>
      <c r="AE36" s="1357"/>
      <c r="AF36" s="1357"/>
      <c r="AG36" s="1357"/>
      <c r="AH36" s="1357"/>
      <c r="AI36" s="1357"/>
      <c r="AJ36" s="1357"/>
      <c r="AK36" s="1357"/>
      <c r="AL36" s="1357"/>
      <c r="AM36" s="1357"/>
      <c r="AN36" s="1357"/>
      <c r="AO36" s="1357"/>
      <c r="AP36" s="1357"/>
      <c r="AQ36" s="1357"/>
      <c r="AR36" s="1357"/>
      <c r="AS36" s="1357"/>
      <c r="AT36" s="1357"/>
      <c r="AU36" s="1357"/>
      <c r="AV36" s="1357"/>
      <c r="AW36" s="1357"/>
      <c r="AX36" s="1362"/>
    </row>
    <row r="37" spans="1:50" ht="39.75" customHeight="1" x14ac:dyDescent="0.2">
      <c r="A37" s="1174" t="s">
        <v>762</v>
      </c>
      <c r="B37" s="1206" t="s">
        <v>1373</v>
      </c>
      <c r="C37" s="952" t="s">
        <v>1945</v>
      </c>
      <c r="D37" s="1357"/>
      <c r="E37" s="1357"/>
      <c r="F37" s="1357"/>
      <c r="G37" s="1357"/>
      <c r="H37" s="1357"/>
      <c r="I37" s="1358"/>
      <c r="J37" s="1358"/>
      <c r="K37" s="1358"/>
      <c r="L37" s="1358"/>
      <c r="M37" s="1358"/>
      <c r="N37" s="1359"/>
      <c r="O37" s="1359"/>
      <c r="P37" s="1358"/>
      <c r="Q37" s="1357"/>
      <c r="R37" s="1357">
        <v>-6705600</v>
      </c>
      <c r="S37" s="1357"/>
      <c r="T37" s="1357"/>
      <c r="U37" s="1357"/>
      <c r="V37" s="1357"/>
      <c r="W37" s="1357"/>
      <c r="X37" s="1357"/>
      <c r="Y37" s="1357"/>
      <c r="Z37" s="1357"/>
      <c r="AA37" s="1357"/>
      <c r="AB37" s="1357"/>
      <c r="AC37" s="1357"/>
      <c r="AD37" s="1357"/>
      <c r="AE37" s="1357"/>
      <c r="AF37" s="1357"/>
      <c r="AG37" s="1357"/>
      <c r="AH37" s="1357"/>
      <c r="AI37" s="1357"/>
      <c r="AJ37" s="1357"/>
      <c r="AK37" s="1357"/>
      <c r="AL37" s="1357"/>
      <c r="AM37" s="1357"/>
      <c r="AN37" s="1357"/>
      <c r="AO37" s="1357"/>
      <c r="AP37" s="1357"/>
      <c r="AQ37" s="1357"/>
      <c r="AR37" s="1357"/>
      <c r="AS37" s="1357"/>
      <c r="AT37" s="1357"/>
      <c r="AU37" s="1357"/>
      <c r="AV37" s="1357"/>
      <c r="AW37" s="1357"/>
      <c r="AX37" s="1362"/>
    </row>
    <row r="38" spans="1:50" ht="38.25" customHeight="1" x14ac:dyDescent="0.2">
      <c r="A38" s="1174" t="s">
        <v>763</v>
      </c>
      <c r="B38" s="1206" t="s">
        <v>1388</v>
      </c>
      <c r="C38" s="754" t="s">
        <v>1946</v>
      </c>
      <c r="D38" s="1357"/>
      <c r="E38" s="1357"/>
      <c r="F38" s="1357"/>
      <c r="G38" s="1357"/>
      <c r="H38" s="1357"/>
      <c r="I38" s="1358"/>
      <c r="J38" s="1358"/>
      <c r="K38" s="1358"/>
      <c r="L38" s="1358"/>
      <c r="M38" s="1358"/>
      <c r="N38" s="1359"/>
      <c r="O38" s="1359"/>
      <c r="P38" s="1358"/>
      <c r="Q38" s="1357">
        <v>-469900</v>
      </c>
      <c r="R38" s="1357"/>
      <c r="S38" s="1357"/>
      <c r="T38" s="1357"/>
      <c r="U38" s="1357"/>
      <c r="V38" s="1357"/>
      <c r="W38" s="1357"/>
      <c r="X38" s="1357"/>
      <c r="Y38" s="1357"/>
      <c r="Z38" s="1357"/>
      <c r="AA38" s="1357"/>
      <c r="AB38" s="1357"/>
      <c r="AC38" s="1357"/>
      <c r="AD38" s="1357"/>
      <c r="AE38" s="1357"/>
      <c r="AF38" s="1357"/>
      <c r="AG38" s="1357"/>
      <c r="AH38" s="1357"/>
      <c r="AI38" s="1357"/>
      <c r="AJ38" s="1357"/>
      <c r="AK38" s="1357"/>
      <c r="AL38" s="1357"/>
      <c r="AM38" s="1357"/>
      <c r="AN38" s="1357"/>
      <c r="AO38" s="1357"/>
      <c r="AP38" s="1357"/>
      <c r="AQ38" s="1357"/>
      <c r="AR38" s="1357"/>
      <c r="AS38" s="1357"/>
      <c r="AT38" s="1357"/>
      <c r="AU38" s="1357"/>
      <c r="AV38" s="1357"/>
      <c r="AW38" s="1357"/>
      <c r="AX38" s="1362"/>
    </row>
    <row r="39" spans="1:50" ht="41.25" customHeight="1" x14ac:dyDescent="0.2">
      <c r="A39" s="1174" t="s">
        <v>155</v>
      </c>
      <c r="B39" s="1206" t="s">
        <v>1777</v>
      </c>
      <c r="C39" s="754" t="s">
        <v>1947</v>
      </c>
      <c r="D39" s="1357"/>
      <c r="E39" s="1357"/>
      <c r="F39" s="1357"/>
      <c r="G39" s="1357"/>
      <c r="H39" s="1357"/>
      <c r="I39" s="1358"/>
      <c r="J39" s="1358"/>
      <c r="K39" s="1358"/>
      <c r="L39" s="1358"/>
      <c r="M39" s="1358"/>
      <c r="N39" s="1359"/>
      <c r="O39" s="1359"/>
      <c r="P39" s="1358"/>
      <c r="Q39" s="1357">
        <v>-767080</v>
      </c>
      <c r="R39" s="1357"/>
      <c r="S39" s="1357"/>
      <c r="T39" s="1357"/>
      <c r="U39" s="1357"/>
      <c r="V39" s="1357"/>
      <c r="W39" s="1357"/>
      <c r="X39" s="1357"/>
      <c r="Y39" s="1357"/>
      <c r="Z39" s="1357"/>
      <c r="AA39" s="1357"/>
      <c r="AB39" s="1357"/>
      <c r="AC39" s="1357"/>
      <c r="AD39" s="1357"/>
      <c r="AE39" s="1357"/>
      <c r="AF39" s="1357"/>
      <c r="AG39" s="1357"/>
      <c r="AH39" s="1357"/>
      <c r="AI39" s="1357"/>
      <c r="AJ39" s="1357"/>
      <c r="AK39" s="1357"/>
      <c r="AL39" s="1357"/>
      <c r="AM39" s="1357"/>
      <c r="AN39" s="1357"/>
      <c r="AO39" s="1357"/>
      <c r="AP39" s="1357"/>
      <c r="AQ39" s="1357"/>
      <c r="AR39" s="1357"/>
      <c r="AS39" s="1357"/>
      <c r="AT39" s="1357"/>
      <c r="AU39" s="1357"/>
      <c r="AV39" s="1357"/>
      <c r="AW39" s="1357"/>
      <c r="AX39" s="1362"/>
    </row>
    <row r="40" spans="1:50" ht="43.5" customHeight="1" x14ac:dyDescent="0.2">
      <c r="A40" s="1174" t="s">
        <v>318</v>
      </c>
      <c r="B40" s="1206" t="s">
        <v>1948</v>
      </c>
      <c r="C40" s="754" t="s">
        <v>1949</v>
      </c>
      <c r="D40" s="1357"/>
      <c r="E40" s="1357"/>
      <c r="F40" s="1357"/>
      <c r="G40" s="1357"/>
      <c r="H40" s="1357"/>
      <c r="I40" s="1358"/>
      <c r="J40" s="1358"/>
      <c r="K40" s="1358"/>
      <c r="L40" s="1358"/>
      <c r="M40" s="1358"/>
      <c r="N40" s="1359"/>
      <c r="O40" s="1359"/>
      <c r="P40" s="1358"/>
      <c r="Q40" s="1357">
        <v>-480949</v>
      </c>
      <c r="R40" s="1357"/>
      <c r="S40" s="1357"/>
      <c r="T40" s="1357"/>
      <c r="U40" s="1357"/>
      <c r="V40" s="1357"/>
      <c r="W40" s="1357"/>
      <c r="X40" s="1357"/>
      <c r="Y40" s="1357"/>
      <c r="Z40" s="1357"/>
      <c r="AA40" s="1357"/>
      <c r="AB40" s="1357"/>
      <c r="AC40" s="1357"/>
      <c r="AD40" s="1357"/>
      <c r="AE40" s="1357"/>
      <c r="AF40" s="1357"/>
      <c r="AG40" s="1357"/>
      <c r="AH40" s="1357"/>
      <c r="AI40" s="1357"/>
      <c r="AJ40" s="1357"/>
      <c r="AK40" s="1357"/>
      <c r="AL40" s="1357"/>
      <c r="AM40" s="1357"/>
      <c r="AN40" s="1357"/>
      <c r="AO40" s="1357"/>
      <c r="AP40" s="1357"/>
      <c r="AQ40" s="1357"/>
      <c r="AR40" s="1357"/>
      <c r="AS40" s="1357"/>
      <c r="AT40" s="1357"/>
      <c r="AU40" s="1357"/>
      <c r="AV40" s="1357"/>
      <c r="AW40" s="1357"/>
      <c r="AX40" s="1362"/>
    </row>
    <row r="41" spans="1:50" ht="44.25" customHeight="1" x14ac:dyDescent="0.2">
      <c r="A41" s="1174" t="s">
        <v>765</v>
      </c>
      <c r="B41" s="1206" t="s">
        <v>1952</v>
      </c>
      <c r="C41" s="754" t="s">
        <v>1953</v>
      </c>
      <c r="D41" s="1357">
        <v>-5334000</v>
      </c>
      <c r="E41" s="1357"/>
      <c r="F41" s="1357"/>
      <c r="G41" s="1357"/>
      <c r="H41" s="1357"/>
      <c r="I41" s="1358"/>
      <c r="J41" s="1358"/>
      <c r="K41" s="1358"/>
      <c r="L41" s="1358"/>
      <c r="M41" s="1358"/>
      <c r="N41" s="1359"/>
      <c r="O41" s="1359"/>
      <c r="P41" s="1358"/>
      <c r="Q41" s="1357"/>
      <c r="R41" s="1357"/>
      <c r="S41" s="1357"/>
      <c r="T41" s="1357"/>
      <c r="U41" s="1357"/>
      <c r="V41" s="1357"/>
      <c r="W41" s="1357"/>
      <c r="X41" s="1357"/>
      <c r="Y41" s="1357"/>
      <c r="Z41" s="1357"/>
      <c r="AA41" s="1357"/>
      <c r="AB41" s="1357"/>
      <c r="AC41" s="1357"/>
      <c r="AD41" s="1357"/>
      <c r="AE41" s="1357"/>
      <c r="AF41" s="1357"/>
      <c r="AG41" s="1357"/>
      <c r="AH41" s="1357"/>
      <c r="AI41" s="1357"/>
      <c r="AJ41" s="1357"/>
      <c r="AK41" s="1357"/>
      <c r="AL41" s="1357"/>
      <c r="AM41" s="1357"/>
      <c r="AN41" s="1357"/>
      <c r="AO41" s="1357"/>
      <c r="AP41" s="1357"/>
      <c r="AQ41" s="1357"/>
      <c r="AR41" s="1357"/>
      <c r="AS41" s="1357"/>
      <c r="AT41" s="1357"/>
      <c r="AU41" s="1357"/>
      <c r="AV41" s="1357"/>
      <c r="AW41" s="1357"/>
      <c r="AX41" s="1362"/>
    </row>
    <row r="42" spans="1:50" ht="44.25" customHeight="1" x14ac:dyDescent="0.2">
      <c r="A42" s="1174" t="s">
        <v>319</v>
      </c>
      <c r="B42" s="1206" t="s">
        <v>1956</v>
      </c>
      <c r="C42" s="754" t="s">
        <v>2117</v>
      </c>
      <c r="D42" s="1357"/>
      <c r="E42" s="1357"/>
      <c r="F42" s="1357"/>
      <c r="G42" s="1357"/>
      <c r="H42" s="1357"/>
      <c r="I42" s="1358"/>
      <c r="J42" s="1358"/>
      <c r="K42" s="1358"/>
      <c r="L42" s="1358"/>
      <c r="M42" s="1358"/>
      <c r="N42" s="1359"/>
      <c r="O42" s="1359"/>
      <c r="P42" s="1358"/>
      <c r="Q42" s="1357"/>
      <c r="R42" s="1357"/>
      <c r="S42" s="1357"/>
      <c r="T42" s="1357"/>
      <c r="U42" s="1357"/>
      <c r="V42" s="1357"/>
      <c r="W42" s="1357"/>
      <c r="X42" s="1357"/>
      <c r="Y42" s="1357"/>
      <c r="Z42" s="1357"/>
      <c r="AA42" s="1357"/>
      <c r="AB42" s="1357"/>
      <c r="AC42" s="1357"/>
      <c r="AD42" s="1357"/>
      <c r="AE42" s="1357"/>
      <c r="AF42" s="1357"/>
      <c r="AG42" s="1357"/>
      <c r="AH42" s="1357"/>
      <c r="AI42" s="1357"/>
      <c r="AJ42" s="1357"/>
      <c r="AK42" s="1357">
        <v>-500000</v>
      </c>
      <c r="AL42" s="1357"/>
      <c r="AM42" s="1357"/>
      <c r="AN42" s="1357"/>
      <c r="AO42" s="1357"/>
      <c r="AP42" s="1357"/>
      <c r="AQ42" s="1357"/>
      <c r="AR42" s="1357"/>
      <c r="AS42" s="1357"/>
      <c r="AT42" s="1357"/>
      <c r="AU42" s="1357"/>
      <c r="AV42" s="1357"/>
      <c r="AW42" s="1357"/>
      <c r="AX42" s="1362"/>
    </row>
    <row r="43" spans="1:50" ht="29.25" customHeight="1" x14ac:dyDescent="0.2">
      <c r="A43" s="1174" t="s">
        <v>320</v>
      </c>
      <c r="B43" s="1206" t="s">
        <v>1959</v>
      </c>
      <c r="C43" s="754" t="s">
        <v>1968</v>
      </c>
      <c r="D43" s="1357"/>
      <c r="E43" s="1357"/>
      <c r="F43" s="1357">
        <v>-10000000</v>
      </c>
      <c r="G43" s="1357"/>
      <c r="H43" s="1357"/>
      <c r="I43" s="1358"/>
      <c r="J43" s="1358"/>
      <c r="K43" s="1358"/>
      <c r="L43" s="1358"/>
      <c r="M43" s="1358"/>
      <c r="N43" s="1359"/>
      <c r="O43" s="1359"/>
      <c r="P43" s="1358"/>
      <c r="Q43" s="1357"/>
      <c r="R43" s="1357"/>
      <c r="S43" s="1357"/>
      <c r="T43" s="1357"/>
      <c r="U43" s="1357"/>
      <c r="V43" s="1357"/>
      <c r="W43" s="1357"/>
      <c r="X43" s="1357"/>
      <c r="Y43" s="1357"/>
      <c r="Z43" s="1357"/>
      <c r="AA43" s="1357"/>
      <c r="AB43" s="1357"/>
      <c r="AC43" s="1357"/>
      <c r="AD43" s="1357"/>
      <c r="AE43" s="1357"/>
      <c r="AF43" s="1357"/>
      <c r="AG43" s="1357"/>
      <c r="AH43" s="1357"/>
      <c r="AI43" s="1357"/>
      <c r="AJ43" s="1357"/>
      <c r="AK43" s="1357"/>
      <c r="AL43" s="1357"/>
      <c r="AM43" s="1357"/>
      <c r="AN43" s="1357"/>
      <c r="AO43" s="1357"/>
      <c r="AP43" s="1357"/>
      <c r="AQ43" s="1357"/>
      <c r="AR43" s="1357"/>
      <c r="AS43" s="1357"/>
      <c r="AT43" s="1357"/>
      <c r="AU43" s="1357"/>
      <c r="AV43" s="1357"/>
      <c r="AW43" s="1357"/>
      <c r="AX43" s="1362"/>
    </row>
    <row r="44" spans="1:50" ht="31.5" customHeight="1" x14ac:dyDescent="0.2">
      <c r="A44" s="1174" t="s">
        <v>321</v>
      </c>
      <c r="B44" s="1206" t="s">
        <v>1960</v>
      </c>
      <c r="C44" s="754" t="s">
        <v>1969</v>
      </c>
      <c r="D44" s="1357"/>
      <c r="E44" s="1357"/>
      <c r="F44" s="1357"/>
      <c r="G44" s="1357"/>
      <c r="H44" s="1357"/>
      <c r="I44" s="1358"/>
      <c r="J44" s="1358"/>
      <c r="K44" s="1358"/>
      <c r="L44" s="1358"/>
      <c r="M44" s="1358"/>
      <c r="N44" s="1359"/>
      <c r="O44" s="1359"/>
      <c r="P44" s="1358"/>
      <c r="Q44" s="1357"/>
      <c r="R44" s="1357"/>
      <c r="S44" s="1357"/>
      <c r="T44" s="1357"/>
      <c r="U44" s="1357"/>
      <c r="V44" s="1357"/>
      <c r="W44" s="1357"/>
      <c r="X44" s="1357"/>
      <c r="Y44" s="1357"/>
      <c r="Z44" s="1357"/>
      <c r="AA44" s="1357"/>
      <c r="AB44" s="1357"/>
      <c r="AC44" s="1357"/>
      <c r="AD44" s="1357"/>
      <c r="AE44" s="1357"/>
      <c r="AF44" s="1357"/>
      <c r="AG44" s="1357"/>
      <c r="AH44" s="1357"/>
      <c r="AI44" s="1357"/>
      <c r="AJ44" s="1357"/>
      <c r="AK44" s="1357">
        <v>-4465300</v>
      </c>
      <c r="AL44" s="1357"/>
      <c r="AM44" s="1357"/>
      <c r="AN44" s="1357"/>
      <c r="AO44" s="1357"/>
      <c r="AP44" s="1357"/>
      <c r="AQ44" s="1357"/>
      <c r="AR44" s="1357"/>
      <c r="AS44" s="1357"/>
      <c r="AT44" s="1357"/>
      <c r="AU44" s="1357"/>
      <c r="AV44" s="1357"/>
      <c r="AW44" s="1357"/>
      <c r="AX44" s="1362"/>
    </row>
    <row r="45" spans="1:50" ht="54" customHeight="1" x14ac:dyDescent="0.2">
      <c r="A45" s="1174" t="s">
        <v>322</v>
      </c>
      <c r="B45" s="1206" t="s">
        <v>1961</v>
      </c>
      <c r="C45" s="754" t="s">
        <v>2115</v>
      </c>
      <c r="D45" s="1357"/>
      <c r="E45" s="1357"/>
      <c r="F45" s="1357"/>
      <c r="G45" s="1357">
        <v>-800000</v>
      </c>
      <c r="H45" s="1357"/>
      <c r="I45" s="1358"/>
      <c r="J45" s="1358"/>
      <c r="K45" s="1358"/>
      <c r="L45" s="1358"/>
      <c r="M45" s="1358"/>
      <c r="N45" s="1359"/>
      <c r="O45" s="1359"/>
      <c r="P45" s="1358"/>
      <c r="Q45" s="1357"/>
      <c r="R45" s="1357"/>
      <c r="S45" s="1357"/>
      <c r="T45" s="1357"/>
      <c r="U45" s="1357"/>
      <c r="V45" s="1357"/>
      <c r="W45" s="1357"/>
      <c r="X45" s="1357"/>
      <c r="Y45" s="1357"/>
      <c r="Z45" s="1357"/>
      <c r="AA45" s="1357"/>
      <c r="AB45" s="1357"/>
      <c r="AC45" s="1357"/>
      <c r="AD45" s="1357"/>
      <c r="AE45" s="1357"/>
      <c r="AF45" s="1357"/>
      <c r="AG45" s="1357"/>
      <c r="AH45" s="1357"/>
      <c r="AI45" s="1357"/>
      <c r="AJ45" s="1357"/>
      <c r="AK45" s="1357"/>
      <c r="AL45" s="1357"/>
      <c r="AM45" s="1357"/>
      <c r="AN45" s="1357"/>
      <c r="AO45" s="1357"/>
      <c r="AP45" s="1357"/>
      <c r="AQ45" s="1357"/>
      <c r="AR45" s="1357"/>
      <c r="AS45" s="1357"/>
      <c r="AT45" s="1357"/>
      <c r="AU45" s="1357"/>
      <c r="AV45" s="1357"/>
      <c r="AW45" s="1357"/>
      <c r="AX45" s="1362"/>
    </row>
    <row r="46" spans="1:50" ht="97.5" customHeight="1" x14ac:dyDescent="0.2">
      <c r="A46" s="1174" t="s">
        <v>323</v>
      </c>
      <c r="B46" s="1206" t="s">
        <v>1962</v>
      </c>
      <c r="C46" s="754" t="s">
        <v>1970</v>
      </c>
      <c r="D46" s="1357"/>
      <c r="E46" s="1357"/>
      <c r="F46" s="1357"/>
      <c r="G46" s="1357"/>
      <c r="H46" s="1357"/>
      <c r="I46" s="1358"/>
      <c r="J46" s="1358"/>
      <c r="K46" s="1358"/>
      <c r="L46" s="1358"/>
      <c r="M46" s="1358"/>
      <c r="N46" s="1359"/>
      <c r="O46" s="1359"/>
      <c r="P46" s="1358"/>
      <c r="Q46" s="1357"/>
      <c r="R46" s="1357"/>
      <c r="S46" s="1357"/>
      <c r="T46" s="1357"/>
      <c r="U46" s="1357"/>
      <c r="V46" s="1357">
        <v>-1250000</v>
      </c>
      <c r="W46" s="1357"/>
      <c r="X46" s="1357"/>
      <c r="Y46" s="1357"/>
      <c r="Z46" s="1357"/>
      <c r="AA46" s="1357"/>
      <c r="AB46" s="1357"/>
      <c r="AC46" s="1357"/>
      <c r="AD46" s="1357"/>
      <c r="AE46" s="1357"/>
      <c r="AF46" s="1357"/>
      <c r="AG46" s="1357"/>
      <c r="AH46" s="1357"/>
      <c r="AI46" s="1357"/>
      <c r="AJ46" s="1357"/>
      <c r="AK46" s="1357"/>
      <c r="AL46" s="1357"/>
      <c r="AM46" s="1357"/>
      <c r="AN46" s="1357"/>
      <c r="AO46" s="1357"/>
      <c r="AP46" s="1357"/>
      <c r="AQ46" s="1357"/>
      <c r="AR46" s="1357"/>
      <c r="AS46" s="1357"/>
      <c r="AT46" s="1357"/>
      <c r="AU46" s="1357"/>
      <c r="AV46" s="1357"/>
      <c r="AW46" s="1357"/>
      <c r="AX46" s="1362"/>
    </row>
    <row r="47" spans="1:50" ht="66.75" customHeight="1" x14ac:dyDescent="0.2">
      <c r="A47" s="1174" t="s">
        <v>324</v>
      </c>
      <c r="B47" s="1206" t="s">
        <v>1963</v>
      </c>
      <c r="C47" s="754" t="s">
        <v>1975</v>
      </c>
      <c r="D47" s="1357"/>
      <c r="E47" s="1357"/>
      <c r="F47" s="1357"/>
      <c r="G47" s="1357"/>
      <c r="H47" s="1357"/>
      <c r="I47" s="1358"/>
      <c r="J47" s="1358"/>
      <c r="K47" s="1358"/>
      <c r="L47" s="1358"/>
      <c r="M47" s="1358"/>
      <c r="N47" s="1359"/>
      <c r="O47" s="1359"/>
      <c r="P47" s="1358"/>
      <c r="Q47" s="1357"/>
      <c r="R47" s="1357"/>
      <c r="S47" s="1357"/>
      <c r="T47" s="1357"/>
      <c r="U47" s="1357"/>
      <c r="V47" s="1357"/>
      <c r="W47" s="1357"/>
      <c r="X47" s="1357"/>
      <c r="Y47" s="1357"/>
      <c r="Z47" s="1357"/>
      <c r="AA47" s="1357"/>
      <c r="AB47" s="1357"/>
      <c r="AC47" s="1357"/>
      <c r="AD47" s="1357"/>
      <c r="AE47" s="1357"/>
      <c r="AF47" s="1357"/>
      <c r="AG47" s="1357"/>
      <c r="AH47" s="1357">
        <v>-15000000</v>
      </c>
      <c r="AI47" s="1357"/>
      <c r="AJ47" s="1357"/>
      <c r="AK47" s="1357"/>
      <c r="AL47" s="1357"/>
      <c r="AM47" s="1357"/>
      <c r="AN47" s="1357"/>
      <c r="AO47" s="1357"/>
      <c r="AP47" s="1357"/>
      <c r="AQ47" s="1357"/>
      <c r="AR47" s="1357"/>
      <c r="AS47" s="1357"/>
      <c r="AT47" s="1357"/>
      <c r="AU47" s="1357"/>
      <c r="AV47" s="1357"/>
      <c r="AW47" s="1357"/>
      <c r="AX47" s="1362"/>
    </row>
    <row r="48" spans="1:50" ht="27.75" customHeight="1" x14ac:dyDescent="0.2">
      <c r="A48" s="1174" t="s">
        <v>325</v>
      </c>
      <c r="B48" s="1206" t="s">
        <v>1964</v>
      </c>
      <c r="C48" s="754" t="s">
        <v>2027</v>
      </c>
      <c r="D48" s="1357"/>
      <c r="E48" s="1357"/>
      <c r="F48" s="1357"/>
      <c r="G48" s="1357"/>
      <c r="H48" s="1357"/>
      <c r="I48" s="1358"/>
      <c r="J48" s="1358"/>
      <c r="K48" s="1358"/>
      <c r="L48" s="1358"/>
      <c r="M48" s="1358"/>
      <c r="N48" s="1359"/>
      <c r="O48" s="1359"/>
      <c r="P48" s="1358"/>
      <c r="Q48" s="1357"/>
      <c r="R48" s="1357"/>
      <c r="S48" s="1357"/>
      <c r="T48" s="1357"/>
      <c r="U48" s="1357"/>
      <c r="V48" s="1357"/>
      <c r="W48" s="1357"/>
      <c r="X48" s="1357"/>
      <c r="Y48" s="1357"/>
      <c r="Z48" s="1357"/>
      <c r="AA48" s="1357"/>
      <c r="AB48" s="1357"/>
      <c r="AC48" s="1357"/>
      <c r="AD48" s="1357"/>
      <c r="AE48" s="1357"/>
      <c r="AF48" s="1357"/>
      <c r="AG48" s="1357"/>
      <c r="AH48" s="1357"/>
      <c r="AI48" s="1357"/>
      <c r="AJ48" s="1357"/>
      <c r="AK48" s="1357"/>
      <c r="AL48" s="1357"/>
      <c r="AM48" s="1357"/>
      <c r="AN48" s="1357"/>
      <c r="AO48" s="1357"/>
      <c r="AP48" s="1357"/>
      <c r="AQ48" s="1357">
        <v>-200000</v>
      </c>
      <c r="AR48" s="1357"/>
      <c r="AS48" s="1357"/>
      <c r="AT48" s="1357"/>
      <c r="AU48" s="1357"/>
      <c r="AV48" s="1357"/>
      <c r="AW48" s="1357"/>
      <c r="AX48" s="1362"/>
    </row>
    <row r="49" spans="1:50" ht="53.25" customHeight="1" x14ac:dyDescent="0.2">
      <c r="A49" s="1174" t="s">
        <v>767</v>
      </c>
      <c r="B49" s="1206" t="s">
        <v>2041</v>
      </c>
      <c r="C49" s="754" t="s">
        <v>2042</v>
      </c>
      <c r="D49" s="1357"/>
      <c r="E49" s="1357"/>
      <c r="F49" s="1357"/>
      <c r="G49" s="1357"/>
      <c r="H49" s="1357"/>
      <c r="I49" s="1358"/>
      <c r="J49" s="1358"/>
      <c r="K49" s="1358"/>
      <c r="L49" s="1358"/>
      <c r="M49" s="1358"/>
      <c r="N49" s="1359"/>
      <c r="O49" s="1359"/>
      <c r="P49" s="1358"/>
      <c r="Q49" s="1357"/>
      <c r="R49" s="1357"/>
      <c r="S49" s="1357"/>
      <c r="T49" s="1357"/>
      <c r="U49" s="1357"/>
      <c r="V49" s="1357"/>
      <c r="W49" s="1357"/>
      <c r="X49" s="1357"/>
      <c r="Y49" s="1357"/>
      <c r="Z49" s="1357"/>
      <c r="AA49" s="1357"/>
      <c r="AB49" s="1357"/>
      <c r="AC49" s="1357"/>
      <c r="AD49" s="1357"/>
      <c r="AE49" s="1357"/>
      <c r="AF49" s="1357"/>
      <c r="AG49" s="1357"/>
      <c r="AH49" s="1357"/>
      <c r="AI49" s="1357"/>
      <c r="AJ49" s="1357"/>
      <c r="AK49" s="1357"/>
      <c r="AL49" s="1357">
        <v>-1554735</v>
      </c>
      <c r="AM49" s="1357"/>
      <c r="AN49" s="1357"/>
      <c r="AO49" s="1357"/>
      <c r="AP49" s="1357"/>
      <c r="AQ49" s="1357"/>
      <c r="AR49" s="1357"/>
      <c r="AS49" s="1357"/>
      <c r="AT49" s="1357"/>
      <c r="AU49" s="1357"/>
      <c r="AV49" s="1357"/>
      <c r="AW49" s="1357"/>
      <c r="AX49" s="1362"/>
    </row>
    <row r="50" spans="1:50" ht="41.25" customHeight="1" x14ac:dyDescent="0.2">
      <c r="A50" s="1174" t="s">
        <v>768</v>
      </c>
      <c r="B50" s="1206" t="s">
        <v>2043</v>
      </c>
      <c r="C50" s="754" t="s">
        <v>2044</v>
      </c>
      <c r="D50" s="1357"/>
      <c r="E50" s="1357"/>
      <c r="F50" s="1357"/>
      <c r="G50" s="1357"/>
      <c r="H50" s="1357"/>
      <c r="I50" s="1358"/>
      <c r="J50" s="1358"/>
      <c r="K50" s="1358"/>
      <c r="L50" s="1358"/>
      <c r="M50" s="1358"/>
      <c r="N50" s="1359"/>
      <c r="O50" s="1359"/>
      <c r="P50" s="1358"/>
      <c r="Q50" s="1357"/>
      <c r="R50" s="1357"/>
      <c r="S50" s="1357"/>
      <c r="T50" s="1357"/>
      <c r="U50" s="1357"/>
      <c r="V50" s="1357"/>
      <c r="W50" s="1357"/>
      <c r="X50" s="1357"/>
      <c r="Y50" s="1357"/>
      <c r="Z50" s="1357"/>
      <c r="AA50" s="1357"/>
      <c r="AB50" s="1357"/>
      <c r="AC50" s="1357"/>
      <c r="AD50" s="1357"/>
      <c r="AE50" s="1357"/>
      <c r="AF50" s="1357"/>
      <c r="AG50" s="1357"/>
      <c r="AH50" s="1357"/>
      <c r="AI50" s="1357"/>
      <c r="AJ50" s="1357"/>
      <c r="AK50" s="1357">
        <v>-993597</v>
      </c>
      <c r="AL50" s="1357"/>
      <c r="AM50" s="1357"/>
      <c r="AN50" s="1357"/>
      <c r="AO50" s="1357"/>
      <c r="AP50" s="1357"/>
      <c r="AQ50" s="1357"/>
      <c r="AR50" s="1357"/>
      <c r="AS50" s="1357"/>
      <c r="AT50" s="1357"/>
      <c r="AU50" s="1357"/>
      <c r="AV50" s="1357"/>
      <c r="AW50" s="1357"/>
      <c r="AX50" s="1362"/>
    </row>
    <row r="51" spans="1:50" ht="44.25" customHeight="1" x14ac:dyDescent="0.2">
      <c r="A51" s="1174" t="s">
        <v>770</v>
      </c>
      <c r="B51" s="1206" t="s">
        <v>2046</v>
      </c>
      <c r="C51" s="754" t="s">
        <v>2116</v>
      </c>
      <c r="D51" s="1357"/>
      <c r="E51" s="1357"/>
      <c r="F51" s="1357"/>
      <c r="G51" s="1357">
        <v>-571500</v>
      </c>
      <c r="H51" s="1357"/>
      <c r="I51" s="1358"/>
      <c r="J51" s="1358"/>
      <c r="K51" s="1358"/>
      <c r="L51" s="1358"/>
      <c r="M51" s="1358"/>
      <c r="N51" s="1359"/>
      <c r="O51" s="1359"/>
      <c r="P51" s="1358"/>
      <c r="Q51" s="1357"/>
      <c r="R51" s="1357"/>
      <c r="S51" s="1357"/>
      <c r="T51" s="1357"/>
      <c r="U51" s="1357"/>
      <c r="V51" s="1357"/>
      <c r="W51" s="1357"/>
      <c r="X51" s="1357"/>
      <c r="Y51" s="1357"/>
      <c r="Z51" s="1357"/>
      <c r="AA51" s="1357"/>
      <c r="AB51" s="1357"/>
      <c r="AC51" s="1357"/>
      <c r="AD51" s="1357"/>
      <c r="AE51" s="1357"/>
      <c r="AF51" s="1357"/>
      <c r="AG51" s="1357"/>
      <c r="AH51" s="1357"/>
      <c r="AI51" s="1357"/>
      <c r="AJ51" s="1357"/>
      <c r="AK51" s="1357"/>
      <c r="AL51" s="1357"/>
      <c r="AM51" s="1357"/>
      <c r="AN51" s="1357"/>
      <c r="AO51" s="1357"/>
      <c r="AP51" s="1357"/>
      <c r="AQ51" s="1357"/>
      <c r="AR51" s="1357"/>
      <c r="AS51" s="1357"/>
      <c r="AT51" s="1357"/>
      <c r="AU51" s="1357"/>
      <c r="AV51" s="1357"/>
      <c r="AW51" s="1357"/>
      <c r="AX51" s="1362"/>
    </row>
    <row r="52" spans="1:50" ht="39" customHeight="1" x14ac:dyDescent="0.2">
      <c r="A52" s="1174" t="s">
        <v>771</v>
      </c>
      <c r="B52" s="1206" t="s">
        <v>2048</v>
      </c>
      <c r="C52" s="754" t="s">
        <v>2206</v>
      </c>
      <c r="D52" s="1357"/>
      <c r="E52" s="1357"/>
      <c r="F52" s="1357"/>
      <c r="G52" s="1357"/>
      <c r="H52" s="1357"/>
      <c r="I52" s="1358"/>
      <c r="J52" s="1358"/>
      <c r="K52" s="1358"/>
      <c r="L52" s="1358"/>
      <c r="M52" s="1358"/>
      <c r="N52" s="1359"/>
      <c r="O52" s="1359"/>
      <c r="P52" s="1358"/>
      <c r="Q52" s="1357">
        <v>-40000</v>
      </c>
      <c r="R52" s="1357"/>
      <c r="S52" s="1357"/>
      <c r="T52" s="1357"/>
      <c r="U52" s="1357"/>
      <c r="V52" s="1357"/>
      <c r="W52" s="1357"/>
      <c r="X52" s="1357"/>
      <c r="Y52" s="1357"/>
      <c r="Z52" s="1357"/>
      <c r="AA52" s="1357"/>
      <c r="AB52" s="1357"/>
      <c r="AC52" s="1357"/>
      <c r="AD52" s="1357"/>
      <c r="AE52" s="1357"/>
      <c r="AF52" s="1357"/>
      <c r="AG52" s="1357"/>
      <c r="AH52" s="1357"/>
      <c r="AI52" s="1357"/>
      <c r="AJ52" s="1357"/>
      <c r="AK52" s="1357"/>
      <c r="AL52" s="1357"/>
      <c r="AM52" s="1357"/>
      <c r="AN52" s="1357"/>
      <c r="AO52" s="1357"/>
      <c r="AP52" s="1357"/>
      <c r="AQ52" s="1357"/>
      <c r="AR52" s="1357"/>
      <c r="AS52" s="1357"/>
      <c r="AT52" s="1357"/>
      <c r="AU52" s="1357"/>
      <c r="AV52" s="1357"/>
      <c r="AW52" s="1357"/>
      <c r="AX52" s="1362"/>
    </row>
    <row r="53" spans="1:50" ht="68.25" customHeight="1" x14ac:dyDescent="0.2">
      <c r="A53" s="1174" t="s">
        <v>1384</v>
      </c>
      <c r="B53" s="1206" t="s">
        <v>2049</v>
      </c>
      <c r="C53" s="754" t="s">
        <v>2050</v>
      </c>
      <c r="D53" s="1357"/>
      <c r="E53" s="1357"/>
      <c r="F53" s="1357"/>
      <c r="G53" s="1357"/>
      <c r="H53" s="1357"/>
      <c r="I53" s="1358"/>
      <c r="J53" s="1358"/>
      <c r="K53" s="1358"/>
      <c r="L53" s="1358"/>
      <c r="M53" s="1358"/>
      <c r="N53" s="1359"/>
      <c r="O53" s="1359"/>
      <c r="P53" s="1358"/>
      <c r="Q53" s="1357"/>
      <c r="R53" s="1357"/>
      <c r="S53" s="1357"/>
      <c r="T53" s="1357"/>
      <c r="U53" s="1357">
        <v>-3000000</v>
      </c>
      <c r="V53" s="1357"/>
      <c r="W53" s="1357"/>
      <c r="X53" s="1357"/>
      <c r="Y53" s="1357"/>
      <c r="Z53" s="1357"/>
      <c r="AA53" s="1357"/>
      <c r="AB53" s="1357"/>
      <c r="AC53" s="1357"/>
      <c r="AD53" s="1357"/>
      <c r="AE53" s="1357"/>
      <c r="AF53" s="1357"/>
      <c r="AG53" s="1357"/>
      <c r="AH53" s="1357"/>
      <c r="AI53" s="1357"/>
      <c r="AJ53" s="1357"/>
      <c r="AK53" s="1357"/>
      <c r="AL53" s="1357"/>
      <c r="AM53" s="1357"/>
      <c r="AN53" s="1357"/>
      <c r="AO53" s="1357"/>
      <c r="AP53" s="1357"/>
      <c r="AQ53" s="1357"/>
      <c r="AR53" s="1357"/>
      <c r="AS53" s="1357"/>
      <c r="AT53" s="1357"/>
      <c r="AU53" s="1357"/>
      <c r="AV53" s="1357"/>
      <c r="AW53" s="1357"/>
      <c r="AX53" s="1362"/>
    </row>
    <row r="54" spans="1:50" ht="30" customHeight="1" x14ac:dyDescent="0.2">
      <c r="A54" s="1174" t="s">
        <v>330</v>
      </c>
      <c r="B54" s="1206" t="s">
        <v>2067</v>
      </c>
      <c r="C54" s="754" t="s">
        <v>2068</v>
      </c>
      <c r="D54" s="1357"/>
      <c r="E54" s="1357"/>
      <c r="F54" s="1357"/>
      <c r="G54" s="1357"/>
      <c r="H54" s="1357"/>
      <c r="I54" s="1358"/>
      <c r="J54" s="1358"/>
      <c r="K54" s="1358"/>
      <c r="L54" s="1358"/>
      <c r="M54" s="1358"/>
      <c r="N54" s="1359"/>
      <c r="O54" s="1359"/>
      <c r="P54" s="1358"/>
      <c r="Q54" s="1357"/>
      <c r="R54" s="1357"/>
      <c r="S54" s="1357"/>
      <c r="T54" s="1357"/>
      <c r="U54" s="1357"/>
      <c r="V54" s="1357"/>
      <c r="W54" s="1357"/>
      <c r="X54" s="1357"/>
      <c r="Y54" s="1357"/>
      <c r="Z54" s="1357"/>
      <c r="AA54" s="1357"/>
      <c r="AB54" s="1357"/>
      <c r="AC54" s="1357"/>
      <c r="AD54" s="1357"/>
      <c r="AE54" s="1357"/>
      <c r="AF54" s="1357"/>
      <c r="AG54" s="1357"/>
      <c r="AH54" s="1357"/>
      <c r="AI54" s="1357"/>
      <c r="AJ54" s="1357"/>
      <c r="AK54" s="1357"/>
      <c r="AL54" s="1357">
        <v>-2000000</v>
      </c>
      <c r="AM54" s="1357"/>
      <c r="AN54" s="1357"/>
      <c r="AO54" s="1357"/>
      <c r="AP54" s="1357"/>
      <c r="AQ54" s="1357"/>
      <c r="AR54" s="1357"/>
      <c r="AS54" s="1357"/>
      <c r="AT54" s="1357"/>
      <c r="AU54" s="1357"/>
      <c r="AV54" s="1357"/>
      <c r="AW54" s="1357"/>
      <c r="AX54" s="1362"/>
    </row>
    <row r="55" spans="1:50" ht="30" customHeight="1" x14ac:dyDescent="0.2">
      <c r="A55" s="1174" t="s">
        <v>331</v>
      </c>
      <c r="B55" s="1206" t="s">
        <v>2070</v>
      </c>
      <c r="C55" s="754" t="s">
        <v>2071</v>
      </c>
      <c r="D55" s="1357"/>
      <c r="E55" s="1357"/>
      <c r="F55" s="1357"/>
      <c r="G55" s="1357"/>
      <c r="H55" s="1357"/>
      <c r="I55" s="1358"/>
      <c r="J55" s="1358"/>
      <c r="K55" s="1358"/>
      <c r="L55" s="1358"/>
      <c r="M55" s="1358"/>
      <c r="N55" s="1359"/>
      <c r="O55" s="1359"/>
      <c r="P55" s="1358"/>
      <c r="Q55" s="1357"/>
      <c r="R55" s="1357"/>
      <c r="S55" s="1357"/>
      <c r="T55" s="1357"/>
      <c r="U55" s="1357"/>
      <c r="V55" s="1357"/>
      <c r="W55" s="1357"/>
      <c r="X55" s="1357"/>
      <c r="Y55" s="1357"/>
      <c r="Z55" s="1357"/>
      <c r="AA55" s="1357"/>
      <c r="AB55" s="1357"/>
      <c r="AC55" s="1357"/>
      <c r="AD55" s="1357"/>
      <c r="AE55" s="1357"/>
      <c r="AF55" s="1357"/>
      <c r="AG55" s="1357"/>
      <c r="AH55" s="1357"/>
      <c r="AI55" s="1357"/>
      <c r="AJ55" s="1357"/>
      <c r="AK55" s="1357"/>
      <c r="AL55" s="1357"/>
      <c r="AM55" s="1357"/>
      <c r="AN55" s="1357"/>
      <c r="AO55" s="1357"/>
      <c r="AP55" s="1357"/>
      <c r="AQ55" s="1357">
        <v>1484000</v>
      </c>
      <c r="AR55" s="1357"/>
      <c r="AS55" s="1357"/>
      <c r="AT55" s="1357"/>
      <c r="AU55" s="1357"/>
      <c r="AV55" s="1357"/>
      <c r="AW55" s="1357"/>
      <c r="AX55" s="1362"/>
    </row>
    <row r="56" spans="1:50" ht="40.5" customHeight="1" x14ac:dyDescent="0.2">
      <c r="A56" s="1174" t="s">
        <v>773</v>
      </c>
      <c r="B56" s="1206" t="s">
        <v>2073</v>
      </c>
      <c r="C56" s="754" t="s">
        <v>2074</v>
      </c>
      <c r="D56" s="1357"/>
      <c r="E56" s="1357"/>
      <c r="F56" s="1357"/>
      <c r="G56" s="1357"/>
      <c r="H56" s="1357"/>
      <c r="I56" s="1358"/>
      <c r="J56" s="1358"/>
      <c r="K56" s="1358"/>
      <c r="L56" s="1358"/>
      <c r="M56" s="1358"/>
      <c r="N56" s="1359"/>
      <c r="O56" s="1359"/>
      <c r="P56" s="1358"/>
      <c r="Q56" s="1357">
        <v>-477520</v>
      </c>
      <c r="R56" s="1357"/>
      <c r="S56" s="1357"/>
      <c r="T56" s="1357"/>
      <c r="U56" s="1357"/>
      <c r="V56" s="1357"/>
      <c r="W56" s="1357"/>
      <c r="X56" s="1357"/>
      <c r="Y56" s="1357"/>
      <c r="Z56" s="1357"/>
      <c r="AA56" s="1357"/>
      <c r="AB56" s="1357"/>
      <c r="AC56" s="1357"/>
      <c r="AD56" s="1357"/>
      <c r="AE56" s="1357"/>
      <c r="AF56" s="1357"/>
      <c r="AG56" s="1357"/>
      <c r="AH56" s="1357"/>
      <c r="AI56" s="1357"/>
      <c r="AJ56" s="1357"/>
      <c r="AK56" s="1357"/>
      <c r="AL56" s="1357"/>
      <c r="AM56" s="1357"/>
      <c r="AN56" s="1357"/>
      <c r="AO56" s="1357"/>
      <c r="AP56" s="1357"/>
      <c r="AQ56" s="1357"/>
      <c r="AR56" s="1357"/>
      <c r="AS56" s="1357"/>
      <c r="AT56" s="1357"/>
      <c r="AU56" s="1357"/>
      <c r="AV56" s="1357"/>
      <c r="AW56" s="1357"/>
      <c r="AX56" s="1362"/>
    </row>
    <row r="57" spans="1:50" ht="48" customHeight="1" x14ac:dyDescent="0.2">
      <c r="A57" s="1174" t="s">
        <v>798</v>
      </c>
      <c r="B57" s="1206" t="s">
        <v>2075</v>
      </c>
      <c r="C57" s="754" t="s">
        <v>2076</v>
      </c>
      <c r="D57" s="1357"/>
      <c r="E57" s="1357"/>
      <c r="F57" s="1357"/>
      <c r="G57" s="1357"/>
      <c r="H57" s="1357"/>
      <c r="I57" s="1358"/>
      <c r="J57" s="1358"/>
      <c r="K57" s="1358"/>
      <c r="L57" s="1358"/>
      <c r="M57" s="1358"/>
      <c r="N57" s="1359"/>
      <c r="O57" s="1359"/>
      <c r="P57" s="1358"/>
      <c r="Q57" s="1357">
        <v>-539750</v>
      </c>
      <c r="R57" s="1357"/>
      <c r="S57" s="1357"/>
      <c r="T57" s="1357"/>
      <c r="U57" s="1357"/>
      <c r="V57" s="1357"/>
      <c r="W57" s="1357"/>
      <c r="X57" s="1357"/>
      <c r="Y57" s="1357"/>
      <c r="Z57" s="1357"/>
      <c r="AA57" s="1357"/>
      <c r="AB57" s="1357"/>
      <c r="AC57" s="1357"/>
      <c r="AD57" s="1357"/>
      <c r="AE57" s="1357"/>
      <c r="AF57" s="1357"/>
      <c r="AG57" s="1357"/>
      <c r="AH57" s="1357"/>
      <c r="AI57" s="1357"/>
      <c r="AJ57" s="1357"/>
      <c r="AK57" s="1357"/>
      <c r="AL57" s="1357"/>
      <c r="AM57" s="1357"/>
      <c r="AN57" s="1357"/>
      <c r="AO57" s="1357"/>
      <c r="AP57" s="1357"/>
      <c r="AQ57" s="1357"/>
      <c r="AR57" s="1357"/>
      <c r="AS57" s="1357"/>
      <c r="AT57" s="1357"/>
      <c r="AU57" s="1357"/>
      <c r="AV57" s="1357"/>
      <c r="AW57" s="1357"/>
      <c r="AX57" s="1362"/>
    </row>
    <row r="58" spans="1:50" ht="28.5" customHeight="1" x14ac:dyDescent="0.2">
      <c r="A58" s="1174" t="s">
        <v>800</v>
      </c>
      <c r="B58" s="1206" t="s">
        <v>2094</v>
      </c>
      <c r="C58" s="754" t="s">
        <v>2095</v>
      </c>
      <c r="D58" s="1357"/>
      <c r="E58" s="1357"/>
      <c r="F58" s="1357"/>
      <c r="G58" s="1357"/>
      <c r="H58" s="1357"/>
      <c r="I58" s="1358"/>
      <c r="J58" s="1358"/>
      <c r="K58" s="1358"/>
      <c r="L58" s="1358"/>
      <c r="M58" s="1358"/>
      <c r="N58" s="1359"/>
      <c r="O58" s="1359"/>
      <c r="P58" s="1358"/>
      <c r="Q58" s="1357"/>
      <c r="R58" s="1357"/>
      <c r="S58" s="1357"/>
      <c r="T58" s="1357"/>
      <c r="U58" s="1357"/>
      <c r="V58" s="1357"/>
      <c r="W58" s="1357"/>
      <c r="X58" s="1357"/>
      <c r="Y58" s="1357"/>
      <c r="Z58" s="1357"/>
      <c r="AA58" s="1357"/>
      <c r="AB58" s="1357"/>
      <c r="AC58" s="1357"/>
      <c r="AD58" s="1357"/>
      <c r="AE58" s="1357"/>
      <c r="AF58" s="1357"/>
      <c r="AG58" s="1357"/>
      <c r="AH58" s="1357"/>
      <c r="AI58" s="1357"/>
      <c r="AJ58" s="1357"/>
      <c r="AK58" s="1357"/>
      <c r="AL58" s="1357"/>
      <c r="AM58" s="1357"/>
      <c r="AN58" s="1357"/>
      <c r="AO58" s="1357"/>
      <c r="AP58" s="1357"/>
      <c r="AQ58" s="1357">
        <v>200000</v>
      </c>
      <c r="AR58" s="1357"/>
      <c r="AS58" s="1357"/>
      <c r="AT58" s="1357"/>
      <c r="AU58" s="1357"/>
      <c r="AV58" s="1357"/>
      <c r="AW58" s="1357"/>
      <c r="AX58" s="1362"/>
    </row>
    <row r="59" spans="1:50" ht="39.75" customHeight="1" x14ac:dyDescent="0.2">
      <c r="A59" s="1174" t="s">
        <v>801</v>
      </c>
      <c r="B59" s="1206" t="s">
        <v>2096</v>
      </c>
      <c r="C59" s="754" t="s">
        <v>2097</v>
      </c>
      <c r="D59" s="1357"/>
      <c r="E59" s="1357"/>
      <c r="F59" s="1357"/>
      <c r="G59" s="1357"/>
      <c r="H59" s="1357"/>
      <c r="I59" s="1358"/>
      <c r="J59" s="1358"/>
      <c r="K59" s="1358"/>
      <c r="L59" s="1358"/>
      <c r="M59" s="1358"/>
      <c r="N59" s="1359"/>
      <c r="O59" s="1359"/>
      <c r="P59" s="1358"/>
      <c r="Q59" s="1357"/>
      <c r="R59" s="1357"/>
      <c r="S59" s="1357"/>
      <c r="T59" s="1357"/>
      <c r="U59" s="1357"/>
      <c r="V59" s="1357"/>
      <c r="W59" s="1357"/>
      <c r="X59" s="1357"/>
      <c r="Y59" s="1357"/>
      <c r="Z59" s="1357"/>
      <c r="AA59" s="1357"/>
      <c r="AB59" s="1357"/>
      <c r="AC59" s="1357"/>
      <c r="AD59" s="1357"/>
      <c r="AE59" s="1357"/>
      <c r="AF59" s="1357"/>
      <c r="AG59" s="1357"/>
      <c r="AH59" s="1357"/>
      <c r="AI59" s="1357"/>
      <c r="AJ59" s="1357"/>
      <c r="AK59" s="1357"/>
      <c r="AL59" s="1357"/>
      <c r="AM59" s="1357"/>
      <c r="AN59" s="1357"/>
      <c r="AO59" s="1357"/>
      <c r="AP59" s="1357"/>
      <c r="AQ59" s="1357"/>
      <c r="AR59" s="1357">
        <v>69124</v>
      </c>
      <c r="AS59" s="1357"/>
      <c r="AT59" s="1357"/>
      <c r="AU59" s="1357"/>
      <c r="AV59" s="1357"/>
      <c r="AW59" s="1357"/>
      <c r="AX59" s="1362"/>
    </row>
    <row r="60" spans="1:50" ht="57.75" customHeight="1" x14ac:dyDescent="0.2">
      <c r="A60" s="1174" t="s">
        <v>803</v>
      </c>
      <c r="B60" s="1206" t="s">
        <v>2107</v>
      </c>
      <c r="C60" s="754" t="s">
        <v>2108</v>
      </c>
      <c r="D60" s="1357"/>
      <c r="E60" s="1357"/>
      <c r="F60" s="1357"/>
      <c r="G60" s="1357"/>
      <c r="H60" s="1357"/>
      <c r="I60" s="1358"/>
      <c r="J60" s="1358"/>
      <c r="K60" s="1358"/>
      <c r="L60" s="1358"/>
      <c r="M60" s="1358"/>
      <c r="N60" s="1359"/>
      <c r="O60" s="1359"/>
      <c r="P60" s="1358"/>
      <c r="Q60" s="1357"/>
      <c r="R60" s="1357"/>
      <c r="S60" s="1357"/>
      <c r="T60" s="1357"/>
      <c r="U60" s="1357"/>
      <c r="V60" s="1357"/>
      <c r="W60" s="1357"/>
      <c r="X60" s="1357"/>
      <c r="Y60" s="1357">
        <v>2663304</v>
      </c>
      <c r="Z60" s="1357"/>
      <c r="AA60" s="1357"/>
      <c r="AB60" s="1357"/>
      <c r="AC60" s="1357"/>
      <c r="AD60" s="1357"/>
      <c r="AE60" s="1357"/>
      <c r="AF60" s="1357"/>
      <c r="AG60" s="1357"/>
      <c r="AH60" s="1357"/>
      <c r="AI60" s="1357"/>
      <c r="AJ60" s="1357"/>
      <c r="AK60" s="1357"/>
      <c r="AL60" s="1357"/>
      <c r="AM60" s="1357"/>
      <c r="AN60" s="1357"/>
      <c r="AO60" s="1357"/>
      <c r="AP60" s="1357"/>
      <c r="AQ60" s="1357"/>
      <c r="AR60" s="1357"/>
      <c r="AS60" s="1357"/>
      <c r="AT60" s="1357"/>
      <c r="AU60" s="1357"/>
      <c r="AV60" s="1357"/>
      <c r="AW60" s="1357"/>
      <c r="AX60" s="1362"/>
    </row>
    <row r="61" spans="1:50" ht="28.5" customHeight="1" x14ac:dyDescent="0.2">
      <c r="A61" s="1174" t="s">
        <v>806</v>
      </c>
      <c r="B61" s="1206" t="s">
        <v>2130</v>
      </c>
      <c r="C61" s="754" t="s">
        <v>1869</v>
      </c>
      <c r="D61" s="1357"/>
      <c r="E61" s="1357"/>
      <c r="F61" s="1357"/>
      <c r="G61" s="1357"/>
      <c r="H61" s="1357"/>
      <c r="I61" s="1358"/>
      <c r="J61" s="1358"/>
      <c r="K61" s="1358"/>
      <c r="L61" s="1358"/>
      <c r="M61" s="1358"/>
      <c r="N61" s="1359"/>
      <c r="O61" s="1359"/>
      <c r="P61" s="1358"/>
      <c r="Q61" s="1357"/>
      <c r="R61" s="1357"/>
      <c r="S61" s="1357"/>
      <c r="T61" s="1357"/>
      <c r="U61" s="1357"/>
      <c r="V61" s="1357"/>
      <c r="W61" s="1357"/>
      <c r="X61" s="1357"/>
      <c r="Y61" s="1357"/>
      <c r="Z61" s="1357"/>
      <c r="AA61" s="1357"/>
      <c r="AB61" s="1357"/>
      <c r="AC61" s="1357"/>
      <c r="AD61" s="1357"/>
      <c r="AE61" s="1357"/>
      <c r="AF61" s="1357"/>
      <c r="AG61" s="1357"/>
      <c r="AH61" s="1357"/>
      <c r="AI61" s="1357"/>
      <c r="AJ61" s="1357"/>
      <c r="AK61" s="1357"/>
      <c r="AL61" s="1357"/>
      <c r="AM61" s="1357"/>
      <c r="AN61" s="1357"/>
      <c r="AO61" s="1357"/>
      <c r="AP61" s="1357"/>
      <c r="AQ61" s="1357">
        <v>10000</v>
      </c>
      <c r="AR61" s="1357"/>
      <c r="AS61" s="1357"/>
      <c r="AT61" s="1357"/>
      <c r="AU61" s="1357"/>
      <c r="AV61" s="1357"/>
      <c r="AW61" s="1357"/>
      <c r="AX61" s="1362"/>
    </row>
    <row r="62" spans="1:50" ht="42.75" customHeight="1" x14ac:dyDescent="0.2">
      <c r="A62" s="1174" t="s">
        <v>807</v>
      </c>
      <c r="B62" s="1206" t="s">
        <v>2131</v>
      </c>
      <c r="C62" s="754" t="s">
        <v>2097</v>
      </c>
      <c r="D62" s="1357"/>
      <c r="E62" s="1357"/>
      <c r="F62" s="1357"/>
      <c r="G62" s="1357"/>
      <c r="H62" s="1357"/>
      <c r="I62" s="1358"/>
      <c r="J62" s="1358"/>
      <c r="K62" s="1358"/>
      <c r="L62" s="1358"/>
      <c r="M62" s="1358"/>
      <c r="N62" s="1359"/>
      <c r="O62" s="1359"/>
      <c r="P62" s="1358"/>
      <c r="Q62" s="1357"/>
      <c r="R62" s="1357"/>
      <c r="S62" s="1357"/>
      <c r="T62" s="1357"/>
      <c r="U62" s="1357"/>
      <c r="V62" s="1357"/>
      <c r="W62" s="1357"/>
      <c r="X62" s="1357"/>
      <c r="Y62" s="1357"/>
      <c r="Z62" s="1357"/>
      <c r="AA62" s="1357"/>
      <c r="AB62" s="1357"/>
      <c r="AC62" s="1357"/>
      <c r="AD62" s="1357"/>
      <c r="AE62" s="1357"/>
      <c r="AF62" s="1357"/>
      <c r="AG62" s="1357"/>
      <c r="AH62" s="1357"/>
      <c r="AI62" s="1357"/>
      <c r="AJ62" s="1357"/>
      <c r="AK62" s="1357"/>
      <c r="AL62" s="1357"/>
      <c r="AM62" s="1357"/>
      <c r="AN62" s="1357"/>
      <c r="AO62" s="1357"/>
      <c r="AP62" s="1357"/>
      <c r="AQ62" s="1357"/>
      <c r="AR62" s="1357">
        <v>104600</v>
      </c>
      <c r="AS62" s="1357"/>
      <c r="AT62" s="1357"/>
      <c r="AU62" s="1357"/>
      <c r="AV62" s="1357"/>
      <c r="AW62" s="1357"/>
      <c r="AX62" s="1362"/>
    </row>
    <row r="63" spans="1:50" ht="52.5" customHeight="1" x14ac:dyDescent="0.2">
      <c r="A63" s="1174" t="s">
        <v>808</v>
      </c>
      <c r="B63" s="1206" t="s">
        <v>2132</v>
      </c>
      <c r="C63" s="754" t="s">
        <v>2133</v>
      </c>
      <c r="D63" s="1357"/>
      <c r="E63" s="1357"/>
      <c r="F63" s="1357"/>
      <c r="G63" s="1357"/>
      <c r="H63" s="1357"/>
      <c r="I63" s="1358"/>
      <c r="J63" s="1358"/>
      <c r="K63" s="1358"/>
      <c r="L63" s="1358"/>
      <c r="M63" s="1358"/>
      <c r="N63" s="1359">
        <v>81769454</v>
      </c>
      <c r="O63" s="1359"/>
      <c r="P63" s="1358"/>
      <c r="Q63" s="1357"/>
      <c r="R63" s="1357"/>
      <c r="S63" s="1357"/>
      <c r="T63" s="1357"/>
      <c r="U63" s="1357"/>
      <c r="V63" s="1357"/>
      <c r="W63" s="1357"/>
      <c r="X63" s="1357"/>
      <c r="Y63" s="1357"/>
      <c r="Z63" s="1357"/>
      <c r="AA63" s="1357"/>
      <c r="AB63" s="1357"/>
      <c r="AC63" s="1357"/>
      <c r="AD63" s="1357"/>
      <c r="AE63" s="1357"/>
      <c r="AF63" s="1357"/>
      <c r="AG63" s="1357"/>
      <c r="AH63" s="1357"/>
      <c r="AI63" s="1357"/>
      <c r="AJ63" s="1357"/>
      <c r="AK63" s="1357"/>
      <c r="AL63" s="1357"/>
      <c r="AM63" s="1357">
        <v>-81769454</v>
      </c>
      <c r="AN63" s="1357"/>
      <c r="AO63" s="1357"/>
      <c r="AP63" s="1357"/>
      <c r="AQ63" s="1357"/>
      <c r="AR63" s="1357"/>
      <c r="AS63" s="1357"/>
      <c r="AT63" s="1357"/>
      <c r="AU63" s="1357"/>
      <c r="AV63" s="1357"/>
      <c r="AW63" s="1357"/>
      <c r="AX63" s="1362"/>
    </row>
    <row r="64" spans="1:50" ht="44.25" customHeight="1" x14ac:dyDescent="0.2">
      <c r="A64" s="1174" t="s">
        <v>811</v>
      </c>
      <c r="B64" s="1206" t="s">
        <v>2134</v>
      </c>
      <c r="C64" s="754" t="s">
        <v>2135</v>
      </c>
      <c r="D64" s="1357"/>
      <c r="E64" s="1357"/>
      <c r="F64" s="1357"/>
      <c r="G64" s="1357"/>
      <c r="H64" s="1357"/>
      <c r="I64" s="1358"/>
      <c r="J64" s="1358"/>
      <c r="K64" s="1358"/>
      <c r="L64" s="1358"/>
      <c r="M64" s="1358"/>
      <c r="N64" s="1359">
        <v>-17384058</v>
      </c>
      <c r="O64" s="1359"/>
      <c r="P64" s="1358"/>
      <c r="Q64" s="1357"/>
      <c r="R64" s="1357"/>
      <c r="S64" s="1357"/>
      <c r="T64" s="1357"/>
      <c r="U64" s="1357"/>
      <c r="V64" s="1357"/>
      <c r="W64" s="1357"/>
      <c r="X64" s="1357"/>
      <c r="Y64" s="1357"/>
      <c r="Z64" s="1357"/>
      <c r="AA64" s="1357"/>
      <c r="AB64" s="1357"/>
      <c r="AC64" s="1357"/>
      <c r="AD64" s="1357"/>
      <c r="AE64" s="1357"/>
      <c r="AF64" s="1357"/>
      <c r="AG64" s="1357"/>
      <c r="AH64" s="1357"/>
      <c r="AI64" s="1357"/>
      <c r="AJ64" s="1357"/>
      <c r="AK64" s="1357"/>
      <c r="AL64" s="1357"/>
      <c r="AM64" s="1357"/>
      <c r="AN64" s="1357"/>
      <c r="AO64" s="1357"/>
      <c r="AP64" s="1357"/>
      <c r="AQ64" s="1357"/>
      <c r="AR64" s="1357"/>
      <c r="AS64" s="1357"/>
      <c r="AT64" s="1357"/>
      <c r="AU64" s="1357"/>
      <c r="AV64" s="1357"/>
      <c r="AW64" s="1357"/>
      <c r="AX64" s="1362"/>
    </row>
    <row r="65" spans="1:50" ht="31.5" customHeight="1" x14ac:dyDescent="0.2">
      <c r="A65" s="1174" t="s">
        <v>812</v>
      </c>
      <c r="B65" s="1206" t="s">
        <v>2136</v>
      </c>
      <c r="C65" s="754" t="s">
        <v>2137</v>
      </c>
      <c r="D65" s="1357"/>
      <c r="E65" s="1357"/>
      <c r="F65" s="1357"/>
      <c r="G65" s="1357"/>
      <c r="H65" s="1357"/>
      <c r="I65" s="1358"/>
      <c r="J65" s="1358"/>
      <c r="K65" s="1358"/>
      <c r="L65" s="1358"/>
      <c r="M65" s="1358"/>
      <c r="N65" s="1359"/>
      <c r="O65" s="1359"/>
      <c r="P65" s="1358"/>
      <c r="Q65" s="1357"/>
      <c r="R65" s="1357"/>
      <c r="S65" s="1357"/>
      <c r="T65" s="1357"/>
      <c r="U65" s="1357"/>
      <c r="V65" s="1357"/>
      <c r="W65" s="1357"/>
      <c r="X65" s="1357"/>
      <c r="Y65" s="1357"/>
      <c r="Z65" s="1357"/>
      <c r="AA65" s="1357"/>
      <c r="AB65" s="1357"/>
      <c r="AC65" s="1357"/>
      <c r="AD65" s="1357"/>
      <c r="AE65" s="1357"/>
      <c r="AF65" s="1357"/>
      <c r="AG65" s="1357"/>
      <c r="AH65" s="1357"/>
      <c r="AI65" s="1357"/>
      <c r="AJ65" s="1357"/>
      <c r="AK65" s="1357"/>
      <c r="AL65" s="1357">
        <v>-8087000</v>
      </c>
      <c r="AM65" s="1357"/>
      <c r="AN65" s="1357"/>
      <c r="AO65" s="1357"/>
      <c r="AP65" s="1357"/>
      <c r="AQ65" s="1357"/>
      <c r="AR65" s="1357"/>
      <c r="AS65" s="1357"/>
      <c r="AT65" s="1357"/>
      <c r="AU65" s="1357"/>
      <c r="AV65" s="1357"/>
      <c r="AW65" s="1357"/>
      <c r="AX65" s="1362"/>
    </row>
    <row r="66" spans="1:50" ht="45" customHeight="1" x14ac:dyDescent="0.2">
      <c r="A66" s="1174" t="s">
        <v>813</v>
      </c>
      <c r="B66" s="1206" t="s">
        <v>2138</v>
      </c>
      <c r="C66" s="754" t="s">
        <v>2139</v>
      </c>
      <c r="D66" s="1357"/>
      <c r="E66" s="1357"/>
      <c r="F66" s="1357"/>
      <c r="G66" s="1357"/>
      <c r="H66" s="1357"/>
      <c r="I66" s="1358"/>
      <c r="J66" s="1358"/>
      <c r="K66" s="1358"/>
      <c r="L66" s="1358"/>
      <c r="M66" s="1358"/>
      <c r="N66" s="1359">
        <v>-24794212</v>
      </c>
      <c r="O66" s="1359"/>
      <c r="P66" s="1358"/>
      <c r="Q66" s="1357"/>
      <c r="R66" s="1357"/>
      <c r="S66" s="1357"/>
      <c r="T66" s="1357"/>
      <c r="U66" s="1357"/>
      <c r="V66" s="1357"/>
      <c r="W66" s="1357"/>
      <c r="X66" s="1357"/>
      <c r="Y66" s="1357"/>
      <c r="Z66" s="1357"/>
      <c r="AA66" s="1357"/>
      <c r="AB66" s="1357"/>
      <c r="AC66" s="1357"/>
      <c r="AD66" s="1357"/>
      <c r="AE66" s="1357"/>
      <c r="AF66" s="1357"/>
      <c r="AG66" s="1357"/>
      <c r="AH66" s="1357"/>
      <c r="AI66" s="1357"/>
      <c r="AJ66" s="1357"/>
      <c r="AK66" s="1357"/>
      <c r="AL66" s="1357"/>
      <c r="AM66" s="1357"/>
      <c r="AN66" s="1357"/>
      <c r="AO66" s="1357"/>
      <c r="AP66" s="1357"/>
      <c r="AQ66" s="1357"/>
      <c r="AR66" s="1357"/>
      <c r="AS66" s="1357"/>
      <c r="AT66" s="1357"/>
      <c r="AU66" s="1357"/>
      <c r="AV66" s="1357"/>
      <c r="AW66" s="1357"/>
      <c r="AX66" s="1362"/>
    </row>
    <row r="67" spans="1:50" ht="33" customHeight="1" x14ac:dyDescent="0.2">
      <c r="A67" s="1174" t="s">
        <v>814</v>
      </c>
      <c r="B67" s="1206" t="s">
        <v>2140</v>
      </c>
      <c r="C67" s="754" t="s">
        <v>2141</v>
      </c>
      <c r="D67" s="1357"/>
      <c r="E67" s="1357"/>
      <c r="F67" s="1357"/>
      <c r="G67" s="1357"/>
      <c r="H67" s="1357"/>
      <c r="I67" s="1358"/>
      <c r="J67" s="1358"/>
      <c r="K67" s="1358"/>
      <c r="L67" s="1358"/>
      <c r="M67" s="1358"/>
      <c r="N67" s="1359"/>
      <c r="O67" s="1359"/>
      <c r="P67" s="1358"/>
      <c r="Q67" s="1357"/>
      <c r="R67" s="1357"/>
      <c r="S67" s="1357"/>
      <c r="T67" s="1357"/>
      <c r="U67" s="1357"/>
      <c r="V67" s="1357"/>
      <c r="W67" s="1357"/>
      <c r="X67" s="1357"/>
      <c r="Y67" s="1357"/>
      <c r="Z67" s="1357"/>
      <c r="AA67" s="1357"/>
      <c r="AB67" s="1357"/>
      <c r="AC67" s="1357"/>
      <c r="AD67" s="1357"/>
      <c r="AE67" s="1357"/>
      <c r="AF67" s="1357"/>
      <c r="AG67" s="1357"/>
      <c r="AH67" s="1357"/>
      <c r="AI67" s="1357"/>
      <c r="AJ67" s="1357"/>
      <c r="AK67" s="1357"/>
      <c r="AL67" s="1357"/>
      <c r="AM67" s="1357"/>
      <c r="AN67" s="1357"/>
      <c r="AO67" s="1357"/>
      <c r="AP67" s="1357"/>
      <c r="AQ67" s="1357">
        <v>60400</v>
      </c>
      <c r="AR67" s="1357"/>
      <c r="AS67" s="1357"/>
      <c r="AT67" s="1357"/>
      <c r="AU67" s="1357"/>
      <c r="AV67" s="1357"/>
      <c r="AW67" s="1357"/>
      <c r="AX67" s="1362"/>
    </row>
    <row r="68" spans="1:50" ht="77.25" customHeight="1" x14ac:dyDescent="0.2">
      <c r="A68" s="1174" t="s">
        <v>816</v>
      </c>
      <c r="B68" s="1206" t="s">
        <v>2162</v>
      </c>
      <c r="C68" s="1259" t="s">
        <v>2163</v>
      </c>
      <c r="D68" s="1357"/>
      <c r="E68" s="1357"/>
      <c r="F68" s="1357"/>
      <c r="G68" s="1357"/>
      <c r="H68" s="1357"/>
      <c r="I68" s="1358"/>
      <c r="J68" s="1358"/>
      <c r="K68" s="1358"/>
      <c r="L68" s="1358"/>
      <c r="M68" s="1358"/>
      <c r="N68" s="1359"/>
      <c r="O68" s="1359"/>
      <c r="P68" s="1358"/>
      <c r="Q68" s="1357"/>
      <c r="R68" s="1357"/>
      <c r="S68" s="1357"/>
      <c r="T68" s="1357"/>
      <c r="U68" s="1357"/>
      <c r="V68" s="1357"/>
      <c r="W68" s="1357"/>
      <c r="X68" s="1357"/>
      <c r="Y68" s="1357"/>
      <c r="Z68" s="1357"/>
      <c r="AA68" s="1357">
        <v>-35000000</v>
      </c>
      <c r="AB68" s="1357"/>
      <c r="AC68" s="1357"/>
      <c r="AD68" s="1357"/>
      <c r="AE68" s="1357"/>
      <c r="AF68" s="1357"/>
      <c r="AG68" s="1357"/>
      <c r="AH68" s="1357"/>
      <c r="AI68" s="1357"/>
      <c r="AJ68" s="1357"/>
      <c r="AK68" s="1357"/>
      <c r="AL68" s="1357"/>
      <c r="AM68" s="1357"/>
      <c r="AN68" s="1357"/>
      <c r="AO68" s="1357"/>
      <c r="AP68" s="1357"/>
      <c r="AQ68" s="1357"/>
      <c r="AR68" s="1357"/>
      <c r="AS68" s="1357"/>
      <c r="AT68" s="1357"/>
      <c r="AU68" s="1357"/>
      <c r="AV68" s="1357"/>
      <c r="AW68" s="1357"/>
      <c r="AX68" s="1362"/>
    </row>
    <row r="69" spans="1:50" ht="61.5" customHeight="1" x14ac:dyDescent="0.2">
      <c r="A69" s="1174" t="s">
        <v>817</v>
      </c>
      <c r="B69" s="1206" t="s">
        <v>2164</v>
      </c>
      <c r="C69" s="1259" t="s">
        <v>2165</v>
      </c>
      <c r="D69" s="1357"/>
      <c r="E69" s="1357"/>
      <c r="F69" s="1357"/>
      <c r="G69" s="1357"/>
      <c r="H69" s="1357"/>
      <c r="I69" s="1358"/>
      <c r="J69" s="1358"/>
      <c r="K69" s="1358"/>
      <c r="L69" s="1358"/>
      <c r="M69" s="1358"/>
      <c r="N69" s="1359"/>
      <c r="O69" s="1359"/>
      <c r="P69" s="1358"/>
      <c r="Q69" s="1357"/>
      <c r="R69" s="1357"/>
      <c r="S69" s="1357"/>
      <c r="T69" s="1357"/>
      <c r="U69" s="1357"/>
      <c r="V69" s="1357"/>
      <c r="W69" s="1357"/>
      <c r="X69" s="1357"/>
      <c r="Y69" s="1357"/>
      <c r="Z69" s="1357"/>
      <c r="AA69" s="1357"/>
      <c r="AB69" s="1357"/>
      <c r="AC69" s="1357">
        <v>-400000</v>
      </c>
      <c r="AD69" s="1357"/>
      <c r="AE69" s="1357"/>
      <c r="AF69" s="1357"/>
      <c r="AG69" s="1357"/>
      <c r="AH69" s="1357"/>
      <c r="AI69" s="1357"/>
      <c r="AJ69" s="1357"/>
      <c r="AK69" s="1357"/>
      <c r="AL69" s="1357"/>
      <c r="AM69" s="1357"/>
      <c r="AN69" s="1357"/>
      <c r="AO69" s="1357"/>
      <c r="AP69" s="1357"/>
      <c r="AQ69" s="1357"/>
      <c r="AR69" s="1357"/>
      <c r="AS69" s="1357"/>
      <c r="AT69" s="1357"/>
      <c r="AU69" s="1357"/>
      <c r="AV69" s="1357"/>
      <c r="AW69" s="1357"/>
      <c r="AX69" s="1362"/>
    </row>
    <row r="70" spans="1:50" ht="96" customHeight="1" x14ac:dyDescent="0.2">
      <c r="A70" s="1174" t="s">
        <v>818</v>
      </c>
      <c r="B70" s="1206" t="s">
        <v>2166</v>
      </c>
      <c r="C70" s="1259" t="s">
        <v>2167</v>
      </c>
      <c r="D70" s="1357"/>
      <c r="E70" s="1357"/>
      <c r="F70" s="1357"/>
      <c r="G70" s="1357"/>
      <c r="H70" s="1357"/>
      <c r="I70" s="1358"/>
      <c r="J70" s="1358"/>
      <c r="K70" s="1358"/>
      <c r="L70" s="1358"/>
      <c r="M70" s="1358"/>
      <c r="N70" s="1359"/>
      <c r="O70" s="1359"/>
      <c r="P70" s="1358"/>
      <c r="Q70" s="1357"/>
      <c r="R70" s="1357"/>
      <c r="S70" s="1357"/>
      <c r="T70" s="1357">
        <v>-3390000</v>
      </c>
      <c r="U70" s="1357"/>
      <c r="V70" s="1357"/>
      <c r="W70" s="1357"/>
      <c r="X70" s="1357"/>
      <c r="Y70" s="1357"/>
      <c r="Z70" s="1357"/>
      <c r="AA70" s="1357"/>
      <c r="AB70" s="1357"/>
      <c r="AC70" s="1357"/>
      <c r="AD70" s="1357"/>
      <c r="AE70" s="1357"/>
      <c r="AF70" s="1357"/>
      <c r="AG70" s="1357"/>
      <c r="AH70" s="1357"/>
      <c r="AI70" s="1357"/>
      <c r="AJ70" s="1357"/>
      <c r="AK70" s="1357"/>
      <c r="AL70" s="1357"/>
      <c r="AM70" s="1357"/>
      <c r="AN70" s="1357"/>
      <c r="AO70" s="1357"/>
      <c r="AP70" s="1357"/>
      <c r="AQ70" s="1357"/>
      <c r="AR70" s="1357"/>
      <c r="AS70" s="1357"/>
      <c r="AT70" s="1357"/>
      <c r="AU70" s="1357"/>
      <c r="AV70" s="1357"/>
      <c r="AW70" s="1357"/>
      <c r="AX70" s="1362"/>
    </row>
    <row r="71" spans="1:50" ht="46.5" customHeight="1" x14ac:dyDescent="0.2">
      <c r="A71" s="1174" t="s">
        <v>819</v>
      </c>
      <c r="B71" s="1206" t="s">
        <v>2168</v>
      </c>
      <c r="C71" s="1259" t="s">
        <v>2169</v>
      </c>
      <c r="D71" s="1357"/>
      <c r="E71" s="1357"/>
      <c r="F71" s="1357"/>
      <c r="G71" s="1357"/>
      <c r="H71" s="1357"/>
      <c r="I71" s="1358"/>
      <c r="J71" s="1358"/>
      <c r="K71" s="1358"/>
      <c r="L71" s="1358"/>
      <c r="M71" s="1358"/>
      <c r="N71" s="1359"/>
      <c r="O71" s="1359"/>
      <c r="P71" s="1358"/>
      <c r="Q71" s="1357"/>
      <c r="R71" s="1357"/>
      <c r="S71" s="1357"/>
      <c r="T71" s="1357"/>
      <c r="U71" s="1357"/>
      <c r="V71" s="1357"/>
      <c r="W71" s="1357"/>
      <c r="X71" s="1357"/>
      <c r="Y71" s="1357"/>
      <c r="Z71" s="1357"/>
      <c r="AA71" s="1357"/>
      <c r="AB71" s="1357">
        <v>-3955000</v>
      </c>
      <c r="AC71" s="1357"/>
      <c r="AD71" s="1357"/>
      <c r="AE71" s="1357"/>
      <c r="AF71" s="1357"/>
      <c r="AG71" s="1357"/>
      <c r="AH71" s="1357"/>
      <c r="AI71" s="1357"/>
      <c r="AJ71" s="1357"/>
      <c r="AK71" s="1357"/>
      <c r="AL71" s="1357"/>
      <c r="AM71" s="1357"/>
      <c r="AN71" s="1357"/>
      <c r="AO71" s="1357"/>
      <c r="AP71" s="1357"/>
      <c r="AQ71" s="1357"/>
      <c r="AR71" s="1357"/>
      <c r="AS71" s="1357"/>
      <c r="AT71" s="1357"/>
      <c r="AU71" s="1357"/>
      <c r="AV71" s="1357"/>
      <c r="AW71" s="1357"/>
      <c r="AX71" s="1362"/>
    </row>
    <row r="72" spans="1:50" ht="93.75" customHeight="1" x14ac:dyDescent="0.2">
      <c r="A72" s="1174" t="s">
        <v>820</v>
      </c>
      <c r="B72" s="1206" t="s">
        <v>2170</v>
      </c>
      <c r="C72" s="1259" t="s">
        <v>2171</v>
      </c>
      <c r="D72" s="1357"/>
      <c r="E72" s="1357"/>
      <c r="F72" s="1357"/>
      <c r="G72" s="1357"/>
      <c r="H72" s="1357"/>
      <c r="I72" s="1358"/>
      <c r="J72" s="1358"/>
      <c r="K72" s="1358"/>
      <c r="L72" s="1358"/>
      <c r="M72" s="1358"/>
      <c r="N72" s="1359"/>
      <c r="O72" s="1359"/>
      <c r="P72" s="1358"/>
      <c r="Q72" s="1357"/>
      <c r="R72" s="1357"/>
      <c r="S72" s="1357"/>
      <c r="T72" s="1357"/>
      <c r="U72" s="1357"/>
      <c r="V72" s="1357"/>
      <c r="W72" s="1357"/>
      <c r="X72" s="1357"/>
      <c r="Y72" s="1357"/>
      <c r="Z72" s="1357"/>
      <c r="AA72" s="1357"/>
      <c r="AB72" s="1357">
        <v>-27402500</v>
      </c>
      <c r="AC72" s="1357"/>
      <c r="AD72" s="1357"/>
      <c r="AE72" s="1357"/>
      <c r="AF72" s="1357"/>
      <c r="AG72" s="1357"/>
      <c r="AH72" s="1357"/>
      <c r="AI72" s="1357"/>
      <c r="AJ72" s="1357"/>
      <c r="AK72" s="1357"/>
      <c r="AL72" s="1357"/>
      <c r="AM72" s="1357"/>
      <c r="AN72" s="1357"/>
      <c r="AO72" s="1357"/>
      <c r="AP72" s="1357"/>
      <c r="AQ72" s="1357"/>
      <c r="AR72" s="1357"/>
      <c r="AS72" s="1357"/>
      <c r="AT72" s="1357"/>
      <c r="AU72" s="1357"/>
      <c r="AV72" s="1357"/>
      <c r="AW72" s="1357"/>
      <c r="AX72" s="1362"/>
    </row>
    <row r="73" spans="1:50" ht="66.75" customHeight="1" x14ac:dyDescent="0.2">
      <c r="A73" s="1174" t="s">
        <v>821</v>
      </c>
      <c r="B73" s="1206" t="s">
        <v>2172</v>
      </c>
      <c r="C73" s="1259" t="s">
        <v>2173</v>
      </c>
      <c r="D73" s="1357"/>
      <c r="E73" s="1357"/>
      <c r="F73" s="1357"/>
      <c r="G73" s="1357"/>
      <c r="H73" s="1357"/>
      <c r="I73" s="1358"/>
      <c r="J73" s="1358"/>
      <c r="K73" s="1358"/>
      <c r="L73" s="1358"/>
      <c r="M73" s="1358"/>
      <c r="N73" s="1359"/>
      <c r="O73" s="1359"/>
      <c r="P73" s="1358"/>
      <c r="Q73" s="1357"/>
      <c r="R73" s="1357"/>
      <c r="S73" s="1357"/>
      <c r="T73" s="1357"/>
      <c r="U73" s="1357"/>
      <c r="V73" s="1357"/>
      <c r="W73" s="1357"/>
      <c r="X73" s="1357"/>
      <c r="Y73" s="1357"/>
      <c r="Z73" s="1357"/>
      <c r="AA73" s="1357"/>
      <c r="AB73" s="1357">
        <v>-2293900</v>
      </c>
      <c r="AC73" s="1357"/>
      <c r="AD73" s="1357"/>
      <c r="AE73" s="1357"/>
      <c r="AF73" s="1357"/>
      <c r="AG73" s="1357"/>
      <c r="AH73" s="1357"/>
      <c r="AI73" s="1357"/>
      <c r="AJ73" s="1357"/>
      <c r="AK73" s="1357"/>
      <c r="AL73" s="1357"/>
      <c r="AM73" s="1357"/>
      <c r="AN73" s="1357"/>
      <c r="AO73" s="1357"/>
      <c r="AP73" s="1357"/>
      <c r="AQ73" s="1357"/>
      <c r="AR73" s="1357"/>
      <c r="AS73" s="1357"/>
      <c r="AT73" s="1357"/>
      <c r="AU73" s="1357"/>
      <c r="AV73" s="1357"/>
      <c r="AW73" s="1357"/>
      <c r="AX73" s="1362"/>
    </row>
    <row r="74" spans="1:50" ht="60" customHeight="1" x14ac:dyDescent="0.2">
      <c r="A74" s="1174" t="s">
        <v>829</v>
      </c>
      <c r="B74" s="1206" t="s">
        <v>2184</v>
      </c>
      <c r="C74" s="1259" t="s">
        <v>2185</v>
      </c>
      <c r="D74" s="1357"/>
      <c r="E74" s="1357"/>
      <c r="F74" s="1357"/>
      <c r="G74" s="1357"/>
      <c r="H74" s="1357"/>
      <c r="I74" s="1358"/>
      <c r="J74" s="1358"/>
      <c r="K74" s="1358"/>
      <c r="L74" s="1358"/>
      <c r="M74" s="1358"/>
      <c r="N74" s="1359"/>
      <c r="O74" s="1359"/>
      <c r="P74" s="1358"/>
      <c r="Q74" s="1357"/>
      <c r="R74" s="1357"/>
      <c r="S74" s="1357"/>
      <c r="T74" s="1357"/>
      <c r="U74" s="1357"/>
      <c r="V74" s="1357"/>
      <c r="W74" s="1357"/>
      <c r="X74" s="1357"/>
      <c r="Y74" s="1357"/>
      <c r="Z74" s="1357"/>
      <c r="AA74" s="1357"/>
      <c r="AB74" s="1357"/>
      <c r="AC74" s="1357"/>
      <c r="AD74" s="1357"/>
      <c r="AE74" s="1357"/>
      <c r="AF74" s="1357"/>
      <c r="AG74" s="1357"/>
      <c r="AH74" s="1357"/>
      <c r="AI74" s="1357"/>
      <c r="AJ74" s="1110"/>
      <c r="AK74" s="1110"/>
      <c r="AL74" s="1110">
        <v>-3429000</v>
      </c>
      <c r="AM74" s="1110"/>
      <c r="AN74" s="1110"/>
      <c r="AO74" s="1110"/>
      <c r="AP74" s="1110"/>
      <c r="AQ74" s="1110"/>
      <c r="AR74" s="1110"/>
      <c r="AS74" s="1110"/>
      <c r="AT74" s="1110"/>
      <c r="AU74" s="1110"/>
      <c r="AV74" s="1110"/>
      <c r="AW74" s="1110"/>
      <c r="AX74" s="1111"/>
    </row>
    <row r="75" spans="1:50" ht="41.25" customHeight="1" x14ac:dyDescent="0.2">
      <c r="A75" s="1174" t="s">
        <v>834</v>
      </c>
      <c r="B75" s="1206" t="s">
        <v>2187</v>
      </c>
      <c r="C75" s="754" t="s">
        <v>2188</v>
      </c>
      <c r="D75" s="1357"/>
      <c r="E75" s="1357"/>
      <c r="F75" s="1357"/>
      <c r="G75" s="1357"/>
      <c r="H75" s="1357"/>
      <c r="I75" s="1358"/>
      <c r="J75" s="1358"/>
      <c r="K75" s="1358"/>
      <c r="L75" s="1358"/>
      <c r="M75" s="1358"/>
      <c r="N75" s="1359"/>
      <c r="O75" s="1359"/>
      <c r="P75" s="1358"/>
      <c r="Q75" s="1357">
        <v>-635000</v>
      </c>
      <c r="R75" s="1357"/>
      <c r="S75" s="1357"/>
      <c r="T75" s="1357"/>
      <c r="U75" s="1357"/>
      <c r="V75" s="1357"/>
      <c r="W75" s="1357"/>
      <c r="X75" s="1357"/>
      <c r="Y75" s="1357"/>
      <c r="Z75" s="1357"/>
      <c r="AA75" s="1357"/>
      <c r="AB75" s="1357"/>
      <c r="AC75" s="1357"/>
      <c r="AD75" s="1357"/>
      <c r="AE75" s="1357"/>
      <c r="AF75" s="1357"/>
      <c r="AG75" s="1357"/>
      <c r="AH75" s="1357"/>
      <c r="AI75" s="1357"/>
      <c r="AJ75" s="1110"/>
      <c r="AK75" s="1110"/>
      <c r="AL75" s="1110"/>
      <c r="AM75" s="1110"/>
      <c r="AN75" s="1110"/>
      <c r="AO75" s="1110"/>
      <c r="AP75" s="1110"/>
      <c r="AQ75" s="1110"/>
      <c r="AR75" s="1110"/>
      <c r="AS75" s="1110"/>
      <c r="AT75" s="1110"/>
      <c r="AU75" s="1110"/>
      <c r="AV75" s="1110"/>
      <c r="AW75" s="1110"/>
      <c r="AX75" s="1111"/>
    </row>
    <row r="76" spans="1:50" ht="51.75" customHeight="1" x14ac:dyDescent="0.2">
      <c r="A76" s="1174" t="s">
        <v>837</v>
      </c>
      <c r="B76" s="1206" t="s">
        <v>2193</v>
      </c>
      <c r="C76" s="1259" t="s">
        <v>2194</v>
      </c>
      <c r="D76" s="1357"/>
      <c r="E76" s="1357">
        <v>-5047000</v>
      </c>
      <c r="F76" s="1357"/>
      <c r="G76" s="1357"/>
      <c r="H76" s="1357"/>
      <c r="I76" s="1358"/>
      <c r="J76" s="1358"/>
      <c r="K76" s="1358"/>
      <c r="L76" s="1358"/>
      <c r="M76" s="1358"/>
      <c r="N76" s="1359"/>
      <c r="O76" s="1359"/>
      <c r="P76" s="1358"/>
      <c r="Q76" s="1357"/>
      <c r="R76" s="1357"/>
      <c r="S76" s="1357"/>
      <c r="T76" s="1357"/>
      <c r="U76" s="1357"/>
      <c r="V76" s="1357"/>
      <c r="W76" s="1357"/>
      <c r="X76" s="1357"/>
      <c r="Y76" s="1357"/>
      <c r="Z76" s="1357"/>
      <c r="AA76" s="1357"/>
      <c r="AB76" s="1357"/>
      <c r="AC76" s="1357"/>
      <c r="AD76" s="1357"/>
      <c r="AE76" s="1357"/>
      <c r="AF76" s="1357"/>
      <c r="AG76" s="1357"/>
      <c r="AH76" s="1357"/>
      <c r="AI76" s="1357"/>
      <c r="AJ76" s="1357"/>
      <c r="AK76" s="1357"/>
      <c r="AL76" s="1357"/>
      <c r="AM76" s="1357"/>
      <c r="AN76" s="1357"/>
      <c r="AO76" s="1357"/>
      <c r="AP76" s="1357"/>
      <c r="AQ76" s="1357"/>
      <c r="AR76" s="1357"/>
      <c r="AS76" s="1357"/>
      <c r="AT76" s="1357"/>
      <c r="AU76" s="1357"/>
      <c r="AV76" s="1357"/>
      <c r="AW76" s="1357"/>
      <c r="AX76" s="1362"/>
    </row>
    <row r="77" spans="1:50" ht="36" customHeight="1" x14ac:dyDescent="0.2">
      <c r="A77" s="1174" t="s">
        <v>826</v>
      </c>
      <c r="B77" s="1206" t="s">
        <v>2195</v>
      </c>
      <c r="C77" s="1259" t="s">
        <v>2196</v>
      </c>
      <c r="D77" s="1357"/>
      <c r="E77" s="1357"/>
      <c r="F77" s="1357"/>
      <c r="G77" s="1357"/>
      <c r="H77" s="1357"/>
      <c r="I77" s="1358"/>
      <c r="J77" s="1358"/>
      <c r="K77" s="1358"/>
      <c r="L77" s="1358"/>
      <c r="M77" s="1358"/>
      <c r="N77" s="1359"/>
      <c r="O77" s="1359"/>
      <c r="P77" s="1358"/>
      <c r="Q77" s="1357"/>
      <c r="R77" s="1357"/>
      <c r="S77" s="1357"/>
      <c r="T77" s="1357"/>
      <c r="U77" s="1357"/>
      <c r="V77" s="1357"/>
      <c r="W77" s="1357"/>
      <c r="X77" s="1357"/>
      <c r="Y77" s="1357"/>
      <c r="Z77" s="1357"/>
      <c r="AA77" s="1357"/>
      <c r="AB77" s="1357"/>
      <c r="AC77" s="1357"/>
      <c r="AD77" s="1357"/>
      <c r="AE77" s="1357"/>
      <c r="AF77" s="1357"/>
      <c r="AG77" s="1357"/>
      <c r="AH77" s="1357"/>
      <c r="AI77" s="1357"/>
      <c r="AJ77" s="1357"/>
      <c r="AK77" s="1357">
        <v>-1482802</v>
      </c>
      <c r="AL77" s="1357"/>
      <c r="AM77" s="1357"/>
      <c r="AN77" s="1357"/>
      <c r="AO77" s="1357"/>
      <c r="AP77" s="1357"/>
      <c r="AQ77" s="1357"/>
      <c r="AR77" s="1357"/>
      <c r="AS77" s="1357"/>
      <c r="AT77" s="1357"/>
      <c r="AU77" s="1357"/>
      <c r="AV77" s="1357"/>
      <c r="AW77" s="1357"/>
      <c r="AX77" s="1362"/>
    </row>
    <row r="78" spans="1:50" ht="62.25" customHeight="1" x14ac:dyDescent="0.2">
      <c r="A78" s="1174" t="s">
        <v>824</v>
      </c>
      <c r="B78" s="1206" t="s">
        <v>2199</v>
      </c>
      <c r="C78" s="1259" t="s">
        <v>2209</v>
      </c>
      <c r="D78" s="1357"/>
      <c r="E78" s="1357"/>
      <c r="F78" s="1357"/>
      <c r="G78" s="1357"/>
      <c r="H78" s="1357"/>
      <c r="I78" s="1358"/>
      <c r="J78" s="1358"/>
      <c r="K78" s="1358"/>
      <c r="L78" s="1358"/>
      <c r="M78" s="1358"/>
      <c r="N78" s="1359"/>
      <c r="O78" s="1359"/>
      <c r="P78" s="1358"/>
      <c r="Q78" s="1357">
        <v>-569148</v>
      </c>
      <c r="R78" s="1357"/>
      <c r="S78" s="1357"/>
      <c r="T78" s="1357"/>
      <c r="U78" s="1357"/>
      <c r="V78" s="1357"/>
      <c r="W78" s="1357"/>
      <c r="X78" s="1357"/>
      <c r="Y78" s="1357"/>
      <c r="Z78" s="1357"/>
      <c r="AA78" s="1357"/>
      <c r="AB78" s="1357"/>
      <c r="AC78" s="1357"/>
      <c r="AD78" s="1357"/>
      <c r="AE78" s="1357"/>
      <c r="AF78" s="1357"/>
      <c r="AG78" s="1357"/>
      <c r="AH78" s="1357"/>
      <c r="AI78" s="1357"/>
      <c r="AJ78" s="1357"/>
      <c r="AK78" s="1357"/>
      <c r="AL78" s="1357"/>
      <c r="AM78" s="1357"/>
      <c r="AN78" s="1357"/>
      <c r="AO78" s="1357"/>
      <c r="AP78" s="1357"/>
      <c r="AQ78" s="1357"/>
      <c r="AR78" s="1357"/>
      <c r="AS78" s="1357"/>
      <c r="AT78" s="1357"/>
      <c r="AU78" s="1357"/>
      <c r="AV78" s="1357"/>
      <c r="AW78" s="1357"/>
      <c r="AX78" s="1362"/>
    </row>
    <row r="79" spans="1:50" ht="66.75" customHeight="1" x14ac:dyDescent="0.2">
      <c r="A79" s="1174" t="s">
        <v>839</v>
      </c>
      <c r="B79" s="1206" t="s">
        <v>2203</v>
      </c>
      <c r="C79" s="1259" t="s">
        <v>2210</v>
      </c>
      <c r="D79" s="1357"/>
      <c r="E79" s="1357"/>
      <c r="F79" s="1357"/>
      <c r="G79" s="1357"/>
      <c r="H79" s="1357"/>
      <c r="I79" s="1358"/>
      <c r="J79" s="1358"/>
      <c r="K79" s="1358"/>
      <c r="L79" s="1358"/>
      <c r="M79" s="1358"/>
      <c r="N79" s="1359"/>
      <c r="O79" s="1359"/>
      <c r="P79" s="1358"/>
      <c r="Q79" s="1357">
        <v>-2870200</v>
      </c>
      <c r="R79" s="1357"/>
      <c r="S79" s="1357"/>
      <c r="T79" s="1357"/>
      <c r="U79" s="1357"/>
      <c r="V79" s="1357"/>
      <c r="W79" s="1357"/>
      <c r="X79" s="1357"/>
      <c r="Y79" s="1357"/>
      <c r="Z79" s="1357"/>
      <c r="AA79" s="1357"/>
      <c r="AB79" s="1357"/>
      <c r="AC79" s="1357"/>
      <c r="AD79" s="1357"/>
      <c r="AE79" s="1357"/>
      <c r="AF79" s="1357"/>
      <c r="AG79" s="1357"/>
      <c r="AH79" s="1357"/>
      <c r="AI79" s="1357"/>
      <c r="AJ79" s="1357"/>
      <c r="AK79" s="1357"/>
      <c r="AL79" s="1357"/>
      <c r="AM79" s="1357"/>
      <c r="AN79" s="1357"/>
      <c r="AO79" s="1357"/>
      <c r="AP79" s="1357"/>
      <c r="AQ79" s="1357"/>
      <c r="AR79" s="1357"/>
      <c r="AS79" s="1357"/>
      <c r="AT79" s="1357"/>
      <c r="AU79" s="1357"/>
      <c r="AV79" s="1357"/>
      <c r="AW79" s="1357"/>
      <c r="AX79" s="1362"/>
    </row>
    <row r="80" spans="1:50" ht="63" customHeight="1" x14ac:dyDescent="0.2">
      <c r="A80" s="1174" t="s">
        <v>840</v>
      </c>
      <c r="B80" s="1206" t="s">
        <v>2212</v>
      </c>
      <c r="C80" s="1259" t="s">
        <v>2218</v>
      </c>
      <c r="D80" s="1357"/>
      <c r="E80" s="1357"/>
      <c r="F80" s="1357"/>
      <c r="G80" s="1357"/>
      <c r="H80" s="1357"/>
      <c r="I80" s="1358"/>
      <c r="J80" s="1358"/>
      <c r="K80" s="1358"/>
      <c r="L80" s="1358"/>
      <c r="M80" s="1358"/>
      <c r="N80" s="1359"/>
      <c r="O80" s="1359"/>
      <c r="P80" s="1358"/>
      <c r="Q80" s="1357">
        <v>-1938655</v>
      </c>
      <c r="R80" s="1357"/>
      <c r="S80" s="1357"/>
      <c r="T80" s="1357"/>
      <c r="U80" s="1357"/>
      <c r="V80" s="1357"/>
      <c r="W80" s="1357"/>
      <c r="X80" s="1357"/>
      <c r="Y80" s="1357"/>
      <c r="Z80" s="1357"/>
      <c r="AA80" s="1357"/>
      <c r="AB80" s="1357"/>
      <c r="AC80" s="1357"/>
      <c r="AD80" s="1357"/>
      <c r="AE80" s="1357"/>
      <c r="AF80" s="1357"/>
      <c r="AG80" s="1357"/>
      <c r="AH80" s="1357"/>
      <c r="AI80" s="1357"/>
      <c r="AJ80" s="1357"/>
      <c r="AK80" s="1357"/>
      <c r="AL80" s="1357"/>
      <c r="AM80" s="1357"/>
      <c r="AN80" s="1357"/>
      <c r="AO80" s="1357"/>
      <c r="AP80" s="1357"/>
      <c r="AQ80" s="1357"/>
      <c r="AR80" s="1357"/>
      <c r="AS80" s="1357"/>
      <c r="AT80" s="1357"/>
      <c r="AU80" s="1357"/>
      <c r="AV80" s="1357"/>
      <c r="AW80" s="1357"/>
      <c r="AX80" s="1362"/>
    </row>
    <row r="81" spans="1:50" ht="48.75" customHeight="1" x14ac:dyDescent="0.2">
      <c r="A81" s="1174" t="s">
        <v>1314</v>
      </c>
      <c r="B81" s="1206" t="s">
        <v>2213</v>
      </c>
      <c r="C81" s="1259" t="s">
        <v>2214</v>
      </c>
      <c r="D81" s="1357"/>
      <c r="E81" s="1357"/>
      <c r="F81" s="1357"/>
      <c r="G81" s="1357"/>
      <c r="H81" s="1357"/>
      <c r="I81" s="1358"/>
      <c r="J81" s="1358"/>
      <c r="K81" s="1358"/>
      <c r="L81" s="1358"/>
      <c r="M81" s="1358"/>
      <c r="N81" s="1359"/>
      <c r="O81" s="1359"/>
      <c r="P81" s="1358"/>
      <c r="Q81" s="1357">
        <v>-190500</v>
      </c>
      <c r="R81" s="1357"/>
      <c r="S81" s="1357"/>
      <c r="T81" s="1357"/>
      <c r="U81" s="1357"/>
      <c r="V81" s="1357"/>
      <c r="W81" s="1357"/>
      <c r="X81" s="1357"/>
      <c r="Y81" s="1357"/>
      <c r="Z81" s="1357"/>
      <c r="AA81" s="1357"/>
      <c r="AB81" s="1357"/>
      <c r="AC81" s="1357"/>
      <c r="AD81" s="1357"/>
      <c r="AE81" s="1357"/>
      <c r="AF81" s="1357"/>
      <c r="AG81" s="1357"/>
      <c r="AH81" s="1357"/>
      <c r="AI81" s="1357"/>
      <c r="AJ81" s="1357"/>
      <c r="AK81" s="1357"/>
      <c r="AL81" s="1357"/>
      <c r="AM81" s="1357"/>
      <c r="AN81" s="1357"/>
      <c r="AO81" s="1357"/>
      <c r="AP81" s="1357"/>
      <c r="AQ81" s="1357"/>
      <c r="AR81" s="1357"/>
      <c r="AS81" s="1357"/>
      <c r="AT81" s="1357"/>
      <c r="AU81" s="1357"/>
      <c r="AV81" s="1357"/>
      <c r="AW81" s="1357"/>
      <c r="AX81" s="1362"/>
    </row>
    <row r="82" spans="1:50" ht="52.5" customHeight="1" x14ac:dyDescent="0.2">
      <c r="A82" s="1174" t="s">
        <v>1320</v>
      </c>
      <c r="B82" s="1206" t="s">
        <v>2215</v>
      </c>
      <c r="C82" s="1259" t="s">
        <v>2236</v>
      </c>
      <c r="D82" s="1357"/>
      <c r="E82" s="1357"/>
      <c r="F82" s="1357"/>
      <c r="G82" s="1357"/>
      <c r="H82" s="1357"/>
      <c r="I82" s="1358"/>
      <c r="J82" s="1358"/>
      <c r="K82" s="1358"/>
      <c r="L82" s="1358"/>
      <c r="M82" s="1358"/>
      <c r="N82" s="1359"/>
      <c r="O82" s="1359"/>
      <c r="P82" s="1358"/>
      <c r="Q82" s="1357">
        <v>-50800</v>
      </c>
      <c r="R82" s="1357"/>
      <c r="S82" s="1357"/>
      <c r="T82" s="1357"/>
      <c r="U82" s="1357"/>
      <c r="V82" s="1357"/>
      <c r="W82" s="1357"/>
      <c r="X82" s="1357"/>
      <c r="Y82" s="1357"/>
      <c r="Z82" s="1357"/>
      <c r="AA82" s="1357"/>
      <c r="AB82" s="1357"/>
      <c r="AC82" s="1357"/>
      <c r="AD82" s="1357"/>
      <c r="AE82" s="1357"/>
      <c r="AF82" s="1357"/>
      <c r="AG82" s="1357"/>
      <c r="AH82" s="1357"/>
      <c r="AI82" s="1357"/>
      <c r="AJ82" s="1357"/>
      <c r="AK82" s="1357"/>
      <c r="AL82" s="1357"/>
      <c r="AM82" s="1357"/>
      <c r="AN82" s="1357"/>
      <c r="AO82" s="1357"/>
      <c r="AP82" s="1357"/>
      <c r="AQ82" s="1357"/>
      <c r="AR82" s="1357"/>
      <c r="AS82" s="1357"/>
      <c r="AT82" s="1357"/>
      <c r="AU82" s="1357"/>
      <c r="AV82" s="1357"/>
      <c r="AW82" s="1357"/>
      <c r="AX82" s="1362"/>
    </row>
    <row r="83" spans="1:50" ht="49.5" customHeight="1" x14ac:dyDescent="0.2">
      <c r="A83" s="1174" t="s">
        <v>1321</v>
      </c>
      <c r="B83" s="1206" t="s">
        <v>2216</v>
      </c>
      <c r="C83" s="1259" t="s">
        <v>2217</v>
      </c>
      <c r="D83" s="1357"/>
      <c r="E83" s="1357"/>
      <c r="F83" s="1357"/>
      <c r="G83" s="1357"/>
      <c r="H83" s="1357"/>
      <c r="I83" s="1358"/>
      <c r="J83" s="1358"/>
      <c r="K83" s="1358"/>
      <c r="L83" s="1358"/>
      <c r="M83" s="1358"/>
      <c r="N83" s="1359"/>
      <c r="O83" s="1359"/>
      <c r="P83" s="1358"/>
      <c r="Q83" s="1357">
        <v>-2297748</v>
      </c>
      <c r="R83" s="1357"/>
      <c r="S83" s="1357"/>
      <c r="T83" s="1357"/>
      <c r="U83" s="1357"/>
      <c r="V83" s="1357"/>
      <c r="W83" s="1357"/>
      <c r="X83" s="1357"/>
      <c r="Y83" s="1357"/>
      <c r="Z83" s="1357"/>
      <c r="AA83" s="1357"/>
      <c r="AB83" s="1357"/>
      <c r="AC83" s="1357"/>
      <c r="AD83" s="1357"/>
      <c r="AE83" s="1357"/>
      <c r="AF83" s="1357"/>
      <c r="AG83" s="1357"/>
      <c r="AH83" s="1357"/>
      <c r="AI83" s="1357"/>
      <c r="AJ83" s="1357"/>
      <c r="AK83" s="1357"/>
      <c r="AL83" s="1357"/>
      <c r="AM83" s="1357"/>
      <c r="AN83" s="1357"/>
      <c r="AO83" s="1357"/>
      <c r="AP83" s="1357"/>
      <c r="AQ83" s="1357"/>
      <c r="AR83" s="1357"/>
      <c r="AS83" s="1357"/>
      <c r="AT83" s="1357"/>
      <c r="AU83" s="1357"/>
      <c r="AV83" s="1357"/>
      <c r="AW83" s="1357"/>
      <c r="AX83" s="1362"/>
    </row>
    <row r="84" spans="1:50" ht="65.25" customHeight="1" x14ac:dyDescent="0.2">
      <c r="A84" s="1174" t="s">
        <v>1324</v>
      </c>
      <c r="B84" s="1206" t="s">
        <v>2219</v>
      </c>
      <c r="C84" s="1259" t="s">
        <v>2220</v>
      </c>
      <c r="D84" s="1357"/>
      <c r="E84" s="1357"/>
      <c r="F84" s="1357"/>
      <c r="G84" s="1357"/>
      <c r="H84" s="1357"/>
      <c r="I84" s="1358"/>
      <c r="J84" s="1358"/>
      <c r="K84" s="1358"/>
      <c r="L84" s="1358"/>
      <c r="M84" s="1358"/>
      <c r="N84" s="1359"/>
      <c r="O84" s="1359"/>
      <c r="P84" s="1358"/>
      <c r="Q84" s="1357">
        <v>-406400</v>
      </c>
      <c r="R84" s="1357"/>
      <c r="S84" s="1357"/>
      <c r="T84" s="1357"/>
      <c r="U84" s="1357"/>
      <c r="V84" s="1357"/>
      <c r="W84" s="1357"/>
      <c r="X84" s="1357"/>
      <c r="Y84" s="1357"/>
      <c r="Z84" s="1357"/>
      <c r="AA84" s="1357"/>
      <c r="AB84" s="1357"/>
      <c r="AC84" s="1357"/>
      <c r="AD84" s="1357"/>
      <c r="AE84" s="1357"/>
      <c r="AF84" s="1357"/>
      <c r="AG84" s="1357"/>
      <c r="AH84" s="1357"/>
      <c r="AI84" s="1357"/>
      <c r="AJ84" s="1357"/>
      <c r="AK84" s="1357"/>
      <c r="AL84" s="1357"/>
      <c r="AM84" s="1357"/>
      <c r="AN84" s="1357"/>
      <c r="AO84" s="1357"/>
      <c r="AP84" s="1357"/>
      <c r="AQ84" s="1357"/>
      <c r="AR84" s="1357"/>
      <c r="AS84" s="1357"/>
      <c r="AT84" s="1357"/>
      <c r="AU84" s="1357"/>
      <c r="AV84" s="1357"/>
      <c r="AW84" s="1357"/>
      <c r="AX84" s="1362"/>
    </row>
    <row r="85" spans="1:50" ht="50.25" customHeight="1" x14ac:dyDescent="0.2">
      <c r="A85" s="1174" t="s">
        <v>1329</v>
      </c>
      <c r="B85" s="1206" t="s">
        <v>2221</v>
      </c>
      <c r="C85" s="1259" t="s">
        <v>2222</v>
      </c>
      <c r="D85" s="1357"/>
      <c r="E85" s="1357"/>
      <c r="F85" s="1357"/>
      <c r="G85" s="1357"/>
      <c r="H85" s="1357"/>
      <c r="I85" s="1358"/>
      <c r="J85" s="1358"/>
      <c r="K85" s="1358"/>
      <c r="L85" s="1358"/>
      <c r="M85" s="1358"/>
      <c r="N85" s="1359"/>
      <c r="O85" s="1359"/>
      <c r="P85" s="1358"/>
      <c r="Q85" s="1357"/>
      <c r="R85" s="1357"/>
      <c r="S85" s="1357"/>
      <c r="T85" s="1357"/>
      <c r="U85" s="1357"/>
      <c r="V85" s="1357"/>
      <c r="W85" s="1357"/>
      <c r="X85" s="1357"/>
      <c r="Y85" s="1357"/>
      <c r="Z85" s="1357"/>
      <c r="AA85" s="1357"/>
      <c r="AB85" s="1357"/>
      <c r="AC85" s="1357"/>
      <c r="AD85" s="1357"/>
      <c r="AE85" s="1357"/>
      <c r="AF85" s="1357"/>
      <c r="AG85" s="1357"/>
      <c r="AH85" s="1357"/>
      <c r="AI85" s="1357"/>
      <c r="AJ85" s="1357"/>
      <c r="AK85" s="1357"/>
      <c r="AL85" s="1357"/>
      <c r="AM85" s="1357"/>
      <c r="AN85" s="1357"/>
      <c r="AO85" s="1357"/>
      <c r="AP85" s="1357"/>
      <c r="AQ85" s="1357">
        <v>353060</v>
      </c>
      <c r="AR85" s="1357"/>
      <c r="AS85" s="1357"/>
      <c r="AT85" s="1357"/>
      <c r="AU85" s="1357"/>
      <c r="AV85" s="1357"/>
      <c r="AW85" s="1357"/>
      <c r="AX85" s="1362"/>
    </row>
    <row r="86" spans="1:50" ht="43.5" customHeight="1" x14ac:dyDescent="0.2">
      <c r="A86" s="1174" t="s">
        <v>1342</v>
      </c>
      <c r="B86" s="1206" t="s">
        <v>2229</v>
      </c>
      <c r="C86" s="754" t="s">
        <v>2230</v>
      </c>
      <c r="D86" s="1357"/>
      <c r="E86" s="1357"/>
      <c r="F86" s="1357"/>
      <c r="G86" s="1357"/>
      <c r="H86" s="1357"/>
      <c r="I86" s="1358"/>
      <c r="J86" s="1358"/>
      <c r="K86" s="1358"/>
      <c r="L86" s="1358"/>
      <c r="M86" s="1358"/>
      <c r="N86" s="1359"/>
      <c r="O86" s="1359"/>
      <c r="P86" s="1358"/>
      <c r="Q86" s="1357"/>
      <c r="R86" s="1357"/>
      <c r="S86" s="1357"/>
      <c r="T86" s="1357"/>
      <c r="U86" s="1357"/>
      <c r="V86" s="1357"/>
      <c r="W86" s="1357"/>
      <c r="X86" s="1357"/>
      <c r="Y86" s="1357">
        <v>-169661</v>
      </c>
      <c r="Z86" s="1357"/>
      <c r="AA86" s="1357"/>
      <c r="AB86" s="1357"/>
      <c r="AC86" s="1357"/>
      <c r="AD86" s="1357"/>
      <c r="AE86" s="1357"/>
      <c r="AF86" s="1357"/>
      <c r="AG86" s="1357"/>
      <c r="AH86" s="1357"/>
      <c r="AI86" s="1357"/>
      <c r="AJ86" s="1357"/>
      <c r="AK86" s="1357"/>
      <c r="AL86" s="1357"/>
      <c r="AM86" s="1357"/>
      <c r="AN86" s="1357"/>
      <c r="AO86" s="1357"/>
      <c r="AP86" s="1357"/>
      <c r="AQ86" s="1357"/>
      <c r="AR86" s="1357"/>
      <c r="AS86" s="1357"/>
      <c r="AT86" s="1357"/>
      <c r="AU86" s="1357"/>
      <c r="AV86" s="1357"/>
      <c r="AW86" s="1357"/>
      <c r="AX86" s="1362"/>
    </row>
    <row r="87" spans="1:50" ht="33" customHeight="1" x14ac:dyDescent="0.2">
      <c r="A87" s="1174" t="s">
        <v>1345</v>
      </c>
      <c r="B87" s="1206" t="s">
        <v>2253</v>
      </c>
      <c r="C87" s="754" t="s">
        <v>2254</v>
      </c>
      <c r="D87" s="1357"/>
      <c r="E87" s="1357"/>
      <c r="F87" s="1357"/>
      <c r="G87" s="1357"/>
      <c r="H87" s="1357"/>
      <c r="I87" s="1358"/>
      <c r="J87" s="1358"/>
      <c r="K87" s="1358"/>
      <c r="L87" s="1358"/>
      <c r="M87" s="1358"/>
      <c r="N87" s="1359"/>
      <c r="O87" s="1359"/>
      <c r="P87" s="1358"/>
      <c r="Q87" s="1357"/>
      <c r="R87" s="1357"/>
      <c r="S87" s="1357"/>
      <c r="T87" s="1357"/>
      <c r="U87" s="1357"/>
      <c r="V87" s="1357"/>
      <c r="W87" s="1357"/>
      <c r="X87" s="1357"/>
      <c r="Y87" s="1357"/>
      <c r="Z87" s="1357"/>
      <c r="AA87" s="1357"/>
      <c r="AB87" s="1357"/>
      <c r="AC87" s="1357"/>
      <c r="AD87" s="1357"/>
      <c r="AE87" s="1357"/>
      <c r="AF87" s="1357"/>
      <c r="AG87" s="1357">
        <v>-6584950</v>
      </c>
      <c r="AH87" s="1357"/>
      <c r="AI87" s="1357"/>
      <c r="AJ87" s="1357"/>
      <c r="AK87" s="1357"/>
      <c r="AL87" s="1357"/>
      <c r="AM87" s="1357"/>
      <c r="AN87" s="1357"/>
      <c r="AO87" s="1357"/>
      <c r="AP87" s="1357"/>
      <c r="AQ87" s="1357"/>
      <c r="AR87" s="1357"/>
      <c r="AS87" s="1357"/>
      <c r="AT87" s="1357"/>
      <c r="AU87" s="1357"/>
      <c r="AV87" s="1357"/>
      <c r="AW87" s="1357"/>
      <c r="AX87" s="1362"/>
    </row>
    <row r="88" spans="1:50" ht="63.75" customHeight="1" x14ac:dyDescent="0.2">
      <c r="A88" s="1174" t="s">
        <v>1956</v>
      </c>
      <c r="B88" s="1206" t="s">
        <v>2267</v>
      </c>
      <c r="C88" s="1259" t="s">
        <v>2268</v>
      </c>
      <c r="D88" s="1357"/>
      <c r="E88" s="1357"/>
      <c r="F88" s="1357"/>
      <c r="G88" s="1357"/>
      <c r="H88" s="1357"/>
      <c r="I88" s="1358"/>
      <c r="J88" s="1358"/>
      <c r="K88" s="1358"/>
      <c r="L88" s="1358"/>
      <c r="M88" s="1358"/>
      <c r="N88" s="1359"/>
      <c r="O88" s="1359"/>
      <c r="P88" s="1358"/>
      <c r="Q88" s="1357">
        <v>-3175000</v>
      </c>
      <c r="R88" s="1357"/>
      <c r="S88" s="1357"/>
      <c r="T88" s="1357"/>
      <c r="U88" s="1357"/>
      <c r="V88" s="1357"/>
      <c r="W88" s="1357"/>
      <c r="X88" s="1357"/>
      <c r="Y88" s="1357"/>
      <c r="Z88" s="1357"/>
      <c r="AA88" s="1357"/>
      <c r="AB88" s="1357"/>
      <c r="AC88" s="1357"/>
      <c r="AD88" s="1357"/>
      <c r="AE88" s="1357"/>
      <c r="AF88" s="1357"/>
      <c r="AG88" s="1357"/>
      <c r="AH88" s="1357"/>
      <c r="AI88" s="1357"/>
      <c r="AJ88" s="1357"/>
      <c r="AK88" s="1357"/>
      <c r="AL88" s="1357"/>
      <c r="AM88" s="1357"/>
      <c r="AN88" s="1357"/>
      <c r="AO88" s="1357"/>
      <c r="AP88" s="1357"/>
      <c r="AQ88" s="1357"/>
      <c r="AR88" s="1357"/>
      <c r="AS88" s="1357"/>
      <c r="AT88" s="1357"/>
      <c r="AU88" s="1357"/>
      <c r="AV88" s="1357"/>
      <c r="AW88" s="1357"/>
      <c r="AX88" s="1362"/>
    </row>
    <row r="89" spans="1:50" ht="62.25" customHeight="1" x14ac:dyDescent="0.2">
      <c r="A89" s="1174" t="s">
        <v>1959</v>
      </c>
      <c r="B89" s="1206" t="s">
        <v>2269</v>
      </c>
      <c r="C89" s="1259" t="s">
        <v>2270</v>
      </c>
      <c r="D89" s="1357"/>
      <c r="E89" s="1357"/>
      <c r="F89" s="1357"/>
      <c r="G89" s="1357"/>
      <c r="H89" s="1357"/>
      <c r="I89" s="1358"/>
      <c r="J89" s="1358"/>
      <c r="K89" s="1358"/>
      <c r="L89" s="1358"/>
      <c r="M89" s="1358"/>
      <c r="N89" s="1359"/>
      <c r="O89" s="1359"/>
      <c r="P89" s="1358"/>
      <c r="Q89" s="1357">
        <v>-477520</v>
      </c>
      <c r="R89" s="1357"/>
      <c r="S89" s="1357"/>
      <c r="T89" s="1357"/>
      <c r="U89" s="1357"/>
      <c r="V89" s="1357"/>
      <c r="W89" s="1357"/>
      <c r="X89" s="1357"/>
      <c r="Y89" s="1357"/>
      <c r="Z89" s="1357"/>
      <c r="AA89" s="1357"/>
      <c r="AB89" s="1357"/>
      <c r="AC89" s="1357"/>
      <c r="AD89" s="1357"/>
      <c r="AE89" s="1357"/>
      <c r="AF89" s="1357"/>
      <c r="AG89" s="1357"/>
      <c r="AH89" s="1357"/>
      <c r="AI89" s="1357"/>
      <c r="AJ89" s="1357"/>
      <c r="AK89" s="1357"/>
      <c r="AL89" s="1357"/>
      <c r="AM89" s="1357"/>
      <c r="AN89" s="1357"/>
      <c r="AO89" s="1357"/>
      <c r="AP89" s="1357"/>
      <c r="AQ89" s="1357"/>
      <c r="AR89" s="1357"/>
      <c r="AS89" s="1357"/>
      <c r="AT89" s="1357"/>
      <c r="AU89" s="1357"/>
      <c r="AV89" s="1357"/>
      <c r="AW89" s="1357"/>
      <c r="AX89" s="1362"/>
    </row>
    <row r="90" spans="1:50" ht="63.75" customHeight="1" x14ac:dyDescent="0.2">
      <c r="A90" s="1174" t="s">
        <v>1960</v>
      </c>
      <c r="B90" s="1206" t="s">
        <v>2273</v>
      </c>
      <c r="C90" s="1259" t="s">
        <v>2270</v>
      </c>
      <c r="D90" s="1357"/>
      <c r="E90" s="1357"/>
      <c r="F90" s="1357"/>
      <c r="G90" s="1357"/>
      <c r="H90" s="1357"/>
      <c r="I90" s="1358"/>
      <c r="J90" s="1358"/>
      <c r="K90" s="1358"/>
      <c r="L90" s="1358"/>
      <c r="M90" s="1358"/>
      <c r="N90" s="1359"/>
      <c r="O90" s="1359"/>
      <c r="P90" s="1358"/>
      <c r="Q90" s="1357">
        <v>-88545</v>
      </c>
      <c r="R90" s="1357"/>
      <c r="S90" s="1357"/>
      <c r="T90" s="1357"/>
      <c r="U90" s="1357"/>
      <c r="V90" s="1357"/>
      <c r="W90" s="1357"/>
      <c r="X90" s="1357"/>
      <c r="Y90" s="1357"/>
      <c r="Z90" s="1357"/>
      <c r="AA90" s="1357"/>
      <c r="AB90" s="1357"/>
      <c r="AC90" s="1357"/>
      <c r="AD90" s="1357"/>
      <c r="AE90" s="1357"/>
      <c r="AF90" s="1357"/>
      <c r="AG90" s="1357"/>
      <c r="AH90" s="1357"/>
      <c r="AI90" s="1357"/>
      <c r="AJ90" s="1357"/>
      <c r="AK90" s="1357"/>
      <c r="AL90" s="1357"/>
      <c r="AM90" s="1357"/>
      <c r="AN90" s="1357"/>
      <c r="AO90" s="1357"/>
      <c r="AP90" s="1357"/>
      <c r="AQ90" s="1357"/>
      <c r="AR90" s="1357"/>
      <c r="AS90" s="1357"/>
      <c r="AT90" s="1357"/>
      <c r="AU90" s="1357"/>
      <c r="AV90" s="1357"/>
      <c r="AW90" s="1357"/>
      <c r="AX90" s="1362"/>
    </row>
    <row r="91" spans="1:50" ht="36" customHeight="1" x14ac:dyDescent="0.2">
      <c r="A91" s="1174" t="s">
        <v>1961</v>
      </c>
      <c r="B91" s="1206" t="s">
        <v>2274</v>
      </c>
      <c r="C91" s="1259" t="s">
        <v>2275</v>
      </c>
      <c r="D91" s="1357"/>
      <c r="E91" s="1357"/>
      <c r="F91" s="1357"/>
      <c r="G91" s="1357"/>
      <c r="H91" s="1357"/>
      <c r="I91" s="1358"/>
      <c r="J91" s="1358"/>
      <c r="K91" s="1358"/>
      <c r="L91" s="1358"/>
      <c r="M91" s="1358"/>
      <c r="N91" s="1359"/>
      <c r="O91" s="1359"/>
      <c r="P91" s="1358"/>
      <c r="Q91" s="1357"/>
      <c r="R91" s="1357"/>
      <c r="S91" s="1357"/>
      <c r="T91" s="1357"/>
      <c r="U91" s="1357"/>
      <c r="V91" s="1357"/>
      <c r="W91" s="1357"/>
      <c r="X91" s="1357"/>
      <c r="Y91" s="1357"/>
      <c r="Z91" s="1357"/>
      <c r="AA91" s="1357"/>
      <c r="AB91" s="1357"/>
      <c r="AC91" s="1357"/>
      <c r="AD91" s="1357"/>
      <c r="AE91" s="1357"/>
      <c r="AF91" s="1357"/>
      <c r="AG91" s="1357"/>
      <c r="AH91" s="1357"/>
      <c r="AI91" s="1357"/>
      <c r="AJ91" s="1357"/>
      <c r="AK91" s="1357"/>
      <c r="AL91" s="1357">
        <v>-10000000</v>
      </c>
      <c r="AM91" s="1357"/>
      <c r="AN91" s="1357"/>
      <c r="AO91" s="1357"/>
      <c r="AP91" s="1357"/>
      <c r="AQ91" s="1357"/>
      <c r="AR91" s="1357"/>
      <c r="AS91" s="1357"/>
      <c r="AT91" s="1357"/>
      <c r="AU91" s="1357"/>
      <c r="AV91" s="1357"/>
      <c r="AW91" s="1357"/>
      <c r="AX91" s="1362"/>
    </row>
    <row r="92" spans="1:50" ht="50.25" customHeight="1" x14ac:dyDescent="0.2">
      <c r="A92" s="1174" t="s">
        <v>1962</v>
      </c>
      <c r="B92" s="1206" t="s">
        <v>2277</v>
      </c>
      <c r="C92" s="1259" t="s">
        <v>2278</v>
      </c>
      <c r="D92" s="1357"/>
      <c r="E92" s="1357"/>
      <c r="F92" s="1357"/>
      <c r="G92" s="1357"/>
      <c r="H92" s="1357"/>
      <c r="I92" s="1358"/>
      <c r="J92" s="1358"/>
      <c r="K92" s="1358"/>
      <c r="L92" s="1358"/>
      <c r="M92" s="1358"/>
      <c r="N92" s="1359"/>
      <c r="O92" s="1359"/>
      <c r="P92" s="1358"/>
      <c r="Q92" s="1357"/>
      <c r="R92" s="1357"/>
      <c r="S92" s="1357"/>
      <c r="T92" s="1357"/>
      <c r="U92" s="1357"/>
      <c r="V92" s="1357"/>
      <c r="W92" s="1357"/>
      <c r="X92" s="1357"/>
      <c r="Y92" s="1357"/>
      <c r="Z92" s="1357"/>
      <c r="AA92" s="1357"/>
      <c r="AB92" s="1357"/>
      <c r="AC92" s="1357"/>
      <c r="AD92" s="1357"/>
      <c r="AE92" s="1357"/>
      <c r="AF92" s="1357"/>
      <c r="AG92" s="1357">
        <v>-6506509</v>
      </c>
      <c r="AH92" s="1357"/>
      <c r="AI92" s="1357"/>
      <c r="AJ92" s="1357"/>
      <c r="AK92" s="1357"/>
      <c r="AL92" s="1357"/>
      <c r="AM92" s="1357"/>
      <c r="AN92" s="1357"/>
      <c r="AO92" s="1357"/>
      <c r="AP92" s="1357"/>
      <c r="AQ92" s="1357"/>
      <c r="AR92" s="1357"/>
      <c r="AS92" s="1357"/>
      <c r="AT92" s="1357"/>
      <c r="AU92" s="1357"/>
      <c r="AV92" s="1357"/>
      <c r="AW92" s="1357"/>
      <c r="AX92" s="1362"/>
    </row>
    <row r="93" spans="1:50" ht="124.5" customHeight="1" x14ac:dyDescent="0.2">
      <c r="A93" s="1174" t="s">
        <v>1963</v>
      </c>
      <c r="B93" s="1206" t="s">
        <v>2279</v>
      </c>
      <c r="C93" s="1259" t="s">
        <v>2280</v>
      </c>
      <c r="D93" s="1357"/>
      <c r="E93" s="1357"/>
      <c r="F93" s="1357"/>
      <c r="G93" s="1357"/>
      <c r="H93" s="1357"/>
      <c r="I93" s="1358"/>
      <c r="J93" s="1358"/>
      <c r="K93" s="1358"/>
      <c r="L93" s="1358"/>
      <c r="M93" s="1358"/>
      <c r="N93" s="1359"/>
      <c r="O93" s="1359"/>
      <c r="P93" s="1358"/>
      <c r="Q93" s="1357"/>
      <c r="R93" s="1357"/>
      <c r="S93" s="1357"/>
      <c r="T93" s="1357"/>
      <c r="U93" s="1357"/>
      <c r="V93" s="1357"/>
      <c r="W93" s="1357"/>
      <c r="X93" s="1357"/>
      <c r="Y93" s="1357"/>
      <c r="Z93" s="1357"/>
      <c r="AA93" s="1357"/>
      <c r="AB93" s="1357"/>
      <c r="AC93" s="1357"/>
      <c r="AD93" s="1357"/>
      <c r="AE93" s="1357"/>
      <c r="AF93" s="1357"/>
      <c r="AG93" s="1357"/>
      <c r="AH93" s="1357"/>
      <c r="AI93" s="1357"/>
      <c r="AJ93" s="1357">
        <v>-500000</v>
      </c>
      <c r="AK93" s="1357"/>
      <c r="AL93" s="1357"/>
      <c r="AM93" s="1357"/>
      <c r="AN93" s="1357"/>
      <c r="AO93" s="1357"/>
      <c r="AP93" s="1357"/>
      <c r="AQ93" s="1357"/>
      <c r="AR93" s="1357"/>
      <c r="AS93" s="1357"/>
      <c r="AT93" s="1357"/>
      <c r="AU93" s="1357"/>
      <c r="AV93" s="1357"/>
      <c r="AW93" s="1357"/>
      <c r="AX93" s="1362"/>
    </row>
    <row r="94" spans="1:50" ht="63" customHeight="1" x14ac:dyDescent="0.2">
      <c r="A94" s="1174" t="s">
        <v>2041</v>
      </c>
      <c r="B94" s="1206" t="s">
        <v>2292</v>
      </c>
      <c r="C94" s="1259" t="s">
        <v>2293</v>
      </c>
      <c r="D94" s="1357"/>
      <c r="E94" s="1357"/>
      <c r="F94" s="1357"/>
      <c r="G94" s="1357"/>
      <c r="H94" s="1357"/>
      <c r="I94" s="1358"/>
      <c r="J94" s="1358"/>
      <c r="K94" s="1358"/>
      <c r="L94" s="1358"/>
      <c r="M94" s="1358"/>
      <c r="N94" s="1359"/>
      <c r="O94" s="1359"/>
      <c r="P94" s="1358"/>
      <c r="Q94" s="1357">
        <v>-1066419</v>
      </c>
      <c r="R94" s="1357"/>
      <c r="S94" s="1357"/>
      <c r="T94" s="1357"/>
      <c r="U94" s="1357"/>
      <c r="V94" s="1357"/>
      <c r="W94" s="1357"/>
      <c r="X94" s="1357"/>
      <c r="Y94" s="1357"/>
      <c r="Z94" s="1357"/>
      <c r="AA94" s="1357"/>
      <c r="AB94" s="1357"/>
      <c r="AC94" s="1357"/>
      <c r="AD94" s="1357"/>
      <c r="AE94" s="1357"/>
      <c r="AF94" s="1357"/>
      <c r="AG94" s="1357"/>
      <c r="AH94" s="1357"/>
      <c r="AI94" s="1357"/>
      <c r="AJ94" s="1357"/>
      <c r="AK94" s="1357"/>
      <c r="AL94" s="1357"/>
      <c r="AM94" s="1357"/>
      <c r="AN94" s="1357"/>
      <c r="AO94" s="1357"/>
      <c r="AP94" s="1357"/>
      <c r="AQ94" s="1357"/>
      <c r="AR94" s="1357"/>
      <c r="AS94" s="1357"/>
      <c r="AT94" s="1357"/>
      <c r="AU94" s="1357"/>
      <c r="AV94" s="1357"/>
      <c r="AW94" s="1357"/>
      <c r="AX94" s="1362"/>
    </row>
    <row r="95" spans="1:50" ht="75.75" customHeight="1" x14ac:dyDescent="0.2">
      <c r="A95" s="1174" t="s">
        <v>2296</v>
      </c>
      <c r="B95" s="1206" t="s">
        <v>2297</v>
      </c>
      <c r="C95" s="1259" t="s">
        <v>2298</v>
      </c>
      <c r="D95" s="1357"/>
      <c r="E95" s="1357"/>
      <c r="F95" s="1357"/>
      <c r="G95" s="1357"/>
      <c r="H95" s="1357"/>
      <c r="I95" s="1358"/>
      <c r="J95" s="1358"/>
      <c r="K95" s="1358"/>
      <c r="L95" s="1358"/>
      <c r="M95" s="1358"/>
      <c r="N95" s="1359"/>
      <c r="O95" s="1359"/>
      <c r="P95" s="1358"/>
      <c r="Q95" s="1357">
        <v>-281108</v>
      </c>
      <c r="R95" s="1357"/>
      <c r="S95" s="1357"/>
      <c r="T95" s="1357"/>
      <c r="U95" s="1357"/>
      <c r="V95" s="1357"/>
      <c r="W95" s="1357"/>
      <c r="X95" s="1357"/>
      <c r="Y95" s="1357"/>
      <c r="Z95" s="1357"/>
      <c r="AA95" s="1357"/>
      <c r="AB95" s="1357"/>
      <c r="AC95" s="1357"/>
      <c r="AD95" s="1357"/>
      <c r="AE95" s="1357"/>
      <c r="AF95" s="1357"/>
      <c r="AG95" s="1357"/>
      <c r="AH95" s="1357"/>
      <c r="AI95" s="1357"/>
      <c r="AJ95" s="1357"/>
      <c r="AK95" s="1357"/>
      <c r="AL95" s="1357"/>
      <c r="AM95" s="1357"/>
      <c r="AN95" s="1357"/>
      <c r="AO95" s="1357"/>
      <c r="AP95" s="1357"/>
      <c r="AQ95" s="1357"/>
      <c r="AR95" s="1357"/>
      <c r="AS95" s="1357"/>
      <c r="AT95" s="1357"/>
      <c r="AU95" s="1357"/>
      <c r="AV95" s="1357"/>
      <c r="AW95" s="1357"/>
      <c r="AX95" s="1362"/>
    </row>
    <row r="96" spans="1:50" ht="62.25" customHeight="1" x14ac:dyDescent="0.2">
      <c r="A96" s="1174" t="s">
        <v>2046</v>
      </c>
      <c r="B96" s="1206" t="s">
        <v>2299</v>
      </c>
      <c r="C96" s="1259" t="s">
        <v>2300</v>
      </c>
      <c r="D96" s="1357"/>
      <c r="E96" s="1357"/>
      <c r="F96" s="1357"/>
      <c r="G96" s="1357"/>
      <c r="H96" s="1357"/>
      <c r="I96" s="1358"/>
      <c r="J96" s="1358"/>
      <c r="K96" s="1358"/>
      <c r="L96" s="1358"/>
      <c r="M96" s="1358"/>
      <c r="N96" s="1359"/>
      <c r="O96" s="1359"/>
      <c r="P96" s="1358"/>
      <c r="Q96" s="1357">
        <v>-1812722</v>
      </c>
      <c r="R96" s="1357"/>
      <c r="S96" s="1357"/>
      <c r="T96" s="1357"/>
      <c r="U96" s="1357"/>
      <c r="V96" s="1357"/>
      <c r="W96" s="1357"/>
      <c r="X96" s="1357"/>
      <c r="Y96" s="1357"/>
      <c r="Z96" s="1357"/>
      <c r="AA96" s="1357"/>
      <c r="AB96" s="1357"/>
      <c r="AC96" s="1357"/>
      <c r="AD96" s="1357"/>
      <c r="AE96" s="1357"/>
      <c r="AF96" s="1357"/>
      <c r="AG96" s="1357"/>
      <c r="AH96" s="1357"/>
      <c r="AI96" s="1357"/>
      <c r="AJ96" s="1357"/>
      <c r="AK96" s="1357"/>
      <c r="AL96" s="1357"/>
      <c r="AM96" s="1357"/>
      <c r="AN96" s="1357"/>
      <c r="AO96" s="1357"/>
      <c r="AP96" s="1357"/>
      <c r="AQ96" s="1357"/>
      <c r="AR96" s="1357"/>
      <c r="AS96" s="1357"/>
      <c r="AT96" s="1357"/>
      <c r="AU96" s="1357"/>
      <c r="AV96" s="1357"/>
      <c r="AW96" s="1357"/>
      <c r="AX96" s="1362"/>
    </row>
    <row r="97" spans="1:50" ht="55.5" customHeight="1" x14ac:dyDescent="0.2">
      <c r="A97" s="1174" t="s">
        <v>2051</v>
      </c>
      <c r="B97" s="1206" t="s">
        <v>2332</v>
      </c>
      <c r="C97" s="754" t="s">
        <v>2333</v>
      </c>
      <c r="D97" s="1357"/>
      <c r="E97" s="1357"/>
      <c r="F97" s="1357"/>
      <c r="G97" s="1357"/>
      <c r="H97" s="1357"/>
      <c r="I97" s="1358"/>
      <c r="J97" s="1358"/>
      <c r="K97" s="1358"/>
      <c r="L97" s="1358"/>
      <c r="M97" s="1358"/>
      <c r="N97" s="1359"/>
      <c r="O97" s="1359"/>
      <c r="P97" s="1358"/>
      <c r="Q97" s="1357"/>
      <c r="R97" s="1357"/>
      <c r="S97" s="1357"/>
      <c r="T97" s="1357"/>
      <c r="U97" s="1357"/>
      <c r="V97" s="1357"/>
      <c r="W97" s="1357"/>
      <c r="X97" s="1357"/>
      <c r="Y97" s="1357">
        <v>2607203</v>
      </c>
      <c r="Z97" s="1357"/>
      <c r="AA97" s="1357"/>
      <c r="AB97" s="1357"/>
      <c r="AC97" s="1357"/>
      <c r="AD97" s="1357"/>
      <c r="AE97" s="1357"/>
      <c r="AF97" s="1357"/>
      <c r="AG97" s="1357"/>
      <c r="AH97" s="1357"/>
      <c r="AI97" s="1357"/>
      <c r="AJ97" s="1357"/>
      <c r="AK97" s="1357"/>
      <c r="AL97" s="1357"/>
      <c r="AM97" s="1357"/>
      <c r="AN97" s="1357"/>
      <c r="AO97" s="1357"/>
      <c r="AP97" s="1357"/>
      <c r="AQ97" s="1357"/>
      <c r="AR97" s="1357"/>
      <c r="AS97" s="1357"/>
      <c r="AT97" s="1357"/>
      <c r="AU97" s="1357"/>
      <c r="AV97" s="1357"/>
      <c r="AW97" s="1357"/>
      <c r="AX97" s="1362"/>
    </row>
    <row r="98" spans="1:50" ht="140.25" customHeight="1" x14ac:dyDescent="0.2">
      <c r="A98" s="1174" t="s">
        <v>2055</v>
      </c>
      <c r="B98" s="1206" t="s">
        <v>2334</v>
      </c>
      <c r="C98" s="1259" t="s">
        <v>2336</v>
      </c>
      <c r="D98" s="1357"/>
      <c r="E98" s="1357"/>
      <c r="F98" s="1357"/>
      <c r="G98" s="1357"/>
      <c r="H98" s="1357"/>
      <c r="I98" s="1358"/>
      <c r="J98" s="1358"/>
      <c r="K98" s="1358"/>
      <c r="L98" s="1358"/>
      <c r="M98" s="1358"/>
      <c r="N98" s="1359"/>
      <c r="O98" s="1359"/>
      <c r="P98" s="1358"/>
      <c r="Q98" s="1357"/>
      <c r="R98" s="1357"/>
      <c r="S98" s="1357"/>
      <c r="T98" s="1357"/>
      <c r="U98" s="1357"/>
      <c r="V98" s="1357"/>
      <c r="W98" s="1357"/>
      <c r="X98" s="1357"/>
      <c r="Y98" s="1357"/>
      <c r="Z98" s="1357"/>
      <c r="AA98" s="1357"/>
      <c r="AB98" s="1357"/>
      <c r="AC98" s="1357"/>
      <c r="AD98" s="1357"/>
      <c r="AE98" s="1357"/>
      <c r="AF98" s="1357"/>
      <c r="AG98" s="1357"/>
      <c r="AH98" s="1357"/>
      <c r="AI98" s="1357"/>
      <c r="AJ98" s="1357"/>
      <c r="AK98" s="1357"/>
      <c r="AL98" s="1357">
        <v>58589897</v>
      </c>
      <c r="AM98" s="1357"/>
      <c r="AN98" s="1357"/>
      <c r="AO98" s="1357"/>
      <c r="AP98" s="1357"/>
      <c r="AQ98" s="1357"/>
      <c r="AR98" s="1357"/>
      <c r="AS98" s="1357"/>
      <c r="AT98" s="1357">
        <v>40000000</v>
      </c>
      <c r="AU98" s="1357"/>
      <c r="AV98" s="1357"/>
      <c r="AW98" s="1357">
        <v>10000000</v>
      </c>
      <c r="AX98" s="1362"/>
    </row>
    <row r="99" spans="1:50" ht="36" customHeight="1" x14ac:dyDescent="0.2">
      <c r="A99" s="1174" t="s">
        <v>2064</v>
      </c>
      <c r="B99" s="1206" t="s">
        <v>2346</v>
      </c>
      <c r="C99" s="1482" t="s">
        <v>2095</v>
      </c>
      <c r="D99" s="1357"/>
      <c r="E99" s="1357"/>
      <c r="F99" s="1357"/>
      <c r="G99" s="1357"/>
      <c r="H99" s="1357"/>
      <c r="I99" s="1358"/>
      <c r="J99" s="1358"/>
      <c r="K99" s="1358"/>
      <c r="L99" s="1358"/>
      <c r="M99" s="1358"/>
      <c r="N99" s="1359"/>
      <c r="O99" s="1359"/>
      <c r="P99" s="1358"/>
      <c r="Q99" s="1357"/>
      <c r="R99" s="1357"/>
      <c r="S99" s="1357"/>
      <c r="T99" s="1357"/>
      <c r="U99" s="1357"/>
      <c r="V99" s="1357"/>
      <c r="W99" s="1357"/>
      <c r="X99" s="1357"/>
      <c r="Y99" s="1357"/>
      <c r="Z99" s="1357"/>
      <c r="AA99" s="1357"/>
      <c r="AB99" s="1357"/>
      <c r="AC99" s="1357"/>
      <c r="AD99" s="1357"/>
      <c r="AE99" s="1357"/>
      <c r="AF99" s="1357"/>
      <c r="AG99" s="1357"/>
      <c r="AH99" s="1357"/>
      <c r="AI99" s="1357"/>
      <c r="AJ99" s="1357"/>
      <c r="AK99" s="1357"/>
      <c r="AL99" s="1357"/>
      <c r="AM99" s="1357"/>
      <c r="AN99" s="1357"/>
      <c r="AO99" s="1357"/>
      <c r="AP99" s="1357"/>
      <c r="AQ99" s="1357">
        <v>100000</v>
      </c>
      <c r="AR99" s="1357"/>
      <c r="AS99" s="1357"/>
      <c r="AT99" s="1357"/>
      <c r="AU99" s="1357"/>
      <c r="AV99" s="1357"/>
      <c r="AW99" s="1357"/>
      <c r="AX99" s="1362"/>
    </row>
    <row r="100" spans="1:50" ht="36.75" customHeight="1" x14ac:dyDescent="0.2">
      <c r="A100" s="1174" t="s">
        <v>2067</v>
      </c>
      <c r="B100" s="1206" t="s">
        <v>2350</v>
      </c>
      <c r="C100" s="1259" t="s">
        <v>2351</v>
      </c>
      <c r="D100" s="1357"/>
      <c r="E100" s="1357"/>
      <c r="F100" s="1357"/>
      <c r="G100" s="1357"/>
      <c r="H100" s="1357"/>
      <c r="I100" s="1358"/>
      <c r="J100" s="1358"/>
      <c r="K100" s="1358"/>
      <c r="L100" s="1358"/>
      <c r="M100" s="1358"/>
      <c r="N100" s="1359"/>
      <c r="O100" s="1359"/>
      <c r="P100" s="1358"/>
      <c r="Q100" s="1357"/>
      <c r="R100" s="1357"/>
      <c r="S100" s="1357"/>
      <c r="T100" s="1357"/>
      <c r="U100" s="1357"/>
      <c r="V100" s="1357"/>
      <c r="W100" s="1357"/>
      <c r="X100" s="1357"/>
      <c r="Y100" s="1357"/>
      <c r="Z100" s="1357"/>
      <c r="AA100" s="1357"/>
      <c r="AB100" s="1357"/>
      <c r="AC100" s="1357"/>
      <c r="AD100" s="1357"/>
      <c r="AE100" s="1357"/>
      <c r="AF100" s="1357"/>
      <c r="AG100" s="1357"/>
      <c r="AH100" s="1357"/>
      <c r="AI100" s="1357"/>
      <c r="AJ100" s="1357"/>
      <c r="AK100" s="1357"/>
      <c r="AL100" s="1357"/>
      <c r="AM100" s="1357"/>
      <c r="AN100" s="1357"/>
      <c r="AO100" s="1357"/>
      <c r="AP100" s="1357"/>
      <c r="AQ100" s="1357">
        <v>100000</v>
      </c>
      <c r="AR100" s="1357"/>
      <c r="AS100" s="1357"/>
      <c r="AT100" s="1357"/>
      <c r="AU100" s="1357"/>
      <c r="AV100" s="1357"/>
      <c r="AW100" s="1357"/>
      <c r="AX100" s="1362"/>
    </row>
    <row r="101" spans="1:50" ht="50.25" customHeight="1" x14ac:dyDescent="0.2">
      <c r="A101" s="1174" t="s">
        <v>2070</v>
      </c>
      <c r="B101" s="1207" t="s">
        <v>2354</v>
      </c>
      <c r="C101" s="1259" t="s">
        <v>2353</v>
      </c>
      <c r="D101" s="1357"/>
      <c r="E101" s="1357"/>
      <c r="F101" s="1357"/>
      <c r="G101" s="1357"/>
      <c r="H101" s="1357"/>
      <c r="I101" s="1358"/>
      <c r="J101" s="1358"/>
      <c r="K101" s="1358"/>
      <c r="L101" s="1358"/>
      <c r="M101" s="1358"/>
      <c r="N101" s="1359"/>
      <c r="O101" s="1359"/>
      <c r="P101" s="1358"/>
      <c r="Q101" s="1357">
        <v>-110911</v>
      </c>
      <c r="R101" s="1357"/>
      <c r="S101" s="1357"/>
      <c r="T101" s="1357"/>
      <c r="U101" s="1357"/>
      <c r="V101" s="1357"/>
      <c r="W101" s="1357"/>
      <c r="X101" s="1357"/>
      <c r="Y101" s="1357"/>
      <c r="Z101" s="1357"/>
      <c r="AA101" s="1357"/>
      <c r="AB101" s="1357"/>
      <c r="AC101" s="1357"/>
      <c r="AD101" s="1357"/>
      <c r="AE101" s="1357"/>
      <c r="AF101" s="1357"/>
      <c r="AG101" s="1357"/>
      <c r="AH101" s="1357"/>
      <c r="AI101" s="1357"/>
      <c r="AJ101" s="1357"/>
      <c r="AK101" s="1357"/>
      <c r="AL101" s="1357"/>
      <c r="AM101" s="1357"/>
      <c r="AN101" s="1357"/>
      <c r="AO101" s="1357"/>
      <c r="AP101" s="1357"/>
      <c r="AQ101" s="1357"/>
      <c r="AR101" s="1357"/>
      <c r="AS101" s="1357"/>
      <c r="AT101" s="1357"/>
      <c r="AU101" s="1357"/>
      <c r="AV101" s="1357"/>
      <c r="AW101" s="1357"/>
      <c r="AX101" s="1362"/>
    </row>
    <row r="102" spans="1:50" ht="36.75" customHeight="1" x14ac:dyDescent="0.2">
      <c r="A102" s="1174" t="s">
        <v>2091</v>
      </c>
      <c r="B102" s="1206" t="s">
        <v>2359</v>
      </c>
      <c r="C102" s="1259" t="s">
        <v>2360</v>
      </c>
      <c r="D102" s="1357"/>
      <c r="E102" s="1357"/>
      <c r="F102" s="1357"/>
      <c r="G102" s="1357"/>
      <c r="H102" s="1357"/>
      <c r="I102" s="1358"/>
      <c r="J102" s="1358"/>
      <c r="K102" s="1358"/>
      <c r="L102" s="1358"/>
      <c r="M102" s="1358"/>
      <c r="N102" s="1359"/>
      <c r="O102" s="1359"/>
      <c r="P102" s="1358"/>
      <c r="Q102" s="1357"/>
      <c r="R102" s="1357"/>
      <c r="S102" s="1357"/>
      <c r="T102" s="1357"/>
      <c r="U102" s="1357"/>
      <c r="V102" s="1357"/>
      <c r="W102" s="1357"/>
      <c r="X102" s="1357"/>
      <c r="Y102" s="1357"/>
      <c r="Z102" s="1357"/>
      <c r="AA102" s="1357"/>
      <c r="AB102" s="1357"/>
      <c r="AC102" s="1357"/>
      <c r="AD102" s="1357"/>
      <c r="AE102" s="1357"/>
      <c r="AF102" s="1357"/>
      <c r="AG102" s="1357"/>
      <c r="AH102" s="1357"/>
      <c r="AI102" s="1357"/>
      <c r="AJ102" s="1357"/>
      <c r="AK102" s="1357"/>
      <c r="AL102" s="1357"/>
      <c r="AM102" s="1357"/>
      <c r="AN102" s="1357"/>
      <c r="AO102" s="1357"/>
      <c r="AP102" s="1357"/>
      <c r="AQ102" s="1357">
        <v>-72000</v>
      </c>
      <c r="AR102" s="1357"/>
      <c r="AS102" s="1357"/>
      <c r="AT102" s="1357"/>
      <c r="AU102" s="1357"/>
      <c r="AV102" s="1357"/>
      <c r="AW102" s="1357"/>
      <c r="AX102" s="1362"/>
    </row>
    <row r="103" spans="1:50" ht="50.25" customHeight="1" x14ac:dyDescent="0.2">
      <c r="A103" s="1174" t="s">
        <v>2099</v>
      </c>
      <c r="B103" s="1206" t="s">
        <v>2347</v>
      </c>
      <c r="C103" s="1259" t="s">
        <v>2369</v>
      </c>
      <c r="D103" s="1357"/>
      <c r="E103" s="1357"/>
      <c r="F103" s="1357"/>
      <c r="G103" s="1357"/>
      <c r="H103" s="1357"/>
      <c r="I103" s="1358"/>
      <c r="J103" s="1358"/>
      <c r="K103" s="1358"/>
      <c r="L103" s="1358"/>
      <c r="M103" s="1358"/>
      <c r="N103" s="1359"/>
      <c r="O103" s="1359"/>
      <c r="P103" s="1358"/>
      <c r="Q103" s="1357"/>
      <c r="R103" s="1357"/>
      <c r="S103" s="1357"/>
      <c r="T103" s="1357"/>
      <c r="U103" s="1357"/>
      <c r="V103" s="1357"/>
      <c r="W103" s="1357"/>
      <c r="X103" s="1357"/>
      <c r="Y103" s="1357"/>
      <c r="Z103" s="1357"/>
      <c r="AA103" s="1357"/>
      <c r="AB103" s="1357"/>
      <c r="AC103" s="1357"/>
      <c r="AD103" s="1357"/>
      <c r="AE103" s="1357"/>
      <c r="AF103" s="1357"/>
      <c r="AG103" s="1357"/>
      <c r="AH103" s="1357"/>
      <c r="AI103" s="1357"/>
      <c r="AJ103" s="1357"/>
      <c r="AK103" s="1357"/>
      <c r="AL103" s="1357"/>
      <c r="AM103" s="1357"/>
      <c r="AN103" s="1357"/>
      <c r="AO103" s="1357"/>
      <c r="AP103" s="1357"/>
      <c r="AQ103" s="1357"/>
      <c r="AR103" s="1357">
        <v>400000</v>
      </c>
      <c r="AS103" s="1357"/>
      <c r="AT103" s="1357"/>
      <c r="AU103" s="1357"/>
      <c r="AV103" s="1357"/>
      <c r="AW103" s="1357"/>
      <c r="AX103" s="1362"/>
    </row>
    <row r="104" spans="1:50" ht="50.25" customHeight="1" x14ac:dyDescent="0.2">
      <c r="A104" s="1174" t="s">
        <v>2107</v>
      </c>
      <c r="B104" s="1206" t="s">
        <v>2374</v>
      </c>
      <c r="C104" s="1259" t="s">
        <v>2375</v>
      </c>
      <c r="D104" s="1357"/>
      <c r="E104" s="1357"/>
      <c r="F104" s="1357"/>
      <c r="G104" s="1357"/>
      <c r="H104" s="1357"/>
      <c r="I104" s="1358"/>
      <c r="J104" s="1358"/>
      <c r="K104" s="1358"/>
      <c r="L104" s="1358"/>
      <c r="M104" s="1358"/>
      <c r="N104" s="1359"/>
      <c r="O104" s="1359"/>
      <c r="P104" s="1358"/>
      <c r="Q104" s="1357"/>
      <c r="R104" s="1357"/>
      <c r="S104" s="1357"/>
      <c r="T104" s="1357"/>
      <c r="U104" s="1357"/>
      <c r="V104" s="1357"/>
      <c r="W104" s="1357"/>
      <c r="X104" s="1357"/>
      <c r="Y104" s="1357"/>
      <c r="Z104" s="1357"/>
      <c r="AA104" s="1357"/>
      <c r="AB104" s="1357"/>
      <c r="AC104" s="1357"/>
      <c r="AD104" s="1357"/>
      <c r="AE104" s="1357"/>
      <c r="AF104" s="1357"/>
      <c r="AG104" s="1357"/>
      <c r="AH104" s="1357"/>
      <c r="AI104" s="1357"/>
      <c r="AJ104" s="1357"/>
      <c r="AK104" s="1357"/>
      <c r="AL104" s="1357"/>
      <c r="AM104" s="1357"/>
      <c r="AN104" s="1357"/>
      <c r="AO104" s="1357"/>
      <c r="AP104" s="1357"/>
      <c r="AQ104" s="1357">
        <v>-700000</v>
      </c>
      <c r="AR104" s="1357"/>
      <c r="AS104" s="1357"/>
      <c r="AT104" s="1357"/>
      <c r="AU104" s="1357"/>
      <c r="AV104" s="1357"/>
      <c r="AW104" s="1357"/>
      <c r="AX104" s="1362"/>
    </row>
    <row r="105" spans="1:50" ht="61.5" customHeight="1" x14ac:dyDescent="0.2">
      <c r="A105" s="1174" t="s">
        <v>2119</v>
      </c>
      <c r="B105" s="1206" t="s">
        <v>2393</v>
      </c>
      <c r="C105" s="1259" t="s">
        <v>2394</v>
      </c>
      <c r="D105" s="1357"/>
      <c r="E105" s="1357"/>
      <c r="F105" s="1357"/>
      <c r="G105" s="1357"/>
      <c r="H105" s="1357"/>
      <c r="I105" s="1358"/>
      <c r="J105" s="1358"/>
      <c r="K105" s="1358"/>
      <c r="L105" s="1358"/>
      <c r="M105" s="1358"/>
      <c r="N105" s="1359"/>
      <c r="O105" s="1359"/>
      <c r="P105" s="1358"/>
      <c r="Q105" s="1357"/>
      <c r="R105" s="1357"/>
      <c r="S105" s="1357"/>
      <c r="T105" s="1357"/>
      <c r="U105" s="1357"/>
      <c r="V105" s="1357"/>
      <c r="W105" s="1357"/>
      <c r="X105" s="1357"/>
      <c r="Y105" s="1357"/>
      <c r="Z105" s="1357"/>
      <c r="AA105" s="1357"/>
      <c r="AB105" s="1357"/>
      <c r="AC105" s="1357"/>
      <c r="AD105" s="1357"/>
      <c r="AE105" s="1357"/>
      <c r="AF105" s="1357"/>
      <c r="AG105" s="1357"/>
      <c r="AH105" s="1357"/>
      <c r="AI105" s="1357"/>
      <c r="AJ105" s="1357"/>
      <c r="AK105" s="1357"/>
      <c r="AL105" s="1357"/>
      <c r="AM105" s="1357"/>
      <c r="AN105" s="1357"/>
      <c r="AO105" s="1357"/>
      <c r="AP105" s="1357"/>
      <c r="AQ105" s="1357"/>
      <c r="AR105" s="1357"/>
      <c r="AS105" s="1357"/>
      <c r="AT105" s="1357"/>
      <c r="AU105" s="1357"/>
      <c r="AV105" s="1357"/>
      <c r="AW105" s="1357"/>
      <c r="AX105" s="1362">
        <v>-240000</v>
      </c>
    </row>
    <row r="106" spans="1:50" ht="61.5" customHeight="1" x14ac:dyDescent="0.2">
      <c r="A106" s="1174" t="s">
        <v>2128</v>
      </c>
      <c r="B106" s="1206" t="s">
        <v>2396</v>
      </c>
      <c r="C106" s="1259" t="s">
        <v>2397</v>
      </c>
      <c r="D106" s="1357"/>
      <c r="E106" s="1357"/>
      <c r="F106" s="1357"/>
      <c r="G106" s="1357"/>
      <c r="H106" s="1357"/>
      <c r="I106" s="1358"/>
      <c r="J106" s="1358"/>
      <c r="K106" s="1358"/>
      <c r="L106" s="1358"/>
      <c r="M106" s="1358"/>
      <c r="N106" s="1359"/>
      <c r="O106" s="1359"/>
      <c r="P106" s="1358"/>
      <c r="Q106" s="1357"/>
      <c r="R106" s="1357"/>
      <c r="S106" s="1357"/>
      <c r="T106" s="1357"/>
      <c r="U106" s="1357"/>
      <c r="V106" s="1357"/>
      <c r="W106" s="1357"/>
      <c r="X106" s="1357"/>
      <c r="Y106" s="1357">
        <v>-29159659</v>
      </c>
      <c r="Z106" s="1357"/>
      <c r="AA106" s="1357"/>
      <c r="AB106" s="1357"/>
      <c r="AC106" s="1357"/>
      <c r="AD106" s="1357"/>
      <c r="AE106" s="1357"/>
      <c r="AF106" s="1357"/>
      <c r="AG106" s="1357"/>
      <c r="AH106" s="1357"/>
      <c r="AI106" s="1357"/>
      <c r="AJ106" s="1357"/>
      <c r="AK106" s="1357"/>
      <c r="AL106" s="1357"/>
      <c r="AM106" s="1357"/>
      <c r="AN106" s="1357"/>
      <c r="AO106" s="1357"/>
      <c r="AP106" s="1357"/>
      <c r="AQ106" s="1357"/>
      <c r="AR106" s="1357"/>
      <c r="AS106" s="1357"/>
      <c r="AT106" s="1357"/>
      <c r="AU106" s="1357"/>
      <c r="AV106" s="1357"/>
      <c r="AW106" s="1357"/>
      <c r="AX106" s="1362"/>
    </row>
    <row r="107" spans="1:50" ht="50.25" customHeight="1" x14ac:dyDescent="0.2">
      <c r="A107" s="1174" t="s">
        <v>2130</v>
      </c>
      <c r="B107" s="1206" t="s">
        <v>2398</v>
      </c>
      <c r="C107" s="1259" t="s">
        <v>2399</v>
      </c>
      <c r="D107" s="1357"/>
      <c r="E107" s="1357"/>
      <c r="F107" s="1357"/>
      <c r="G107" s="1357"/>
      <c r="H107" s="1357"/>
      <c r="I107" s="1358"/>
      <c r="J107" s="1358"/>
      <c r="K107" s="1358"/>
      <c r="L107" s="1358"/>
      <c r="M107" s="1358"/>
      <c r="N107" s="1359"/>
      <c r="O107" s="1359"/>
      <c r="P107" s="1358"/>
      <c r="Q107" s="1357">
        <v>-80000</v>
      </c>
      <c r="R107" s="1357"/>
      <c r="S107" s="1357"/>
      <c r="T107" s="1357"/>
      <c r="U107" s="1357"/>
      <c r="V107" s="1357"/>
      <c r="W107" s="1357"/>
      <c r="X107" s="1357"/>
      <c r="Y107" s="1357"/>
      <c r="Z107" s="1357"/>
      <c r="AA107" s="1357"/>
      <c r="AB107" s="1357"/>
      <c r="AC107" s="1357"/>
      <c r="AD107" s="1357"/>
      <c r="AE107" s="1357"/>
      <c r="AF107" s="1357"/>
      <c r="AG107" s="1357"/>
      <c r="AH107" s="1357"/>
      <c r="AI107" s="1357"/>
      <c r="AJ107" s="1357"/>
      <c r="AK107" s="1357"/>
      <c r="AL107" s="1357"/>
      <c r="AM107" s="1357"/>
      <c r="AN107" s="1357"/>
      <c r="AO107" s="1357"/>
      <c r="AP107" s="1357"/>
      <c r="AQ107" s="1357"/>
      <c r="AR107" s="1357"/>
      <c r="AS107" s="1357"/>
      <c r="AT107" s="1357"/>
      <c r="AU107" s="1357"/>
      <c r="AV107" s="1357"/>
      <c r="AW107" s="1357"/>
      <c r="AX107" s="1362"/>
    </row>
    <row r="108" spans="1:50" ht="68.25" customHeight="1" x14ac:dyDescent="0.2">
      <c r="A108" s="1174" t="s">
        <v>2131</v>
      </c>
      <c r="B108" s="1207" t="s">
        <v>2403</v>
      </c>
      <c r="C108" s="1259" t="s">
        <v>2402</v>
      </c>
      <c r="D108" s="1357"/>
      <c r="E108" s="1357"/>
      <c r="F108" s="1357"/>
      <c r="G108" s="1357"/>
      <c r="H108" s="1357"/>
      <c r="I108" s="1358"/>
      <c r="J108" s="1358"/>
      <c r="K108" s="1358"/>
      <c r="L108" s="1358"/>
      <c r="M108" s="1358"/>
      <c r="N108" s="1359"/>
      <c r="O108" s="1359"/>
      <c r="P108" s="1358"/>
      <c r="Q108" s="1357">
        <v>-80000</v>
      </c>
      <c r="R108" s="1357"/>
      <c r="S108" s="1357"/>
      <c r="T108" s="1357"/>
      <c r="U108" s="1357"/>
      <c r="V108" s="1357"/>
      <c r="W108" s="1357"/>
      <c r="X108" s="1357"/>
      <c r="Y108" s="1357"/>
      <c r="Z108" s="1357"/>
      <c r="AA108" s="1357"/>
      <c r="AB108" s="1357"/>
      <c r="AC108" s="1357"/>
      <c r="AD108" s="1357"/>
      <c r="AE108" s="1357"/>
      <c r="AF108" s="1357"/>
      <c r="AG108" s="1357"/>
      <c r="AH108" s="1357"/>
      <c r="AI108" s="1357"/>
      <c r="AJ108" s="1357"/>
      <c r="AK108" s="1357"/>
      <c r="AL108" s="1357"/>
      <c r="AM108" s="1357"/>
      <c r="AN108" s="1357"/>
      <c r="AO108" s="1357"/>
      <c r="AP108" s="1357"/>
      <c r="AQ108" s="1357"/>
      <c r="AR108" s="1357"/>
      <c r="AS108" s="1357"/>
      <c r="AT108" s="1357"/>
      <c r="AU108" s="1357"/>
      <c r="AV108" s="1357"/>
      <c r="AW108" s="1357"/>
      <c r="AX108" s="1362"/>
    </row>
    <row r="109" spans="1:50" ht="93.75" customHeight="1" x14ac:dyDescent="0.2">
      <c r="A109" s="1174" t="s">
        <v>2136</v>
      </c>
      <c r="B109" s="1206" t="s">
        <v>2412</v>
      </c>
      <c r="C109" s="1259" t="s">
        <v>2413</v>
      </c>
      <c r="D109" s="1357"/>
      <c r="E109" s="1357"/>
      <c r="F109" s="1357"/>
      <c r="G109" s="1357"/>
      <c r="H109" s="1357"/>
      <c r="I109" s="1358"/>
      <c r="J109" s="1358"/>
      <c r="K109" s="1358"/>
      <c r="L109" s="1358"/>
      <c r="M109" s="1358"/>
      <c r="N109" s="1359"/>
      <c r="O109" s="1359"/>
      <c r="P109" s="1358"/>
      <c r="Q109" s="1357"/>
      <c r="R109" s="1357"/>
      <c r="S109" s="1357"/>
      <c r="T109" s="1357"/>
      <c r="U109" s="1357"/>
      <c r="V109" s="1357"/>
      <c r="W109" s="1357"/>
      <c r="X109" s="1357"/>
      <c r="Y109" s="1357"/>
      <c r="Z109" s="1357"/>
      <c r="AA109" s="1357"/>
      <c r="AB109" s="1357"/>
      <c r="AC109" s="1357"/>
      <c r="AD109" s="1357"/>
      <c r="AE109" s="1357"/>
      <c r="AF109" s="1357"/>
      <c r="AG109" s="1357"/>
      <c r="AH109" s="1357"/>
      <c r="AI109" s="1357">
        <v>-100000</v>
      </c>
      <c r="AJ109" s="1357"/>
      <c r="AK109" s="1357"/>
      <c r="AL109" s="1357"/>
      <c r="AM109" s="1357"/>
      <c r="AN109" s="1357"/>
      <c r="AO109" s="1357"/>
      <c r="AP109" s="1357"/>
      <c r="AQ109" s="1357"/>
      <c r="AR109" s="1357"/>
      <c r="AS109" s="1357"/>
      <c r="AT109" s="1357"/>
      <c r="AU109" s="1357"/>
      <c r="AV109" s="1357"/>
      <c r="AW109" s="1357"/>
      <c r="AX109" s="1362"/>
    </row>
    <row r="110" spans="1:50" ht="64.5" customHeight="1" x14ac:dyDescent="0.2">
      <c r="A110" s="1174" t="s">
        <v>2423</v>
      </c>
      <c r="B110" s="1206" t="s">
        <v>2424</v>
      </c>
      <c r="C110" s="1259" t="s">
        <v>2425</v>
      </c>
      <c r="D110" s="1110"/>
      <c r="E110" s="1110"/>
      <c r="F110" s="1110"/>
      <c r="G110" s="1110"/>
      <c r="H110" s="1110"/>
      <c r="I110" s="1379"/>
      <c r="J110" s="1379"/>
      <c r="K110" s="1379"/>
      <c r="L110" s="1379"/>
      <c r="M110" s="1379"/>
      <c r="N110" s="1380">
        <v>-3048000</v>
      </c>
      <c r="O110" s="1380"/>
      <c r="P110" s="1379"/>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1"/>
    </row>
    <row r="111" spans="1:50" ht="33" customHeight="1" x14ac:dyDescent="0.2">
      <c r="A111" s="1174" t="s">
        <v>2160</v>
      </c>
      <c r="B111" s="1206" t="s">
        <v>2426</v>
      </c>
      <c r="C111" s="1259" t="s">
        <v>2095</v>
      </c>
      <c r="D111" s="1110"/>
      <c r="E111" s="1110"/>
      <c r="F111" s="1110"/>
      <c r="G111" s="1110"/>
      <c r="H111" s="1110"/>
      <c r="I111" s="1379"/>
      <c r="J111" s="1379"/>
      <c r="K111" s="1379"/>
      <c r="L111" s="1379"/>
      <c r="M111" s="1379"/>
      <c r="N111" s="1380"/>
      <c r="O111" s="1380"/>
      <c r="P111" s="1379"/>
      <c r="Q111" s="1110"/>
      <c r="R111" s="1110"/>
      <c r="S111" s="1110"/>
      <c r="T111" s="1110"/>
      <c r="U111" s="1110"/>
      <c r="V111" s="1110"/>
      <c r="W111" s="1110"/>
      <c r="X111" s="1110"/>
      <c r="Y111" s="1110"/>
      <c r="Z111" s="1110"/>
      <c r="AA111" s="1110"/>
      <c r="AB111" s="1110"/>
      <c r="AC111" s="1110"/>
      <c r="AD111" s="1110"/>
      <c r="AE111" s="1110"/>
      <c r="AF111" s="1110"/>
      <c r="AG111" s="1110"/>
      <c r="AH111" s="1110"/>
      <c r="AI111" s="1110"/>
      <c r="AJ111" s="1110"/>
      <c r="AK111" s="1110"/>
      <c r="AL111" s="1110"/>
      <c r="AM111" s="1110"/>
      <c r="AN111" s="1110"/>
      <c r="AO111" s="1110"/>
      <c r="AP111" s="1110"/>
      <c r="AQ111" s="1110">
        <v>100000</v>
      </c>
      <c r="AR111" s="1110"/>
      <c r="AS111" s="1110"/>
      <c r="AT111" s="1110"/>
      <c r="AU111" s="1110"/>
      <c r="AV111" s="1110"/>
      <c r="AW111" s="1110"/>
      <c r="AX111" s="1111"/>
    </row>
    <row r="112" spans="1:50" ht="61.5" customHeight="1" x14ac:dyDescent="0.2">
      <c r="A112" s="1174" t="s">
        <v>2170</v>
      </c>
      <c r="B112" s="1206" t="s">
        <v>2438</v>
      </c>
      <c r="C112" s="1259" t="s">
        <v>2439</v>
      </c>
      <c r="D112" s="1110"/>
      <c r="E112" s="1110"/>
      <c r="F112" s="1110"/>
      <c r="G112" s="1110"/>
      <c r="H112" s="1110"/>
      <c r="I112" s="1379"/>
      <c r="J112" s="1379"/>
      <c r="K112" s="1379"/>
      <c r="L112" s="1379"/>
      <c r="M112" s="1379"/>
      <c r="N112" s="1380"/>
      <c r="O112" s="1380"/>
      <c r="P112" s="1379"/>
      <c r="Q112" s="1110">
        <v>-7619171</v>
      </c>
      <c r="R112" s="1110"/>
      <c r="S112" s="1110"/>
      <c r="T112" s="1110"/>
      <c r="U112" s="1110"/>
      <c r="V112" s="1110"/>
      <c r="W112" s="1110"/>
      <c r="X112" s="1110"/>
      <c r="Y112" s="1110"/>
      <c r="Z112" s="1110"/>
      <c r="AA112" s="1110"/>
      <c r="AB112" s="1110"/>
      <c r="AC112" s="1110"/>
      <c r="AD112" s="1110"/>
      <c r="AE112" s="1110"/>
      <c r="AF112" s="1110"/>
      <c r="AG112" s="1110"/>
      <c r="AH112" s="1110"/>
      <c r="AI112" s="1110"/>
      <c r="AJ112" s="1110"/>
      <c r="AK112" s="1110"/>
      <c r="AL112" s="1110"/>
      <c r="AM112" s="1110"/>
      <c r="AN112" s="1110"/>
      <c r="AO112" s="1110"/>
      <c r="AP112" s="1110"/>
      <c r="AQ112" s="1110"/>
      <c r="AR112" s="1110"/>
      <c r="AS112" s="1110"/>
      <c r="AT112" s="1110"/>
      <c r="AU112" s="1110"/>
      <c r="AV112" s="1110"/>
      <c r="AW112" s="1110"/>
      <c r="AX112" s="1111"/>
    </row>
    <row r="113" spans="1:50" ht="48" customHeight="1" x14ac:dyDescent="0.2">
      <c r="A113" s="1174" t="s">
        <v>2172</v>
      </c>
      <c r="B113" s="1206" t="s">
        <v>2441</v>
      </c>
      <c r="C113" s="1259" t="s">
        <v>2442</v>
      </c>
      <c r="D113" s="1110"/>
      <c r="E113" s="1110"/>
      <c r="F113" s="1110"/>
      <c r="G113" s="1110"/>
      <c r="H113" s="1110"/>
      <c r="I113" s="1379"/>
      <c r="J113" s="1379"/>
      <c r="K113" s="1379"/>
      <c r="L113" s="1379"/>
      <c r="M113" s="1379"/>
      <c r="N113" s="1380"/>
      <c r="O113" s="1380"/>
      <c r="P113" s="1379"/>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v>7953135</v>
      </c>
      <c r="AQ113" s="1110"/>
      <c r="AR113" s="1110"/>
      <c r="AS113" s="1110"/>
      <c r="AT113" s="1110"/>
      <c r="AU113" s="1110"/>
      <c r="AV113" s="1110"/>
      <c r="AW113" s="1110"/>
      <c r="AX113" s="1111"/>
    </row>
    <row r="114" spans="1:50" ht="64.5" customHeight="1" x14ac:dyDescent="0.2">
      <c r="A114" s="1174" t="s">
        <v>2174</v>
      </c>
      <c r="B114" s="1206" t="s">
        <v>2446</v>
      </c>
      <c r="C114" s="1259" t="s">
        <v>2447</v>
      </c>
      <c r="D114" s="1110"/>
      <c r="E114" s="1110"/>
      <c r="F114" s="1110"/>
      <c r="G114" s="1110"/>
      <c r="H114" s="1110"/>
      <c r="I114" s="1379"/>
      <c r="J114" s="1379"/>
      <c r="K114" s="1379"/>
      <c r="L114" s="1379"/>
      <c r="M114" s="1379"/>
      <c r="N114" s="1380"/>
      <c r="O114" s="1380"/>
      <c r="P114" s="1379"/>
      <c r="Q114" s="1110">
        <v>-8047</v>
      </c>
      <c r="R114" s="1110"/>
      <c r="S114" s="1110"/>
      <c r="T114" s="1110"/>
      <c r="U114" s="1110"/>
      <c r="V114" s="1110"/>
      <c r="W114" s="1110"/>
      <c r="X114" s="1110"/>
      <c r="Y114" s="1110"/>
      <c r="Z114" s="1110"/>
      <c r="AA114" s="1110"/>
      <c r="AB114" s="1110"/>
      <c r="AC114" s="1110"/>
      <c r="AD114" s="1110"/>
      <c r="AE114" s="1110"/>
      <c r="AF114" s="1110"/>
      <c r="AG114" s="1110"/>
      <c r="AH114" s="1110"/>
      <c r="AI114" s="1110"/>
      <c r="AJ114" s="1110"/>
      <c r="AK114" s="1110"/>
      <c r="AL114" s="1110"/>
      <c r="AM114" s="1110"/>
      <c r="AN114" s="1110"/>
      <c r="AO114" s="1110"/>
      <c r="AP114" s="1110"/>
      <c r="AQ114" s="1110"/>
      <c r="AR114" s="1110"/>
      <c r="AS114" s="1110"/>
      <c r="AT114" s="1110"/>
      <c r="AU114" s="1110"/>
      <c r="AV114" s="1110"/>
      <c r="AW114" s="1110"/>
      <c r="AX114" s="1111"/>
    </row>
    <row r="115" spans="1:50" ht="79.5" customHeight="1" x14ac:dyDescent="0.2">
      <c r="A115" s="1174" t="s">
        <v>2180</v>
      </c>
      <c r="B115" s="1206" t="s">
        <v>2462</v>
      </c>
      <c r="C115" s="1259" t="s">
        <v>2463</v>
      </c>
      <c r="D115" s="1110"/>
      <c r="E115" s="1110"/>
      <c r="F115" s="1110"/>
      <c r="G115" s="1110"/>
      <c r="H115" s="1110"/>
      <c r="I115" s="1379"/>
      <c r="J115" s="1379"/>
      <c r="K115" s="1379"/>
      <c r="L115" s="1379"/>
      <c r="M115" s="1379"/>
      <c r="N115" s="1380"/>
      <c r="O115" s="1380"/>
      <c r="P115" s="1379"/>
      <c r="Q115" s="1110">
        <v>-223520</v>
      </c>
      <c r="R115" s="1110"/>
      <c r="S115" s="1110"/>
      <c r="T115" s="1110"/>
      <c r="U115" s="1110"/>
      <c r="V115" s="1110"/>
      <c r="W115" s="1110"/>
      <c r="X115" s="1110"/>
      <c r="Y115" s="1110"/>
      <c r="Z115" s="1110"/>
      <c r="AA115" s="1110"/>
      <c r="AB115" s="1110"/>
      <c r="AC115" s="1110"/>
      <c r="AD115" s="1110"/>
      <c r="AE115" s="1110"/>
      <c r="AF115" s="1110"/>
      <c r="AG115" s="1110"/>
      <c r="AH115" s="1110"/>
      <c r="AI115" s="1110"/>
      <c r="AJ115" s="1110"/>
      <c r="AK115" s="1110"/>
      <c r="AL115" s="1110"/>
      <c r="AM115" s="1110"/>
      <c r="AN115" s="1110"/>
      <c r="AO115" s="1110"/>
      <c r="AP115" s="1110"/>
      <c r="AQ115" s="1110"/>
      <c r="AR115" s="1110"/>
      <c r="AS115" s="1110"/>
      <c r="AT115" s="1110"/>
      <c r="AU115" s="1110"/>
      <c r="AV115" s="1110"/>
      <c r="AW115" s="1110"/>
      <c r="AX115" s="1111"/>
    </row>
    <row r="116" spans="1:50" ht="48.75" customHeight="1" x14ac:dyDescent="0.2">
      <c r="A116" s="1174" t="s">
        <v>2182</v>
      </c>
      <c r="B116" s="1206" t="s">
        <v>2465</v>
      </c>
      <c r="C116" s="1259" t="s">
        <v>2466</v>
      </c>
      <c r="D116" s="1110"/>
      <c r="E116" s="1110"/>
      <c r="F116" s="1110"/>
      <c r="G116" s="1110"/>
      <c r="H116" s="1110"/>
      <c r="I116" s="1379"/>
      <c r="J116" s="1379"/>
      <c r="K116" s="1379"/>
      <c r="L116" s="1379"/>
      <c r="M116" s="1379"/>
      <c r="N116" s="1380"/>
      <c r="O116" s="1380"/>
      <c r="P116" s="1379"/>
      <c r="Q116" s="1110">
        <v>-49149</v>
      </c>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1"/>
    </row>
    <row r="117" spans="1:50" ht="48" customHeight="1" x14ac:dyDescent="0.2">
      <c r="A117" s="1174" t="s">
        <v>2184</v>
      </c>
      <c r="B117" s="1206" t="s">
        <v>2467</v>
      </c>
      <c r="C117" s="1259" t="s">
        <v>2468</v>
      </c>
      <c r="D117" s="1110"/>
      <c r="E117" s="1110"/>
      <c r="F117" s="1110"/>
      <c r="G117" s="1110"/>
      <c r="H117" s="1110"/>
      <c r="I117" s="1379"/>
      <c r="J117" s="1379"/>
      <c r="K117" s="1379"/>
      <c r="L117" s="1379"/>
      <c r="M117" s="1379"/>
      <c r="N117" s="1380"/>
      <c r="O117" s="1380"/>
      <c r="P117" s="1379"/>
      <c r="Q117" s="1110">
        <v>-158560</v>
      </c>
      <c r="R117" s="1110"/>
      <c r="S117" s="1110"/>
      <c r="T117" s="1110"/>
      <c r="U117" s="1110"/>
      <c r="V117" s="1110"/>
      <c r="W117" s="1110"/>
      <c r="X117" s="1110"/>
      <c r="Y117" s="1110"/>
      <c r="Z117" s="1110"/>
      <c r="AA117" s="1110"/>
      <c r="AB117" s="1110"/>
      <c r="AC117" s="1110"/>
      <c r="AD117" s="1110"/>
      <c r="AE117" s="1110"/>
      <c r="AF117" s="1110"/>
      <c r="AG117" s="1110"/>
      <c r="AH117" s="1110"/>
      <c r="AI117" s="1110"/>
      <c r="AJ117" s="1110"/>
      <c r="AK117" s="1110"/>
      <c r="AL117" s="1110"/>
      <c r="AM117" s="1110"/>
      <c r="AN117" s="1110"/>
      <c r="AO117" s="1110"/>
      <c r="AP117" s="1110"/>
      <c r="AQ117" s="1110"/>
      <c r="AR117" s="1110"/>
      <c r="AS117" s="1110"/>
      <c r="AT117" s="1110"/>
      <c r="AU117" s="1110"/>
      <c r="AV117" s="1110"/>
      <c r="AW117" s="1110"/>
      <c r="AX117" s="1111"/>
    </row>
    <row r="118" spans="1:50" ht="48.75" customHeight="1" x14ac:dyDescent="0.2">
      <c r="A118" s="1174" t="s">
        <v>2191</v>
      </c>
      <c r="B118" s="1206" t="s">
        <v>2479</v>
      </c>
      <c r="C118" s="1259" t="s">
        <v>2480</v>
      </c>
      <c r="D118" s="1110"/>
      <c r="E118" s="1110"/>
      <c r="F118" s="1110"/>
      <c r="G118" s="1110"/>
      <c r="H118" s="1110"/>
      <c r="I118" s="1379"/>
      <c r="J118" s="1379"/>
      <c r="K118" s="1379"/>
      <c r="L118" s="1379"/>
      <c r="M118" s="1379"/>
      <c r="N118" s="1380"/>
      <c r="O118" s="1380"/>
      <c r="P118" s="1379"/>
      <c r="Q118" s="1110"/>
      <c r="R118" s="1110"/>
      <c r="S118" s="1110"/>
      <c r="T118" s="1110"/>
      <c r="U118" s="1110"/>
      <c r="V118" s="1110"/>
      <c r="W118" s="1110"/>
      <c r="X118" s="1110"/>
      <c r="Y118" s="1110"/>
      <c r="Z118" s="1110"/>
      <c r="AA118" s="1110"/>
      <c r="AB118" s="1110"/>
      <c r="AC118" s="1110"/>
      <c r="AD118" s="1110"/>
      <c r="AE118" s="1110"/>
      <c r="AF118" s="1110"/>
      <c r="AG118" s="1110"/>
      <c r="AH118" s="1110"/>
      <c r="AI118" s="1110"/>
      <c r="AJ118" s="1110"/>
      <c r="AK118" s="1110">
        <v>-712857</v>
      </c>
      <c r="AL118" s="1110"/>
      <c r="AM118" s="1110"/>
      <c r="AN118" s="1110"/>
      <c r="AO118" s="1110"/>
      <c r="AP118" s="1110"/>
      <c r="AQ118" s="1110"/>
      <c r="AR118" s="1110"/>
      <c r="AS118" s="1110"/>
      <c r="AT118" s="1110"/>
      <c r="AU118" s="1110"/>
      <c r="AV118" s="1110"/>
      <c r="AW118" s="1110"/>
      <c r="AX118" s="1111"/>
    </row>
    <row r="119" spans="1:50" ht="45.75" customHeight="1" x14ac:dyDescent="0.2">
      <c r="A119" s="1174" t="s">
        <v>2195</v>
      </c>
      <c r="B119" s="1206" t="s">
        <v>2484</v>
      </c>
      <c r="C119" s="1259" t="s">
        <v>2485</v>
      </c>
      <c r="D119" s="1110"/>
      <c r="E119" s="1110"/>
      <c r="F119" s="1110"/>
      <c r="G119" s="1110"/>
      <c r="H119" s="1110"/>
      <c r="I119" s="1379"/>
      <c r="J119" s="1379"/>
      <c r="K119" s="1379"/>
      <c r="L119" s="1379"/>
      <c r="M119" s="1379"/>
      <c r="N119" s="1380"/>
      <c r="O119" s="1380"/>
      <c r="P119" s="1379"/>
      <c r="Q119" s="1110">
        <v>-138113</v>
      </c>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1"/>
    </row>
    <row r="120" spans="1:50" ht="45.75" customHeight="1" x14ac:dyDescent="0.2">
      <c r="A120" s="1174" t="s">
        <v>2197</v>
      </c>
      <c r="B120" s="1206" t="s">
        <v>2487</v>
      </c>
      <c r="C120" s="1259" t="s">
        <v>2532</v>
      </c>
      <c r="D120" s="1110"/>
      <c r="E120" s="1110"/>
      <c r="F120" s="1110"/>
      <c r="G120" s="1110"/>
      <c r="H120" s="1110"/>
      <c r="I120" s="1379"/>
      <c r="J120" s="1379"/>
      <c r="K120" s="1379"/>
      <c r="L120" s="1379"/>
      <c r="M120" s="1379"/>
      <c r="N120" s="1380"/>
      <c r="O120" s="1380"/>
      <c r="P120" s="1379"/>
      <c r="Q120" s="1110">
        <v>-402336</v>
      </c>
      <c r="R120" s="1110"/>
      <c r="S120" s="1110"/>
      <c r="T120" s="1110"/>
      <c r="U120" s="1110"/>
      <c r="V120" s="1110"/>
      <c r="W120" s="1110"/>
      <c r="X120" s="1110"/>
      <c r="Y120" s="1110"/>
      <c r="Z120" s="1110"/>
      <c r="AA120" s="1110"/>
      <c r="AB120" s="1110"/>
      <c r="AC120" s="1110"/>
      <c r="AD120" s="1110"/>
      <c r="AE120" s="1110"/>
      <c r="AF120" s="1110"/>
      <c r="AG120" s="1110"/>
      <c r="AH120" s="1110"/>
      <c r="AI120" s="1110"/>
      <c r="AJ120" s="1110"/>
      <c r="AK120" s="1110"/>
      <c r="AL120" s="1110"/>
      <c r="AM120" s="1110"/>
      <c r="AN120" s="1110"/>
      <c r="AO120" s="1110"/>
      <c r="AP120" s="1110"/>
      <c r="AQ120" s="1110"/>
      <c r="AR120" s="1110"/>
      <c r="AS120" s="1110"/>
      <c r="AT120" s="1110"/>
      <c r="AU120" s="1110"/>
      <c r="AV120" s="1110"/>
      <c r="AW120" s="1110"/>
      <c r="AX120" s="1111"/>
    </row>
    <row r="121" spans="1:50" ht="74.25" customHeight="1" x14ac:dyDescent="0.2">
      <c r="A121" s="1174" t="s">
        <v>2199</v>
      </c>
      <c r="B121" s="1206" t="s">
        <v>2488</v>
      </c>
      <c r="C121" s="1259" t="s">
        <v>2489</v>
      </c>
      <c r="D121" s="1110"/>
      <c r="E121" s="1110"/>
      <c r="F121" s="1110"/>
      <c r="G121" s="1110"/>
      <c r="H121" s="1110"/>
      <c r="I121" s="1379"/>
      <c r="J121" s="1379"/>
      <c r="K121" s="1379"/>
      <c r="L121" s="1379"/>
      <c r="M121" s="1379"/>
      <c r="N121" s="1380"/>
      <c r="O121" s="1380"/>
      <c r="P121" s="1379"/>
      <c r="Q121" s="1110"/>
      <c r="R121" s="1110"/>
      <c r="S121" s="1110"/>
      <c r="T121" s="1110"/>
      <c r="U121" s="1110"/>
      <c r="V121" s="1110"/>
      <c r="W121" s="1110"/>
      <c r="X121" s="1110"/>
      <c r="Y121" s="1110">
        <v>3201303</v>
      </c>
      <c r="Z121" s="1110"/>
      <c r="AA121" s="1110"/>
      <c r="AB121" s="1110"/>
      <c r="AC121" s="1110"/>
      <c r="AD121" s="1110"/>
      <c r="AE121" s="1110"/>
      <c r="AF121" s="1110"/>
      <c r="AG121" s="1110"/>
      <c r="AH121" s="1110"/>
      <c r="AI121" s="1110"/>
      <c r="AJ121" s="1110"/>
      <c r="AK121" s="1110"/>
      <c r="AL121" s="1110"/>
      <c r="AM121" s="1110"/>
      <c r="AN121" s="1110"/>
      <c r="AO121" s="1110"/>
      <c r="AP121" s="1110"/>
      <c r="AQ121" s="1110"/>
      <c r="AR121" s="1110"/>
      <c r="AS121" s="1110"/>
      <c r="AT121" s="1110"/>
      <c r="AU121" s="1110"/>
      <c r="AV121" s="1110"/>
      <c r="AW121" s="1110"/>
      <c r="AX121" s="1111"/>
    </row>
    <row r="122" spans="1:50" ht="63.75" customHeight="1" x14ac:dyDescent="0.2">
      <c r="A122" s="1174" t="s">
        <v>2203</v>
      </c>
      <c r="B122" s="1206" t="s">
        <v>2493</v>
      </c>
      <c r="C122" s="1477" t="s">
        <v>2494</v>
      </c>
      <c r="D122" s="1110"/>
      <c r="E122" s="1110"/>
      <c r="F122" s="1110"/>
      <c r="G122" s="1110"/>
      <c r="H122" s="1110"/>
      <c r="I122" s="1379"/>
      <c r="J122" s="1379"/>
      <c r="K122" s="1379"/>
      <c r="L122" s="1379"/>
      <c r="M122" s="1379">
        <v>400000</v>
      </c>
      <c r="N122" s="1380"/>
      <c r="O122" s="1380"/>
      <c r="P122" s="1379"/>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v>-400000</v>
      </c>
      <c r="AR122" s="1110"/>
      <c r="AS122" s="1110"/>
      <c r="AT122" s="1110"/>
      <c r="AU122" s="1110"/>
      <c r="AV122" s="1110"/>
      <c r="AW122" s="1110"/>
      <c r="AX122" s="1111"/>
    </row>
    <row r="123" spans="1:50" ht="46.5" customHeight="1" x14ac:dyDescent="0.2">
      <c r="A123" s="1174" t="s">
        <v>2213</v>
      </c>
      <c r="B123" s="1206" t="s">
        <v>2498</v>
      </c>
      <c r="C123" s="1259" t="s">
        <v>2500</v>
      </c>
      <c r="D123" s="1110"/>
      <c r="E123" s="1110"/>
      <c r="F123" s="1110"/>
      <c r="G123" s="1110"/>
      <c r="H123" s="1110"/>
      <c r="I123" s="1379"/>
      <c r="J123" s="1379"/>
      <c r="K123" s="1379"/>
      <c r="L123" s="1379"/>
      <c r="M123" s="1379"/>
      <c r="N123" s="1380"/>
      <c r="O123" s="1380"/>
      <c r="P123" s="1379"/>
      <c r="Q123" s="1110"/>
      <c r="R123" s="1110"/>
      <c r="S123" s="1110"/>
      <c r="T123" s="1110"/>
      <c r="U123" s="1110"/>
      <c r="V123" s="1110"/>
      <c r="W123" s="1110"/>
      <c r="X123" s="1110"/>
      <c r="Y123" s="1110"/>
      <c r="Z123" s="1110"/>
      <c r="AA123" s="1110"/>
      <c r="AB123" s="1110"/>
      <c r="AC123" s="1110"/>
      <c r="AD123" s="1110"/>
      <c r="AE123" s="1110"/>
      <c r="AF123" s="1110"/>
      <c r="AG123" s="1110"/>
      <c r="AH123" s="1110"/>
      <c r="AI123" s="1110"/>
      <c r="AJ123" s="1110"/>
      <c r="AK123" s="1110"/>
      <c r="AL123" s="1110"/>
      <c r="AM123" s="1110"/>
      <c r="AN123" s="1110"/>
      <c r="AO123" s="1110"/>
      <c r="AP123" s="1110"/>
      <c r="AQ123" s="1110"/>
      <c r="AR123" s="1110"/>
      <c r="AS123" s="1110"/>
      <c r="AT123" s="1110">
        <v>-4445000</v>
      </c>
      <c r="AU123" s="1110"/>
      <c r="AV123" s="1110"/>
      <c r="AW123" s="1110"/>
      <c r="AX123" s="1111"/>
    </row>
    <row r="124" spans="1:50" ht="51" customHeight="1" x14ac:dyDescent="0.2">
      <c r="A124" s="1174" t="s">
        <v>2215</v>
      </c>
      <c r="B124" s="1206" t="s">
        <v>2501</v>
      </c>
      <c r="C124" s="1259" t="s">
        <v>2502</v>
      </c>
      <c r="D124" s="1110"/>
      <c r="E124" s="1110"/>
      <c r="F124" s="1110"/>
      <c r="G124" s="1110"/>
      <c r="H124" s="1110"/>
      <c r="I124" s="1379"/>
      <c r="J124" s="1379"/>
      <c r="K124" s="1379"/>
      <c r="L124" s="1379"/>
      <c r="M124" s="1379"/>
      <c r="N124" s="1380"/>
      <c r="O124" s="1380"/>
      <c r="P124" s="1379"/>
      <c r="Q124" s="1110"/>
      <c r="R124" s="1110"/>
      <c r="S124" s="1110"/>
      <c r="T124" s="1110"/>
      <c r="U124" s="1110"/>
      <c r="V124" s="1110"/>
      <c r="W124" s="1110"/>
      <c r="X124" s="1110"/>
      <c r="Y124" s="1110"/>
      <c r="Z124" s="1110"/>
      <c r="AA124" s="1110"/>
      <c r="AB124" s="1110"/>
      <c r="AC124" s="1110"/>
      <c r="AD124" s="1110"/>
      <c r="AE124" s="1110"/>
      <c r="AF124" s="1110"/>
      <c r="AG124" s="1110"/>
      <c r="AH124" s="1110"/>
      <c r="AI124" s="1110"/>
      <c r="AJ124" s="1110"/>
      <c r="AK124" s="1110"/>
      <c r="AL124" s="1110"/>
      <c r="AM124" s="1110"/>
      <c r="AN124" s="1110"/>
      <c r="AO124" s="1110"/>
      <c r="AP124" s="1110"/>
      <c r="AQ124" s="1110"/>
      <c r="AR124" s="1110"/>
      <c r="AS124" s="1110"/>
      <c r="AT124" s="1110">
        <v>-3556000</v>
      </c>
      <c r="AU124" s="1110"/>
      <c r="AV124" s="1110"/>
      <c r="AW124" s="1110"/>
      <c r="AX124" s="1111"/>
    </row>
    <row r="125" spans="1:50" ht="47.25" customHeight="1" x14ac:dyDescent="0.2">
      <c r="A125" s="1174" t="s">
        <v>2216</v>
      </c>
      <c r="B125" s="1206" t="s">
        <v>2506</v>
      </c>
      <c r="C125" s="1259" t="s">
        <v>2507</v>
      </c>
      <c r="D125" s="1357"/>
      <c r="E125" s="1110"/>
      <c r="F125" s="1110"/>
      <c r="G125" s="1110"/>
      <c r="H125" s="1110"/>
      <c r="I125" s="1379"/>
      <c r="J125" s="1379"/>
      <c r="K125" s="1379"/>
      <c r="L125" s="1379"/>
      <c r="M125" s="1379"/>
      <c r="N125" s="1380"/>
      <c r="O125" s="1380"/>
      <c r="P125" s="1379"/>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v>-600000</v>
      </c>
      <c r="AM125" s="1110"/>
      <c r="AN125" s="1110"/>
      <c r="AO125" s="1110"/>
      <c r="AP125" s="1110"/>
      <c r="AQ125" s="1110"/>
      <c r="AR125" s="1110"/>
      <c r="AS125" s="1110"/>
      <c r="AT125" s="1110"/>
      <c r="AU125" s="1110"/>
      <c r="AV125" s="1110"/>
      <c r="AW125" s="1110"/>
      <c r="AX125" s="1111"/>
    </row>
    <row r="126" spans="1:50" ht="33" customHeight="1" x14ac:dyDescent="0.2">
      <c r="A126" s="1174" t="s">
        <v>2221</v>
      </c>
      <c r="B126" s="1206" t="s">
        <v>2510</v>
      </c>
      <c r="C126" s="1482" t="s">
        <v>2511</v>
      </c>
      <c r="D126" s="1357"/>
      <c r="E126" s="1110"/>
      <c r="F126" s="1110"/>
      <c r="G126" s="1110"/>
      <c r="H126" s="1110"/>
      <c r="I126" s="1379"/>
      <c r="J126" s="1379"/>
      <c r="K126" s="1379"/>
      <c r="L126" s="1379"/>
      <c r="M126" s="1379"/>
      <c r="N126" s="1380"/>
      <c r="O126" s="1380"/>
      <c r="P126" s="1379"/>
      <c r="Q126" s="1110"/>
      <c r="R126" s="1110"/>
      <c r="S126" s="1110"/>
      <c r="T126" s="1110"/>
      <c r="U126" s="1110"/>
      <c r="V126" s="1110"/>
      <c r="W126" s="1110"/>
      <c r="X126" s="1110"/>
      <c r="Y126" s="1110"/>
      <c r="Z126" s="1110"/>
      <c r="AA126" s="1110"/>
      <c r="AB126" s="1110"/>
      <c r="AC126" s="1110"/>
      <c r="AD126" s="1110"/>
      <c r="AE126" s="1110"/>
      <c r="AF126" s="1110"/>
      <c r="AG126" s="1110"/>
      <c r="AH126" s="1110"/>
      <c r="AI126" s="1110"/>
      <c r="AJ126" s="1110"/>
      <c r="AK126" s="1110">
        <v>-1845444</v>
      </c>
      <c r="AL126" s="1110"/>
      <c r="AM126" s="1110"/>
      <c r="AN126" s="1110"/>
      <c r="AO126" s="1110"/>
      <c r="AP126" s="1110"/>
      <c r="AQ126" s="1110"/>
      <c r="AR126" s="1110"/>
      <c r="AS126" s="1110"/>
      <c r="AT126" s="1110"/>
      <c r="AU126" s="1110"/>
      <c r="AV126" s="1110"/>
      <c r="AW126" s="1110"/>
      <c r="AX126" s="1111"/>
    </row>
    <row r="127" spans="1:50" ht="61.5" customHeight="1" x14ac:dyDescent="0.2">
      <c r="A127" s="1174" t="s">
        <v>2223</v>
      </c>
      <c r="B127" s="1206" t="s">
        <v>2512</v>
      </c>
      <c r="C127" s="1259" t="s">
        <v>2513</v>
      </c>
      <c r="D127" s="1357"/>
      <c r="E127" s="1110"/>
      <c r="F127" s="1110"/>
      <c r="G127" s="1110"/>
      <c r="H127" s="1110"/>
      <c r="I127" s="1379"/>
      <c r="J127" s="1379"/>
      <c r="K127" s="1379"/>
      <c r="L127" s="1379"/>
      <c r="M127" s="1379"/>
      <c r="N127" s="1380"/>
      <c r="O127" s="1380"/>
      <c r="P127" s="1379"/>
      <c r="Q127" s="1110">
        <v>-125047</v>
      </c>
      <c r="R127" s="1110"/>
      <c r="S127" s="1110"/>
      <c r="T127" s="1110"/>
      <c r="U127" s="1110"/>
      <c r="V127" s="1110"/>
      <c r="W127" s="1110"/>
      <c r="X127" s="1110"/>
      <c r="Y127" s="1110"/>
      <c r="Z127" s="1110"/>
      <c r="AA127" s="1110"/>
      <c r="AB127" s="1110"/>
      <c r="AC127" s="1110"/>
      <c r="AD127" s="1110"/>
      <c r="AE127" s="1110"/>
      <c r="AF127" s="1110"/>
      <c r="AG127" s="1110"/>
      <c r="AH127" s="1110"/>
      <c r="AI127" s="1110"/>
      <c r="AJ127" s="1110"/>
      <c r="AK127" s="1110"/>
      <c r="AL127" s="1110"/>
      <c r="AM127" s="1110"/>
      <c r="AN127" s="1110"/>
      <c r="AO127" s="1110"/>
      <c r="AP127" s="1110"/>
      <c r="AQ127" s="1110"/>
      <c r="AR127" s="1110"/>
      <c r="AS127" s="1110"/>
      <c r="AT127" s="1110"/>
      <c r="AU127" s="1110"/>
      <c r="AV127" s="1110"/>
      <c r="AW127" s="1110"/>
      <c r="AX127" s="1111"/>
    </row>
    <row r="128" spans="1:50" ht="49.5" customHeight="1" x14ac:dyDescent="0.2">
      <c r="A128" s="1174" t="s">
        <v>2227</v>
      </c>
      <c r="B128" s="1207" t="s">
        <v>2520</v>
      </c>
      <c r="C128" s="1259" t="s">
        <v>2521</v>
      </c>
      <c r="D128" s="1357"/>
      <c r="E128" s="1110"/>
      <c r="F128" s="1110"/>
      <c r="G128" s="1110"/>
      <c r="H128" s="1110"/>
      <c r="I128" s="1379"/>
      <c r="J128" s="1379"/>
      <c r="K128" s="1379"/>
      <c r="L128" s="1379"/>
      <c r="M128" s="1379"/>
      <c r="N128" s="1380"/>
      <c r="O128" s="1380"/>
      <c r="P128" s="1379"/>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v>6185301</v>
      </c>
      <c r="AS128" s="1110"/>
      <c r="AT128" s="1110"/>
      <c r="AU128" s="1110"/>
      <c r="AV128" s="1110"/>
      <c r="AW128" s="1110"/>
      <c r="AX128" s="1111"/>
    </row>
    <row r="129" spans="1:50" ht="48" customHeight="1" x14ac:dyDescent="0.2">
      <c r="A129" s="1174" t="s">
        <v>2253</v>
      </c>
      <c r="B129" s="1206" t="s">
        <v>2525</v>
      </c>
      <c r="C129" s="1259" t="s">
        <v>2526</v>
      </c>
      <c r="D129" s="1357"/>
      <c r="E129" s="1110"/>
      <c r="F129" s="1110"/>
      <c r="G129" s="1110"/>
      <c r="H129" s="1110"/>
      <c r="I129" s="1379"/>
      <c r="J129" s="1379"/>
      <c r="K129" s="1379"/>
      <c r="L129" s="1379"/>
      <c r="M129" s="1379"/>
      <c r="N129" s="1380"/>
      <c r="O129" s="1380"/>
      <c r="P129" s="1379"/>
      <c r="Q129" s="1110"/>
      <c r="R129" s="1110"/>
      <c r="S129" s="1110"/>
      <c r="T129" s="1110"/>
      <c r="U129" s="1110"/>
      <c r="V129" s="1110"/>
      <c r="W129" s="1110"/>
      <c r="X129" s="1110"/>
      <c r="Y129" s="1110"/>
      <c r="Z129" s="1110"/>
      <c r="AA129" s="1110"/>
      <c r="AB129" s="1110"/>
      <c r="AC129" s="1110"/>
      <c r="AD129" s="1110"/>
      <c r="AE129" s="1110"/>
      <c r="AF129" s="1110"/>
      <c r="AG129" s="1110"/>
      <c r="AH129" s="1110"/>
      <c r="AI129" s="1110"/>
      <c r="AJ129" s="1110"/>
      <c r="AK129" s="1110"/>
      <c r="AL129" s="1110"/>
      <c r="AM129" s="1110"/>
      <c r="AN129" s="1110"/>
      <c r="AO129" s="1110"/>
      <c r="AP129" s="1110"/>
      <c r="AQ129" s="1110">
        <v>1379900</v>
      </c>
      <c r="AR129" s="1110"/>
      <c r="AS129" s="1110"/>
      <c r="AT129" s="1110"/>
      <c r="AU129" s="1110"/>
      <c r="AV129" s="1110"/>
      <c r="AW129" s="1110"/>
      <c r="AX129" s="1111"/>
    </row>
    <row r="130" spans="1:50" ht="54" customHeight="1" x14ac:dyDescent="0.2">
      <c r="A130" s="1174" t="s">
        <v>2256</v>
      </c>
      <c r="B130" s="1206" t="s">
        <v>2527</v>
      </c>
      <c r="C130" s="1259" t="s">
        <v>2528</v>
      </c>
      <c r="D130" s="1357"/>
      <c r="E130" s="1110"/>
      <c r="F130" s="1110"/>
      <c r="G130" s="1110"/>
      <c r="H130" s="1110"/>
      <c r="I130" s="1379"/>
      <c r="J130" s="1379"/>
      <c r="K130" s="1379"/>
      <c r="L130" s="1379"/>
      <c r="M130" s="1379"/>
      <c r="N130" s="1380"/>
      <c r="O130" s="1380"/>
      <c r="P130" s="1379"/>
      <c r="Q130" s="1110">
        <v>-747046</v>
      </c>
      <c r="R130" s="1110"/>
      <c r="S130" s="1110"/>
      <c r="T130" s="1110"/>
      <c r="U130" s="1110"/>
      <c r="V130" s="1110"/>
      <c r="W130" s="1110"/>
      <c r="X130" s="1110"/>
      <c r="Y130" s="1110"/>
      <c r="Z130" s="1110"/>
      <c r="AA130" s="1110"/>
      <c r="AB130" s="1110"/>
      <c r="AC130" s="1110"/>
      <c r="AD130" s="1110"/>
      <c r="AE130" s="1110"/>
      <c r="AF130" s="1110"/>
      <c r="AG130" s="1110"/>
      <c r="AH130" s="1110"/>
      <c r="AI130" s="1110"/>
      <c r="AJ130" s="1110"/>
      <c r="AK130" s="1110"/>
      <c r="AL130" s="1110"/>
      <c r="AM130" s="1110"/>
      <c r="AN130" s="1110"/>
      <c r="AO130" s="1110"/>
      <c r="AP130" s="1110"/>
      <c r="AQ130" s="1110"/>
      <c r="AR130" s="1110"/>
      <c r="AS130" s="1110"/>
      <c r="AT130" s="1110"/>
      <c r="AU130" s="1110"/>
      <c r="AV130" s="1110"/>
      <c r="AW130" s="1110"/>
      <c r="AX130" s="1111"/>
    </row>
    <row r="131" spans="1:50" ht="95.25" customHeight="1" x14ac:dyDescent="0.2">
      <c r="A131" s="1174" t="s">
        <v>2258</v>
      </c>
      <c r="B131" s="1206" t="s">
        <v>2542</v>
      </c>
      <c r="C131" s="1259" t="s">
        <v>2543</v>
      </c>
      <c r="D131" s="1357"/>
      <c r="E131" s="1110"/>
      <c r="F131" s="1110"/>
      <c r="G131" s="1110"/>
      <c r="H131" s="1110"/>
      <c r="I131" s="1379"/>
      <c r="J131" s="1379"/>
      <c r="K131" s="1379"/>
      <c r="L131" s="1379"/>
      <c r="M131" s="1379"/>
      <c r="N131" s="1380"/>
      <c r="O131" s="1380"/>
      <c r="P131" s="1379"/>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v>189906276</v>
      </c>
      <c r="AV131" s="1110"/>
      <c r="AW131" s="1110"/>
      <c r="AX131" s="1111"/>
    </row>
    <row r="132" spans="1:50" ht="64.5" customHeight="1" x14ac:dyDescent="0.2">
      <c r="A132" s="1410" t="s">
        <v>2260</v>
      </c>
      <c r="B132" s="1411" t="s">
        <v>2557</v>
      </c>
      <c r="C132" s="1259" t="s">
        <v>2558</v>
      </c>
      <c r="D132" s="1110"/>
      <c r="E132" s="1110"/>
      <c r="F132" s="1110"/>
      <c r="G132" s="1110"/>
      <c r="H132" s="1110"/>
      <c r="I132" s="1379"/>
      <c r="J132" s="1379"/>
      <c r="K132" s="1379"/>
      <c r="L132" s="1379"/>
      <c r="M132" s="1379"/>
      <c r="N132" s="1380"/>
      <c r="O132" s="1380"/>
      <c r="P132" s="1379"/>
      <c r="Q132" s="1110">
        <v>-5905500</v>
      </c>
      <c r="R132" s="1110"/>
      <c r="S132" s="1110"/>
      <c r="T132" s="1110"/>
      <c r="U132" s="1110"/>
      <c r="V132" s="1110"/>
      <c r="W132" s="1110"/>
      <c r="X132" s="1110"/>
      <c r="Y132" s="1110"/>
      <c r="Z132" s="1110"/>
      <c r="AA132" s="1110"/>
      <c r="AB132" s="1110"/>
      <c r="AC132" s="1110"/>
      <c r="AD132" s="1110"/>
      <c r="AE132" s="1110"/>
      <c r="AF132" s="1110"/>
      <c r="AG132" s="1110"/>
      <c r="AH132" s="1110"/>
      <c r="AI132" s="1110"/>
      <c r="AJ132" s="1110"/>
      <c r="AK132" s="1110"/>
      <c r="AL132" s="1110"/>
      <c r="AM132" s="1110"/>
      <c r="AN132" s="1110"/>
      <c r="AO132" s="1110"/>
      <c r="AP132" s="1110"/>
      <c r="AQ132" s="1110"/>
      <c r="AR132" s="1110"/>
      <c r="AS132" s="1110"/>
      <c r="AT132" s="1110"/>
      <c r="AU132" s="1110"/>
      <c r="AV132" s="1110"/>
      <c r="AW132" s="1110"/>
      <c r="AX132" s="1111"/>
    </row>
    <row r="133" spans="1:50" ht="65.25" customHeight="1" x14ac:dyDescent="0.2">
      <c r="A133" s="1410" t="s">
        <v>2262</v>
      </c>
      <c r="B133" s="1411" t="s">
        <v>2559</v>
      </c>
      <c r="C133" s="1482" t="s">
        <v>2560</v>
      </c>
      <c r="D133" s="1110"/>
      <c r="E133" s="1110"/>
      <c r="F133" s="1110"/>
      <c r="G133" s="1110"/>
      <c r="H133" s="1110"/>
      <c r="I133" s="1379"/>
      <c r="J133" s="1379"/>
      <c r="K133" s="1379"/>
      <c r="L133" s="1379"/>
      <c r="M133" s="1379"/>
      <c r="N133" s="1380"/>
      <c r="O133" s="1380"/>
      <c r="P133" s="1379"/>
      <c r="Q133" s="1110"/>
      <c r="R133" s="1110"/>
      <c r="S133" s="1110"/>
      <c r="T133" s="1110"/>
      <c r="U133" s="1110"/>
      <c r="V133" s="1110"/>
      <c r="W133" s="1110"/>
      <c r="X133" s="1110"/>
      <c r="Y133" s="1110"/>
      <c r="Z133" s="1110"/>
      <c r="AA133" s="1110"/>
      <c r="AB133" s="1110"/>
      <c r="AC133" s="1110"/>
      <c r="AD133" s="1110"/>
      <c r="AE133" s="1110"/>
      <c r="AF133" s="1110"/>
      <c r="AG133" s="1110"/>
      <c r="AH133" s="1110"/>
      <c r="AI133" s="1110"/>
      <c r="AJ133" s="1110"/>
      <c r="AK133" s="1110"/>
      <c r="AL133" s="1110"/>
      <c r="AM133" s="1110"/>
      <c r="AN133" s="1110"/>
      <c r="AO133" s="1110"/>
      <c r="AP133" s="1110"/>
      <c r="AQ133" s="1110"/>
      <c r="AR133" s="1110"/>
      <c r="AS133" s="1110"/>
      <c r="AT133" s="1110"/>
      <c r="AU133" s="1110"/>
      <c r="AV133" s="1110"/>
      <c r="AW133" s="1110"/>
      <c r="AX133" s="1111">
        <v>-500000</v>
      </c>
    </row>
    <row r="134" spans="1:50" ht="63" customHeight="1" x14ac:dyDescent="0.2">
      <c r="A134" s="1410" t="s">
        <v>2265</v>
      </c>
      <c r="B134" s="1411" t="s">
        <v>2562</v>
      </c>
      <c r="C134" s="1259" t="s">
        <v>2563</v>
      </c>
      <c r="D134" s="1110"/>
      <c r="E134" s="1110"/>
      <c r="F134" s="1110"/>
      <c r="G134" s="1110"/>
      <c r="H134" s="1110"/>
      <c r="I134" s="1379"/>
      <c r="J134" s="1379"/>
      <c r="K134" s="1379"/>
      <c r="L134" s="1379"/>
      <c r="M134" s="1379"/>
      <c r="N134" s="1380"/>
      <c r="O134" s="1380"/>
      <c r="P134" s="1379"/>
      <c r="Q134" s="1110">
        <v>-3556000</v>
      </c>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1"/>
    </row>
    <row r="135" spans="1:50" ht="49.5" customHeight="1" x14ac:dyDescent="0.2">
      <c r="A135" s="1410" t="s">
        <v>2267</v>
      </c>
      <c r="B135" s="1411" t="s">
        <v>2565</v>
      </c>
      <c r="C135" s="1259" t="s">
        <v>2567</v>
      </c>
      <c r="D135" s="1110"/>
      <c r="E135" s="1110"/>
      <c r="F135" s="1110"/>
      <c r="G135" s="1110"/>
      <c r="H135" s="1110"/>
      <c r="I135" s="1379"/>
      <c r="J135" s="1379"/>
      <c r="K135" s="1379"/>
      <c r="L135" s="1379"/>
      <c r="M135" s="1379"/>
      <c r="N135" s="1380"/>
      <c r="O135" s="1380"/>
      <c r="P135" s="1379"/>
      <c r="Q135" s="1110">
        <v>-772160</v>
      </c>
      <c r="R135" s="1110"/>
      <c r="S135" s="1110"/>
      <c r="T135" s="1110"/>
      <c r="U135" s="1110"/>
      <c r="V135" s="1110"/>
      <c r="W135" s="1110"/>
      <c r="X135" s="1110"/>
      <c r="Y135" s="1110"/>
      <c r="Z135" s="1110"/>
      <c r="AA135" s="1110"/>
      <c r="AB135" s="1110"/>
      <c r="AC135" s="1110"/>
      <c r="AD135" s="1110"/>
      <c r="AE135" s="1110"/>
      <c r="AF135" s="1110"/>
      <c r="AG135" s="1110"/>
      <c r="AH135" s="1110"/>
      <c r="AI135" s="1110"/>
      <c r="AJ135" s="1110"/>
      <c r="AK135" s="1110"/>
      <c r="AL135" s="1110"/>
      <c r="AM135" s="1110"/>
      <c r="AN135" s="1110"/>
      <c r="AO135" s="1110"/>
      <c r="AP135" s="1110"/>
      <c r="AQ135" s="1110"/>
      <c r="AR135" s="1110"/>
      <c r="AS135" s="1110"/>
      <c r="AT135" s="1110"/>
      <c r="AU135" s="1110"/>
      <c r="AV135" s="1110"/>
      <c r="AW135" s="1110"/>
      <c r="AX135" s="1111"/>
    </row>
    <row r="136" spans="1:50" ht="81" customHeight="1" x14ac:dyDescent="0.2">
      <c r="A136" s="1410" t="s">
        <v>2269</v>
      </c>
      <c r="B136" s="1411" t="s">
        <v>2569</v>
      </c>
      <c r="C136" s="1259" t="s">
        <v>2570</v>
      </c>
      <c r="D136" s="1110"/>
      <c r="E136" s="1110"/>
      <c r="F136" s="1110"/>
      <c r="G136" s="1110"/>
      <c r="H136" s="1110"/>
      <c r="I136" s="1379"/>
      <c r="J136" s="1379"/>
      <c r="K136" s="1379"/>
      <c r="L136" s="1379"/>
      <c r="M136" s="1379"/>
      <c r="N136" s="1380"/>
      <c r="O136" s="1380"/>
      <c r="P136" s="1379"/>
      <c r="Q136" s="1110">
        <v>-75000</v>
      </c>
      <c r="R136" s="1110"/>
      <c r="S136" s="1110"/>
      <c r="T136" s="1110"/>
      <c r="U136" s="1110"/>
      <c r="V136" s="1110"/>
      <c r="W136" s="1110"/>
      <c r="X136" s="1110"/>
      <c r="Y136" s="1110"/>
      <c r="Z136" s="1110"/>
      <c r="AA136" s="1110"/>
      <c r="AB136" s="1110"/>
      <c r="AC136" s="1110"/>
      <c r="AD136" s="1110"/>
      <c r="AE136" s="1110"/>
      <c r="AF136" s="1110"/>
      <c r="AG136" s="1110"/>
      <c r="AH136" s="1110"/>
      <c r="AI136" s="1110"/>
      <c r="AJ136" s="1110"/>
      <c r="AK136" s="1110"/>
      <c r="AL136" s="1110"/>
      <c r="AM136" s="1110"/>
      <c r="AN136" s="1110"/>
      <c r="AO136" s="1110"/>
      <c r="AP136" s="1110"/>
      <c r="AQ136" s="1110"/>
      <c r="AR136" s="1110"/>
      <c r="AS136" s="1110"/>
      <c r="AT136" s="1110"/>
      <c r="AU136" s="1110"/>
      <c r="AV136" s="1110"/>
      <c r="AW136" s="1110"/>
      <c r="AX136" s="1111"/>
    </row>
    <row r="137" spans="1:50" ht="51" customHeight="1" x14ac:dyDescent="0.2">
      <c r="A137" s="1410" t="s">
        <v>2277</v>
      </c>
      <c r="B137" s="1411" t="s">
        <v>2575</v>
      </c>
      <c r="C137" s="1259" t="s">
        <v>2576</v>
      </c>
      <c r="D137" s="1110"/>
      <c r="E137" s="1110"/>
      <c r="F137" s="1110"/>
      <c r="G137" s="1110"/>
      <c r="H137" s="1110"/>
      <c r="I137" s="1379"/>
      <c r="J137" s="1379"/>
      <c r="K137" s="1379"/>
      <c r="L137" s="1379"/>
      <c r="M137" s="1379"/>
      <c r="N137" s="1380"/>
      <c r="O137" s="1380"/>
      <c r="P137" s="1379"/>
      <c r="Q137" s="1110">
        <v>-708660</v>
      </c>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1"/>
    </row>
    <row r="138" spans="1:50" ht="64.5" customHeight="1" x14ac:dyDescent="0.2">
      <c r="A138" s="1410" t="s">
        <v>2279</v>
      </c>
      <c r="B138" s="1411" t="s">
        <v>2577</v>
      </c>
      <c r="C138" s="1259" t="s">
        <v>2580</v>
      </c>
      <c r="D138" s="1110"/>
      <c r="E138" s="1110"/>
      <c r="F138" s="1110"/>
      <c r="G138" s="1110"/>
      <c r="H138" s="1110"/>
      <c r="I138" s="1379"/>
      <c r="J138" s="1379"/>
      <c r="K138" s="1379"/>
      <c r="L138" s="1379"/>
      <c r="M138" s="1379"/>
      <c r="N138" s="1380"/>
      <c r="O138" s="1380"/>
      <c r="P138" s="1379"/>
      <c r="Q138" s="1110">
        <v>-239848</v>
      </c>
      <c r="R138" s="1110"/>
      <c r="S138" s="1110"/>
      <c r="T138" s="1110"/>
      <c r="U138" s="1110"/>
      <c r="V138" s="1110"/>
      <c r="W138" s="1110"/>
      <c r="X138" s="1110"/>
      <c r="Y138" s="1110"/>
      <c r="Z138" s="1110"/>
      <c r="AA138" s="1110"/>
      <c r="AB138" s="1110"/>
      <c r="AC138" s="1110"/>
      <c r="AD138" s="1110"/>
      <c r="AE138" s="1110"/>
      <c r="AF138" s="1110"/>
      <c r="AG138" s="1110"/>
      <c r="AH138" s="1110"/>
      <c r="AI138" s="1110"/>
      <c r="AJ138" s="1110"/>
      <c r="AK138" s="1110"/>
      <c r="AL138" s="1110"/>
      <c r="AM138" s="1110"/>
      <c r="AN138" s="1110"/>
      <c r="AO138" s="1110"/>
      <c r="AP138" s="1110"/>
      <c r="AQ138" s="1110"/>
      <c r="AR138" s="1110"/>
      <c r="AS138" s="1110"/>
      <c r="AT138" s="1110"/>
      <c r="AU138" s="1110"/>
      <c r="AV138" s="1110"/>
      <c r="AW138" s="1110"/>
      <c r="AX138" s="1111"/>
    </row>
    <row r="139" spans="1:50" ht="49.5" customHeight="1" x14ac:dyDescent="0.2">
      <c r="A139" s="1410" t="s">
        <v>2283</v>
      </c>
      <c r="B139" s="1411" t="s">
        <v>2578</v>
      </c>
      <c r="C139" s="1259" t="s">
        <v>2579</v>
      </c>
      <c r="D139" s="1110"/>
      <c r="E139" s="1110"/>
      <c r="F139" s="1110"/>
      <c r="G139" s="1110"/>
      <c r="H139" s="1110"/>
      <c r="I139" s="1379"/>
      <c r="J139" s="1379"/>
      <c r="K139" s="1379"/>
      <c r="L139" s="1379"/>
      <c r="M139" s="1379"/>
      <c r="N139" s="1380"/>
      <c r="O139" s="1380"/>
      <c r="P139" s="1379"/>
      <c r="Q139" s="1110">
        <v>-243382</v>
      </c>
      <c r="R139" s="1110"/>
      <c r="S139" s="1110"/>
      <c r="T139" s="1110"/>
      <c r="U139" s="1110"/>
      <c r="V139" s="1110"/>
      <c r="W139" s="1110"/>
      <c r="X139" s="1110"/>
      <c r="Y139" s="1110"/>
      <c r="Z139" s="1110"/>
      <c r="AA139" s="1110"/>
      <c r="AB139" s="1110"/>
      <c r="AC139" s="1110"/>
      <c r="AD139" s="1110"/>
      <c r="AE139" s="1110"/>
      <c r="AF139" s="1110"/>
      <c r="AG139" s="1110"/>
      <c r="AH139" s="1110"/>
      <c r="AI139" s="1110"/>
      <c r="AJ139" s="1110"/>
      <c r="AK139" s="1110"/>
      <c r="AL139" s="1110"/>
      <c r="AM139" s="1110"/>
      <c r="AN139" s="1110"/>
      <c r="AO139" s="1110"/>
      <c r="AP139" s="1110"/>
      <c r="AQ139" s="1110"/>
      <c r="AR139" s="1110"/>
      <c r="AS139" s="1110"/>
      <c r="AT139" s="1110"/>
      <c r="AU139" s="1110"/>
      <c r="AV139" s="1110"/>
      <c r="AW139" s="1110"/>
      <c r="AX139" s="1111"/>
    </row>
    <row r="140" spans="1:50" ht="52.5" customHeight="1" x14ac:dyDescent="0.2">
      <c r="A140" s="1410" t="s">
        <v>2285</v>
      </c>
      <c r="B140" s="1411" t="s">
        <v>2581</v>
      </c>
      <c r="C140" s="1259" t="s">
        <v>2582</v>
      </c>
      <c r="D140" s="1110"/>
      <c r="E140" s="1110"/>
      <c r="F140" s="1110"/>
      <c r="G140" s="1110"/>
      <c r="H140" s="1110"/>
      <c r="I140" s="1379"/>
      <c r="J140" s="1379"/>
      <c r="K140" s="1379"/>
      <c r="L140" s="1379"/>
      <c r="M140" s="1379"/>
      <c r="N140" s="1380"/>
      <c r="O140" s="1380"/>
      <c r="P140" s="1379"/>
      <c r="Q140" s="1110">
        <v>-2080500</v>
      </c>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1"/>
    </row>
    <row r="141" spans="1:50" ht="53.25" customHeight="1" x14ac:dyDescent="0.2">
      <c r="A141" s="1410" t="s">
        <v>2287</v>
      </c>
      <c r="B141" s="1411" t="s">
        <v>2583</v>
      </c>
      <c r="C141" s="1259" t="s">
        <v>2584</v>
      </c>
      <c r="D141" s="1110"/>
      <c r="E141" s="1110"/>
      <c r="F141" s="1110"/>
      <c r="G141" s="1110"/>
      <c r="H141" s="1110"/>
      <c r="I141" s="1379"/>
      <c r="J141" s="1379"/>
      <c r="K141" s="1379"/>
      <c r="L141" s="1379"/>
      <c r="M141" s="1379"/>
      <c r="N141" s="1380"/>
      <c r="O141" s="1380"/>
      <c r="P141" s="1379"/>
      <c r="Q141" s="1110">
        <v>-1030262</v>
      </c>
      <c r="R141" s="1110"/>
      <c r="S141" s="1110"/>
      <c r="T141" s="1110"/>
      <c r="U141" s="1110"/>
      <c r="V141" s="1110"/>
      <c r="W141" s="1110"/>
      <c r="X141" s="1110"/>
      <c r="Y141" s="1110"/>
      <c r="Z141" s="1110"/>
      <c r="AA141" s="1110"/>
      <c r="AB141" s="1110"/>
      <c r="AC141" s="1110"/>
      <c r="AD141" s="1110"/>
      <c r="AE141" s="1110"/>
      <c r="AF141" s="1110"/>
      <c r="AG141" s="1110"/>
      <c r="AH141" s="1110"/>
      <c r="AI141" s="1110"/>
      <c r="AJ141" s="1110"/>
      <c r="AK141" s="1110"/>
      <c r="AL141" s="1110"/>
      <c r="AM141" s="1110"/>
      <c r="AN141" s="1110"/>
      <c r="AO141" s="1110"/>
      <c r="AP141" s="1110"/>
      <c r="AQ141" s="1110"/>
      <c r="AR141" s="1110"/>
      <c r="AS141" s="1110"/>
      <c r="AT141" s="1110"/>
      <c r="AU141" s="1110"/>
      <c r="AV141" s="1110"/>
      <c r="AW141" s="1110"/>
      <c r="AX141" s="1111"/>
    </row>
    <row r="142" spans="1:50" ht="51" customHeight="1" x14ac:dyDescent="0.2">
      <c r="A142" s="1410" t="s">
        <v>2292</v>
      </c>
      <c r="B142" s="1411" t="s">
        <v>2586</v>
      </c>
      <c r="C142" s="1259" t="s">
        <v>2587</v>
      </c>
      <c r="D142" s="1110"/>
      <c r="E142" s="1110"/>
      <c r="F142" s="1110"/>
      <c r="G142" s="1110"/>
      <c r="H142" s="1110"/>
      <c r="I142" s="1379"/>
      <c r="J142" s="1379"/>
      <c r="K142" s="1379"/>
      <c r="L142" s="1379"/>
      <c r="M142" s="1379"/>
      <c r="N142" s="1380"/>
      <c r="O142" s="1380"/>
      <c r="P142" s="1379"/>
      <c r="Q142" s="1110">
        <v>-660400</v>
      </c>
      <c r="R142" s="1110"/>
      <c r="S142" s="1110"/>
      <c r="T142" s="1110"/>
      <c r="U142" s="1110"/>
      <c r="V142" s="1110"/>
      <c r="W142" s="1110"/>
      <c r="X142" s="1110"/>
      <c r="Y142" s="1110"/>
      <c r="Z142" s="1110"/>
      <c r="AA142" s="1110"/>
      <c r="AB142" s="1110"/>
      <c r="AC142" s="1110"/>
      <c r="AD142" s="1110"/>
      <c r="AE142" s="1110"/>
      <c r="AF142" s="1110"/>
      <c r="AG142" s="1110"/>
      <c r="AH142" s="1110"/>
      <c r="AI142" s="1110"/>
      <c r="AJ142" s="1110"/>
      <c r="AK142" s="1110"/>
      <c r="AL142" s="1110"/>
      <c r="AM142" s="1110"/>
      <c r="AN142" s="1110"/>
      <c r="AO142" s="1110"/>
      <c r="AP142" s="1110"/>
      <c r="AQ142" s="1110"/>
      <c r="AR142" s="1110"/>
      <c r="AS142" s="1110"/>
      <c r="AT142" s="1110"/>
      <c r="AU142" s="1110"/>
      <c r="AV142" s="1110"/>
      <c r="AW142" s="1110"/>
      <c r="AX142" s="1111"/>
    </row>
    <row r="143" spans="1:50" ht="37.5" customHeight="1" x14ac:dyDescent="0.2">
      <c r="A143" s="1410" t="s">
        <v>2294</v>
      </c>
      <c r="B143" s="1411" t="s">
        <v>2588</v>
      </c>
      <c r="C143" s="1259" t="s">
        <v>2275</v>
      </c>
      <c r="D143" s="1110"/>
      <c r="E143" s="1110"/>
      <c r="F143" s="1110"/>
      <c r="G143" s="1110"/>
      <c r="H143" s="1110"/>
      <c r="I143" s="1379"/>
      <c r="J143" s="1379"/>
      <c r="K143" s="1379"/>
      <c r="L143" s="1379"/>
      <c r="M143" s="1379"/>
      <c r="N143" s="1380"/>
      <c r="O143" s="1380"/>
      <c r="P143" s="1379"/>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v>-15043838</v>
      </c>
      <c r="AM143" s="1110"/>
      <c r="AN143" s="1110"/>
      <c r="AO143" s="1110"/>
      <c r="AP143" s="1110"/>
      <c r="AQ143" s="1110"/>
      <c r="AR143" s="1110"/>
      <c r="AS143" s="1110"/>
      <c r="AT143" s="1110"/>
      <c r="AU143" s="1110"/>
      <c r="AV143" s="1110"/>
      <c r="AW143" s="1110"/>
      <c r="AX143" s="1111"/>
    </row>
    <row r="144" spans="1:50" ht="61.5" customHeight="1" x14ac:dyDescent="0.2">
      <c r="A144" s="1410" t="s">
        <v>2297</v>
      </c>
      <c r="B144" s="1411" t="s">
        <v>2594</v>
      </c>
      <c r="C144" s="1259" t="s">
        <v>2595</v>
      </c>
      <c r="D144" s="1110"/>
      <c r="E144" s="1110"/>
      <c r="F144" s="1110"/>
      <c r="G144" s="1110"/>
      <c r="H144" s="1110"/>
      <c r="I144" s="1379"/>
      <c r="J144" s="1379"/>
      <c r="K144" s="1379"/>
      <c r="L144" s="1379"/>
      <c r="M144" s="1379"/>
      <c r="N144" s="1380"/>
      <c r="O144" s="1380"/>
      <c r="P144" s="1379"/>
      <c r="Q144" s="1110">
        <v>-850900</v>
      </c>
      <c r="R144" s="1110"/>
      <c r="S144" s="1110"/>
      <c r="T144" s="1110"/>
      <c r="U144" s="1110"/>
      <c r="V144" s="1110"/>
      <c r="W144" s="1110"/>
      <c r="X144" s="1110"/>
      <c r="Y144" s="1110"/>
      <c r="Z144" s="1110"/>
      <c r="AA144" s="1110"/>
      <c r="AB144" s="1110"/>
      <c r="AC144" s="1110"/>
      <c r="AD144" s="1110"/>
      <c r="AE144" s="1110"/>
      <c r="AF144" s="1110"/>
      <c r="AG144" s="1110"/>
      <c r="AH144" s="1110"/>
      <c r="AI144" s="1110"/>
      <c r="AJ144" s="1110"/>
      <c r="AK144" s="1110"/>
      <c r="AL144" s="1110"/>
      <c r="AM144" s="1110"/>
      <c r="AN144" s="1110"/>
      <c r="AO144" s="1110"/>
      <c r="AP144" s="1110"/>
      <c r="AQ144" s="1110"/>
      <c r="AR144" s="1110"/>
      <c r="AS144" s="1110"/>
      <c r="AT144" s="1110"/>
      <c r="AU144" s="1110"/>
      <c r="AV144" s="1110"/>
      <c r="AW144" s="1110"/>
      <c r="AX144" s="1111"/>
    </row>
    <row r="145" spans="1:50" ht="52.5" customHeight="1" x14ac:dyDescent="0.2">
      <c r="A145" s="1410" t="s">
        <v>2299</v>
      </c>
      <c r="B145" s="1411" t="s">
        <v>2596</v>
      </c>
      <c r="C145" s="1259" t="s">
        <v>2597</v>
      </c>
      <c r="D145" s="1110"/>
      <c r="E145" s="1110"/>
      <c r="F145" s="1110"/>
      <c r="G145" s="1110"/>
      <c r="H145" s="1110"/>
      <c r="I145" s="1379"/>
      <c r="J145" s="1379"/>
      <c r="K145" s="1379"/>
      <c r="L145" s="1379"/>
      <c r="M145" s="1379"/>
      <c r="N145" s="1380"/>
      <c r="O145" s="1380"/>
      <c r="P145" s="1379"/>
      <c r="Q145" s="1110">
        <v>-1330200</v>
      </c>
      <c r="R145" s="1110"/>
      <c r="S145" s="1110"/>
      <c r="T145" s="1110"/>
      <c r="U145" s="1110"/>
      <c r="V145" s="1110"/>
      <c r="W145" s="1110"/>
      <c r="X145" s="1110"/>
      <c r="Y145" s="1110"/>
      <c r="Z145" s="1110"/>
      <c r="AA145" s="1110"/>
      <c r="AB145" s="1110"/>
      <c r="AC145" s="1110"/>
      <c r="AD145" s="1110"/>
      <c r="AE145" s="1110"/>
      <c r="AF145" s="1110"/>
      <c r="AG145" s="1110"/>
      <c r="AH145" s="1110"/>
      <c r="AI145" s="1110"/>
      <c r="AJ145" s="1110"/>
      <c r="AK145" s="1110"/>
      <c r="AL145" s="1110"/>
      <c r="AM145" s="1110"/>
      <c r="AN145" s="1110"/>
      <c r="AO145" s="1110"/>
      <c r="AP145" s="1110"/>
      <c r="AQ145" s="1110"/>
      <c r="AR145" s="1110"/>
      <c r="AS145" s="1110"/>
      <c r="AT145" s="1110"/>
      <c r="AU145" s="1110"/>
      <c r="AV145" s="1110"/>
      <c r="AW145" s="1110"/>
      <c r="AX145" s="1111"/>
    </row>
    <row r="146" spans="1:50" ht="50.25" customHeight="1" x14ac:dyDescent="0.2">
      <c r="A146" s="1410" t="s">
        <v>2306</v>
      </c>
      <c r="B146" s="1411" t="s">
        <v>2598</v>
      </c>
      <c r="C146" s="1259" t="s">
        <v>2599</v>
      </c>
      <c r="D146" s="1110"/>
      <c r="E146" s="1110"/>
      <c r="F146" s="1110"/>
      <c r="G146" s="1110"/>
      <c r="H146" s="1110"/>
      <c r="I146" s="1379"/>
      <c r="J146" s="1379"/>
      <c r="K146" s="1379"/>
      <c r="L146" s="1379"/>
      <c r="M146" s="1379"/>
      <c r="N146" s="1380"/>
      <c r="O146" s="1380"/>
      <c r="P146" s="1379"/>
      <c r="Q146" s="1110">
        <v>-75311</v>
      </c>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1"/>
    </row>
    <row r="147" spans="1:50" ht="51.75" customHeight="1" x14ac:dyDescent="0.2">
      <c r="A147" s="1410" t="s">
        <v>2308</v>
      </c>
      <c r="B147" s="1411" t="s">
        <v>2601</v>
      </c>
      <c r="C147" s="1259" t="s">
        <v>2602</v>
      </c>
      <c r="D147" s="1110"/>
      <c r="E147" s="1110"/>
      <c r="F147" s="1110"/>
      <c r="G147" s="1110"/>
      <c r="H147" s="1110"/>
      <c r="I147" s="1379"/>
      <c r="J147" s="1379"/>
      <c r="K147" s="1379"/>
      <c r="L147" s="1379"/>
      <c r="M147" s="1379"/>
      <c r="N147" s="1380"/>
      <c r="O147" s="1380"/>
      <c r="P147" s="1379"/>
      <c r="Q147" s="1110">
        <v>-519500</v>
      </c>
      <c r="R147" s="1110"/>
      <c r="S147" s="1110"/>
      <c r="T147" s="1110"/>
      <c r="U147" s="1110"/>
      <c r="V147" s="1110"/>
      <c r="W147" s="1110"/>
      <c r="X147" s="1110"/>
      <c r="Y147" s="1110"/>
      <c r="Z147" s="1110"/>
      <c r="AA147" s="1110"/>
      <c r="AB147" s="1110"/>
      <c r="AC147" s="1110"/>
      <c r="AD147" s="1110"/>
      <c r="AE147" s="1110"/>
      <c r="AF147" s="1110"/>
      <c r="AG147" s="1110"/>
      <c r="AH147" s="1110"/>
      <c r="AI147" s="1110"/>
      <c r="AJ147" s="1110"/>
      <c r="AK147" s="1110"/>
      <c r="AL147" s="1110"/>
      <c r="AM147" s="1110"/>
      <c r="AN147" s="1110"/>
      <c r="AO147" s="1110"/>
      <c r="AP147" s="1110"/>
      <c r="AQ147" s="1110"/>
      <c r="AR147" s="1110"/>
      <c r="AS147" s="1110"/>
      <c r="AT147" s="1110"/>
      <c r="AU147" s="1110"/>
      <c r="AV147" s="1110"/>
      <c r="AW147" s="1110"/>
      <c r="AX147" s="1111"/>
    </row>
    <row r="148" spans="1:50" ht="48" customHeight="1" x14ac:dyDescent="0.2">
      <c r="A148" s="1410" t="s">
        <v>2334</v>
      </c>
      <c r="B148" s="1411" t="s">
        <v>2605</v>
      </c>
      <c r="C148" s="1259" t="s">
        <v>2606</v>
      </c>
      <c r="D148" s="1110"/>
      <c r="E148" s="1110"/>
      <c r="F148" s="1110"/>
      <c r="G148" s="1110"/>
      <c r="H148" s="1110"/>
      <c r="I148" s="1379"/>
      <c r="J148" s="1379"/>
      <c r="K148" s="1379"/>
      <c r="L148" s="1379"/>
      <c r="M148" s="1379"/>
      <c r="N148" s="1380"/>
      <c r="O148" s="1380"/>
      <c r="P148" s="1379"/>
      <c r="Q148" s="1110">
        <v>-1270000</v>
      </c>
      <c r="R148" s="1110"/>
      <c r="S148" s="1110"/>
      <c r="T148" s="1110"/>
      <c r="U148" s="1110"/>
      <c r="V148" s="1110"/>
      <c r="W148" s="1110"/>
      <c r="X148" s="1110"/>
      <c r="Y148" s="1110"/>
      <c r="Z148" s="1110"/>
      <c r="AA148" s="1110"/>
      <c r="AB148" s="1110"/>
      <c r="AC148" s="1110"/>
      <c r="AD148" s="1110"/>
      <c r="AE148" s="1110"/>
      <c r="AF148" s="1110"/>
      <c r="AG148" s="1110"/>
      <c r="AH148" s="1110"/>
      <c r="AI148" s="1110"/>
      <c r="AJ148" s="1110"/>
      <c r="AK148" s="1110"/>
      <c r="AL148" s="1110"/>
      <c r="AM148" s="1110"/>
      <c r="AN148" s="1110"/>
      <c r="AO148" s="1110"/>
      <c r="AP148" s="1110"/>
      <c r="AQ148" s="1110"/>
      <c r="AR148" s="1110"/>
      <c r="AS148" s="1110"/>
      <c r="AT148" s="1110"/>
      <c r="AU148" s="1110"/>
      <c r="AV148" s="1110"/>
      <c r="AW148" s="1110"/>
      <c r="AX148" s="1111"/>
    </row>
    <row r="149" spans="1:50" ht="48.75" customHeight="1" x14ac:dyDescent="0.2">
      <c r="A149" s="1410" t="s">
        <v>2339</v>
      </c>
      <c r="B149" s="1411" t="s">
        <v>2608</v>
      </c>
      <c r="C149" s="1259" t="s">
        <v>2609</v>
      </c>
      <c r="D149" s="1110"/>
      <c r="E149" s="1110"/>
      <c r="F149" s="1110"/>
      <c r="G149" s="1110"/>
      <c r="H149" s="1110"/>
      <c r="I149" s="1379"/>
      <c r="J149" s="1379"/>
      <c r="K149" s="1379"/>
      <c r="L149" s="1379"/>
      <c r="M149" s="1379"/>
      <c r="N149" s="1380"/>
      <c r="O149" s="1380"/>
      <c r="P149" s="1379"/>
      <c r="Q149" s="1110">
        <v>-1399794</v>
      </c>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1"/>
    </row>
    <row r="150" spans="1:50" ht="50.25" customHeight="1" x14ac:dyDescent="0.2">
      <c r="A150" s="1410" t="s">
        <v>2348</v>
      </c>
      <c r="B150" s="1411" t="s">
        <v>2611</v>
      </c>
      <c r="C150" s="1259" t="s">
        <v>2612</v>
      </c>
      <c r="D150" s="1110"/>
      <c r="E150" s="1110"/>
      <c r="F150" s="1110"/>
      <c r="G150" s="1110"/>
      <c r="H150" s="1110"/>
      <c r="I150" s="1379"/>
      <c r="J150" s="1379"/>
      <c r="K150" s="1379"/>
      <c r="L150" s="1379"/>
      <c r="M150" s="1379"/>
      <c r="N150" s="1380"/>
      <c r="O150" s="1380"/>
      <c r="P150" s="1379"/>
      <c r="Q150" s="1110">
        <v>-2843700</v>
      </c>
      <c r="R150" s="1110"/>
      <c r="S150" s="1110"/>
      <c r="T150" s="1110"/>
      <c r="U150" s="1110"/>
      <c r="V150" s="1110"/>
      <c r="W150" s="1110"/>
      <c r="X150" s="1110"/>
      <c r="Y150" s="1110"/>
      <c r="Z150" s="1110"/>
      <c r="AA150" s="1110"/>
      <c r="AB150" s="1110"/>
      <c r="AC150" s="1110"/>
      <c r="AD150" s="1110"/>
      <c r="AE150" s="1110"/>
      <c r="AF150" s="1110"/>
      <c r="AG150" s="1110"/>
      <c r="AH150" s="1110"/>
      <c r="AI150" s="1110"/>
      <c r="AJ150" s="1110"/>
      <c r="AK150" s="1110"/>
      <c r="AL150" s="1110"/>
      <c r="AM150" s="1110"/>
      <c r="AN150" s="1110"/>
      <c r="AO150" s="1110"/>
      <c r="AP150" s="1110"/>
      <c r="AQ150" s="1110"/>
      <c r="AR150" s="1110"/>
      <c r="AS150" s="1110"/>
      <c r="AT150" s="1110"/>
      <c r="AU150" s="1110"/>
      <c r="AV150" s="1110"/>
      <c r="AW150" s="1110"/>
      <c r="AX150" s="1111"/>
    </row>
    <row r="151" spans="1:50" ht="51" customHeight="1" x14ac:dyDescent="0.2">
      <c r="A151" s="1410" t="s">
        <v>2346</v>
      </c>
      <c r="B151" s="1411" t="s">
        <v>2613</v>
      </c>
      <c r="C151" s="1259" t="s">
        <v>2614</v>
      </c>
      <c r="D151" s="1110"/>
      <c r="E151" s="1110"/>
      <c r="F151" s="1110"/>
      <c r="G151" s="1110"/>
      <c r="H151" s="1110"/>
      <c r="I151" s="1379"/>
      <c r="J151" s="1379"/>
      <c r="K151" s="1379"/>
      <c r="L151" s="1379"/>
      <c r="M151" s="1379"/>
      <c r="N151" s="1380"/>
      <c r="O151" s="1380"/>
      <c r="P151" s="1379"/>
      <c r="Q151" s="1110">
        <v>-2534552</v>
      </c>
      <c r="R151" s="1110"/>
      <c r="S151" s="1110"/>
      <c r="T151" s="1110"/>
      <c r="U151" s="1110"/>
      <c r="V151" s="1110"/>
      <c r="W151" s="1110"/>
      <c r="X151" s="1110"/>
      <c r="Y151" s="1110"/>
      <c r="Z151" s="1110"/>
      <c r="AA151" s="1110"/>
      <c r="AB151" s="1110"/>
      <c r="AC151" s="1110"/>
      <c r="AD151" s="1110"/>
      <c r="AE151" s="1110"/>
      <c r="AF151" s="1110"/>
      <c r="AG151" s="1110"/>
      <c r="AH151" s="1110"/>
      <c r="AI151" s="1110"/>
      <c r="AJ151" s="1110"/>
      <c r="AK151" s="1110"/>
      <c r="AL151" s="1110"/>
      <c r="AM151" s="1110"/>
      <c r="AN151" s="1110"/>
      <c r="AO151" s="1110"/>
      <c r="AP151" s="1110"/>
      <c r="AQ151" s="1110"/>
      <c r="AR151" s="1110"/>
      <c r="AS151" s="1110"/>
      <c r="AT151" s="1110"/>
      <c r="AU151" s="1110"/>
      <c r="AV151" s="1110"/>
      <c r="AW151" s="1110"/>
      <c r="AX151" s="1111"/>
    </row>
    <row r="152" spans="1:50" ht="52.5" customHeight="1" x14ac:dyDescent="0.2">
      <c r="A152" s="1410" t="s">
        <v>2363</v>
      </c>
      <c r="B152" s="1411" t="s">
        <v>2634</v>
      </c>
      <c r="C152" s="1259" t="s">
        <v>2635</v>
      </c>
      <c r="D152" s="1110"/>
      <c r="E152" s="1110"/>
      <c r="F152" s="1110"/>
      <c r="G152" s="1110"/>
      <c r="H152" s="1110"/>
      <c r="I152" s="1379"/>
      <c r="J152" s="1379"/>
      <c r="K152" s="1379"/>
      <c r="L152" s="1379"/>
      <c r="M152" s="1379"/>
      <c r="N152" s="1380"/>
      <c r="O152" s="1380"/>
      <c r="P152" s="1379"/>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v>-1270000</v>
      </c>
      <c r="AM152" s="1110"/>
      <c r="AN152" s="1110"/>
      <c r="AO152" s="1110"/>
      <c r="AP152" s="1110"/>
      <c r="AQ152" s="1110"/>
      <c r="AR152" s="1110"/>
      <c r="AS152" s="1110"/>
      <c r="AT152" s="1110"/>
      <c r="AU152" s="1110"/>
      <c r="AV152" s="1110"/>
      <c r="AW152" s="1110"/>
      <c r="AX152" s="1111"/>
    </row>
    <row r="153" spans="1:50" ht="71.25" customHeight="1" x14ac:dyDescent="0.2">
      <c r="A153" s="1410" t="s">
        <v>2367</v>
      </c>
      <c r="B153" s="1411" t="s">
        <v>2636</v>
      </c>
      <c r="C153" s="1477" t="s">
        <v>2637</v>
      </c>
      <c r="D153" s="1110"/>
      <c r="E153" s="1110"/>
      <c r="F153" s="1110"/>
      <c r="G153" s="1110"/>
      <c r="H153" s="1110"/>
      <c r="I153" s="1379"/>
      <c r="J153" s="1379"/>
      <c r="K153" s="1379"/>
      <c r="L153" s="1379"/>
      <c r="M153" s="1379"/>
      <c r="N153" s="1380">
        <v>3048000</v>
      </c>
      <c r="O153" s="1380"/>
      <c r="P153" s="1379"/>
      <c r="Q153" s="1110"/>
      <c r="R153" s="1110"/>
      <c r="S153" s="1110"/>
      <c r="T153" s="1110"/>
      <c r="U153" s="1110"/>
      <c r="V153" s="1110"/>
      <c r="W153" s="1110"/>
      <c r="X153" s="1110"/>
      <c r="Y153" s="1110"/>
      <c r="Z153" s="1110"/>
      <c r="AA153" s="1110"/>
      <c r="AB153" s="1110"/>
      <c r="AC153" s="1110"/>
      <c r="AD153" s="1110"/>
      <c r="AE153" s="1110"/>
      <c r="AF153" s="1110"/>
      <c r="AG153" s="1110"/>
      <c r="AH153" s="1110"/>
      <c r="AI153" s="1110"/>
      <c r="AJ153" s="1110"/>
      <c r="AK153" s="1110"/>
      <c r="AL153" s="1110">
        <v>-3048000</v>
      </c>
      <c r="AM153" s="1110"/>
      <c r="AN153" s="1110"/>
      <c r="AO153" s="1110"/>
      <c r="AP153" s="1110"/>
      <c r="AQ153" s="1110"/>
      <c r="AR153" s="1110"/>
      <c r="AS153" s="1110"/>
      <c r="AT153" s="1110"/>
      <c r="AU153" s="1110"/>
      <c r="AV153" s="1110"/>
      <c r="AW153" s="1110"/>
      <c r="AX153" s="1111"/>
    </row>
    <row r="154" spans="1:50" ht="54.75" customHeight="1" x14ac:dyDescent="0.2">
      <c r="A154" s="1410" t="s">
        <v>2391</v>
      </c>
      <c r="B154" s="1411" t="s">
        <v>2668</v>
      </c>
      <c r="C154" s="1259" t="s">
        <v>2669</v>
      </c>
      <c r="D154" s="1110"/>
      <c r="E154" s="1110"/>
      <c r="F154" s="1110"/>
      <c r="G154" s="1110"/>
      <c r="H154" s="1110"/>
      <c r="I154" s="1379"/>
      <c r="J154" s="1379"/>
      <c r="K154" s="1379"/>
      <c r="L154" s="1379"/>
      <c r="M154" s="1379"/>
      <c r="N154" s="1380"/>
      <c r="O154" s="1380"/>
      <c r="P154" s="1379"/>
      <c r="Q154" s="1110"/>
      <c r="R154" s="1110"/>
      <c r="S154" s="1110"/>
      <c r="T154" s="1110"/>
      <c r="U154" s="1110"/>
      <c r="V154" s="1110"/>
      <c r="W154" s="1110"/>
      <c r="X154" s="1110"/>
      <c r="Y154" s="1110"/>
      <c r="Z154" s="1110"/>
      <c r="AA154" s="1110"/>
      <c r="AB154" s="1110"/>
      <c r="AC154" s="1110"/>
      <c r="AD154" s="1110"/>
      <c r="AE154" s="1110"/>
      <c r="AF154" s="1110"/>
      <c r="AG154" s="1110"/>
      <c r="AH154" s="1110"/>
      <c r="AI154" s="1110"/>
      <c r="AJ154" s="1110"/>
      <c r="AK154" s="1110"/>
      <c r="AL154" s="1110">
        <v>-10795000</v>
      </c>
      <c r="AM154" s="1110"/>
      <c r="AN154" s="1110"/>
      <c r="AO154" s="1110"/>
      <c r="AP154" s="1110"/>
      <c r="AQ154" s="1110"/>
      <c r="AR154" s="1110"/>
      <c r="AS154" s="1110"/>
      <c r="AT154" s="1110"/>
      <c r="AU154" s="1110"/>
      <c r="AV154" s="1110"/>
      <c r="AW154" s="1110"/>
      <c r="AX154" s="1111"/>
    </row>
    <row r="155" spans="1:50" ht="67.5" customHeight="1" x14ac:dyDescent="0.2">
      <c r="A155" s="1410" t="s">
        <v>2393</v>
      </c>
      <c r="B155" s="1411" t="s">
        <v>2671</v>
      </c>
      <c r="C155" s="1259" t="s">
        <v>2712</v>
      </c>
      <c r="D155" s="1110"/>
      <c r="E155" s="1110"/>
      <c r="F155" s="1110"/>
      <c r="G155" s="1110"/>
      <c r="H155" s="1110"/>
      <c r="I155" s="1379"/>
      <c r="J155" s="1379"/>
      <c r="K155" s="1379"/>
      <c r="L155" s="1379"/>
      <c r="M155" s="1379"/>
      <c r="N155" s="1380"/>
      <c r="O155" s="1380"/>
      <c r="P155" s="1379"/>
      <c r="Q155" s="1110"/>
      <c r="R155" s="1110"/>
      <c r="S155" s="1110"/>
      <c r="T155" s="1110"/>
      <c r="U155" s="1110"/>
      <c r="V155" s="1110"/>
      <c r="W155" s="1110"/>
      <c r="X155" s="1110"/>
      <c r="Y155" s="1110">
        <v>2570921</v>
      </c>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1"/>
    </row>
    <row r="156" spans="1:50" ht="51.75" customHeight="1" x14ac:dyDescent="0.2">
      <c r="A156" s="1410" t="s">
        <v>2396</v>
      </c>
      <c r="B156" s="1411" t="s">
        <v>2672</v>
      </c>
      <c r="C156" s="1259" t="s">
        <v>2673</v>
      </c>
      <c r="D156" s="1110"/>
      <c r="E156" s="1110"/>
      <c r="F156" s="1110"/>
      <c r="G156" s="1110"/>
      <c r="H156" s="1110"/>
      <c r="I156" s="1379"/>
      <c r="J156" s="1379"/>
      <c r="K156" s="1379"/>
      <c r="L156" s="1379"/>
      <c r="M156" s="1379"/>
      <c r="N156" s="1380"/>
      <c r="O156" s="1380"/>
      <c r="P156" s="1379"/>
      <c r="Q156" s="1110"/>
      <c r="R156" s="1110"/>
      <c r="S156" s="1110"/>
      <c r="T156" s="1110"/>
      <c r="U156" s="1110"/>
      <c r="V156" s="1110"/>
      <c r="W156" s="1110"/>
      <c r="X156" s="1110"/>
      <c r="Y156" s="1110"/>
      <c r="Z156" s="1110"/>
      <c r="AA156" s="1110"/>
      <c r="AB156" s="1110"/>
      <c r="AC156" s="1110"/>
      <c r="AD156" s="1110"/>
      <c r="AE156" s="1110"/>
      <c r="AF156" s="1110"/>
      <c r="AG156" s="1110"/>
      <c r="AH156" s="1110"/>
      <c r="AI156" s="1110"/>
      <c r="AJ156" s="1110"/>
      <c r="AK156" s="1110"/>
      <c r="AL156" s="1110"/>
      <c r="AM156" s="1110"/>
      <c r="AN156" s="1110"/>
      <c r="AO156" s="1110"/>
      <c r="AP156" s="1110">
        <v>65301997</v>
      </c>
      <c r="AQ156" s="1110"/>
      <c r="AR156" s="1110"/>
      <c r="AS156" s="1110"/>
      <c r="AT156" s="1110"/>
      <c r="AU156" s="1110"/>
      <c r="AV156" s="1110"/>
      <c r="AW156" s="1110"/>
      <c r="AX156" s="1111"/>
    </row>
    <row r="157" spans="1:50" ht="99" customHeight="1" x14ac:dyDescent="0.2">
      <c r="A157" s="1410" t="s">
        <v>2398</v>
      </c>
      <c r="B157" s="1411" t="s">
        <v>2675</v>
      </c>
      <c r="C157" s="1259" t="s">
        <v>2676</v>
      </c>
      <c r="D157" s="1110"/>
      <c r="E157" s="1110"/>
      <c r="F157" s="1110"/>
      <c r="G157" s="1110"/>
      <c r="H157" s="1110"/>
      <c r="I157" s="1379"/>
      <c r="J157" s="1379"/>
      <c r="K157" s="1379"/>
      <c r="L157" s="1379"/>
      <c r="M157" s="1379"/>
      <c r="N157" s="1380"/>
      <c r="O157" s="1380"/>
      <c r="P157" s="1379"/>
      <c r="Q157" s="1110"/>
      <c r="R157" s="1110"/>
      <c r="S157" s="1110"/>
      <c r="T157" s="1110"/>
      <c r="U157" s="1110"/>
      <c r="V157" s="1110"/>
      <c r="W157" s="1110"/>
      <c r="X157" s="1110"/>
      <c r="Y157" s="1110"/>
      <c r="Z157" s="1110"/>
      <c r="AA157" s="1110"/>
      <c r="AB157" s="1110"/>
      <c r="AC157" s="1110"/>
      <c r="AD157" s="1110"/>
      <c r="AE157" s="1110"/>
      <c r="AF157" s="1110"/>
      <c r="AG157" s="1110"/>
      <c r="AH157" s="1110"/>
      <c r="AI157" s="1110"/>
      <c r="AJ157" s="1110"/>
      <c r="AK157" s="1110"/>
      <c r="AL157" s="1110"/>
      <c r="AM157" s="1110"/>
      <c r="AN157" s="1110"/>
      <c r="AO157" s="1110"/>
      <c r="AP157" s="1110"/>
      <c r="AQ157" s="1110"/>
      <c r="AR157" s="1110"/>
      <c r="AS157" s="1110"/>
      <c r="AT157" s="1110"/>
      <c r="AU157" s="1110">
        <v>189906276</v>
      </c>
      <c r="AV157" s="1110"/>
      <c r="AW157" s="1110"/>
      <c r="AX157" s="1111"/>
    </row>
    <row r="158" spans="1:50" ht="42" customHeight="1" x14ac:dyDescent="0.2">
      <c r="A158" s="1410" t="s">
        <v>2410</v>
      </c>
      <c r="B158" s="1411" t="s">
        <v>2685</v>
      </c>
      <c r="C158" s="1259" t="s">
        <v>2686</v>
      </c>
      <c r="D158" s="1110"/>
      <c r="E158" s="1110"/>
      <c r="F158" s="1110"/>
      <c r="G158" s="1110"/>
      <c r="H158" s="1110"/>
      <c r="I158" s="1379"/>
      <c r="J158" s="1379"/>
      <c r="K158" s="1379"/>
      <c r="L158" s="1379"/>
      <c r="M158" s="1379"/>
      <c r="N158" s="1380"/>
      <c r="O158" s="1380"/>
      <c r="P158" s="1379"/>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v>-321500</v>
      </c>
      <c r="AR158" s="1110"/>
      <c r="AS158" s="1110"/>
      <c r="AT158" s="1110"/>
      <c r="AU158" s="1110"/>
      <c r="AV158" s="1110"/>
      <c r="AW158" s="1110"/>
      <c r="AX158" s="1111"/>
    </row>
    <row r="159" spans="1:50" ht="45" customHeight="1" x14ac:dyDescent="0.2">
      <c r="A159" s="1410" t="s">
        <v>2414</v>
      </c>
      <c r="B159" s="1411" t="s">
        <v>2693</v>
      </c>
      <c r="C159" s="1259" t="s">
        <v>2694</v>
      </c>
      <c r="D159" s="1110"/>
      <c r="E159" s="1110"/>
      <c r="F159" s="1110"/>
      <c r="G159" s="1110"/>
      <c r="H159" s="1110"/>
      <c r="I159" s="1379"/>
      <c r="J159" s="1379"/>
      <c r="K159" s="1379"/>
      <c r="L159" s="1379"/>
      <c r="M159" s="1379"/>
      <c r="N159" s="1380"/>
      <c r="O159" s="1380"/>
      <c r="P159" s="1379"/>
      <c r="Q159" s="1110"/>
      <c r="R159" s="1110"/>
      <c r="S159" s="1110"/>
      <c r="T159" s="1110"/>
      <c r="U159" s="1110"/>
      <c r="V159" s="1110"/>
      <c r="W159" s="1110"/>
      <c r="X159" s="1110"/>
      <c r="Y159" s="1110"/>
      <c r="Z159" s="1110"/>
      <c r="AA159" s="1110"/>
      <c r="AB159" s="1110"/>
      <c r="AC159" s="1110"/>
      <c r="AD159" s="1110"/>
      <c r="AE159" s="1110"/>
      <c r="AF159" s="1110"/>
      <c r="AG159" s="1110"/>
      <c r="AH159" s="1110"/>
      <c r="AI159" s="1110"/>
      <c r="AJ159" s="1110"/>
      <c r="AK159" s="1110"/>
      <c r="AL159" s="1110"/>
      <c r="AM159" s="1110"/>
      <c r="AN159" s="1110"/>
      <c r="AO159" s="1110"/>
      <c r="AP159" s="1110"/>
      <c r="AQ159" s="1110"/>
      <c r="AR159" s="1110"/>
      <c r="AS159" s="1110"/>
      <c r="AT159" s="1110">
        <v>-381000</v>
      </c>
      <c r="AU159" s="1110"/>
      <c r="AV159" s="1110"/>
      <c r="AW159" s="1110"/>
      <c r="AX159" s="1111"/>
    </row>
    <row r="160" spans="1:50" ht="47.25" customHeight="1" x14ac:dyDescent="0.2">
      <c r="A160" s="1410" t="s">
        <v>2416</v>
      </c>
      <c r="B160" s="1411" t="s">
        <v>2695</v>
      </c>
      <c r="C160" s="1259" t="s">
        <v>2696</v>
      </c>
      <c r="D160" s="1110"/>
      <c r="E160" s="1110"/>
      <c r="F160" s="1110"/>
      <c r="G160" s="1110"/>
      <c r="H160" s="1110"/>
      <c r="I160" s="1379"/>
      <c r="J160" s="1379"/>
      <c r="K160" s="1379"/>
      <c r="L160" s="1379"/>
      <c r="M160" s="1379"/>
      <c r="N160" s="1380"/>
      <c r="O160" s="1380"/>
      <c r="P160" s="1379"/>
      <c r="Q160" s="1110"/>
      <c r="R160" s="1110"/>
      <c r="S160" s="1110"/>
      <c r="T160" s="1110"/>
      <c r="U160" s="1110"/>
      <c r="V160" s="1110"/>
      <c r="W160" s="1110"/>
      <c r="X160" s="1110"/>
      <c r="Y160" s="1110"/>
      <c r="Z160" s="1110"/>
      <c r="AA160" s="1110"/>
      <c r="AB160" s="1110"/>
      <c r="AC160" s="1110"/>
      <c r="AD160" s="1110"/>
      <c r="AE160" s="1110"/>
      <c r="AF160" s="1110"/>
      <c r="AG160" s="1110"/>
      <c r="AH160" s="1110"/>
      <c r="AI160" s="1110"/>
      <c r="AJ160" s="1110"/>
      <c r="AK160" s="1110"/>
      <c r="AL160" s="1110"/>
      <c r="AM160" s="1110"/>
      <c r="AN160" s="1110"/>
      <c r="AO160" s="1110"/>
      <c r="AP160" s="1110"/>
      <c r="AQ160" s="1110"/>
      <c r="AR160" s="1110"/>
      <c r="AS160" s="1110"/>
      <c r="AT160" s="1110">
        <v>-635000</v>
      </c>
      <c r="AU160" s="1110"/>
      <c r="AV160" s="1110"/>
      <c r="AW160" s="1110"/>
      <c r="AX160" s="1111"/>
    </row>
    <row r="161" spans="1:50" ht="39" customHeight="1" x14ac:dyDescent="0.2">
      <c r="A161" s="1174" t="s">
        <v>2426</v>
      </c>
      <c r="B161" s="1206" t="s">
        <v>2699</v>
      </c>
      <c r="C161" s="1259" t="s">
        <v>2700</v>
      </c>
      <c r="D161" s="1110"/>
      <c r="E161" s="1110"/>
      <c r="F161" s="1110"/>
      <c r="G161" s="1110"/>
      <c r="H161" s="1110"/>
      <c r="I161" s="1379"/>
      <c r="J161" s="1379"/>
      <c r="K161" s="1379"/>
      <c r="L161" s="1379"/>
      <c r="M161" s="1379">
        <v>100000</v>
      </c>
      <c r="N161" s="1380"/>
      <c r="O161" s="1380"/>
      <c r="P161" s="1379"/>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1"/>
    </row>
    <row r="162" spans="1:50" ht="49.5" customHeight="1" x14ac:dyDescent="0.2">
      <c r="A162" s="1174" t="s">
        <v>2427</v>
      </c>
      <c r="B162" s="1206" t="s">
        <v>2718</v>
      </c>
      <c r="C162" s="1259" t="s">
        <v>2719</v>
      </c>
      <c r="D162" s="1110"/>
      <c r="E162" s="1110"/>
      <c r="F162" s="1110"/>
      <c r="G162" s="1110"/>
      <c r="H162" s="1110"/>
      <c r="I162" s="1379"/>
      <c r="J162" s="1379"/>
      <c r="K162" s="1379"/>
      <c r="L162" s="1379"/>
      <c r="M162" s="1379"/>
      <c r="N162" s="1380"/>
      <c r="O162" s="1380"/>
      <c r="P162" s="1379"/>
      <c r="Q162" s="1110"/>
      <c r="R162" s="1110"/>
      <c r="S162" s="1110"/>
      <c r="T162" s="1110"/>
      <c r="U162" s="1110"/>
      <c r="V162" s="1110"/>
      <c r="W162" s="1110"/>
      <c r="X162" s="1110"/>
      <c r="Y162" s="1110"/>
      <c r="Z162" s="1110"/>
      <c r="AA162" s="1110"/>
      <c r="AB162" s="1110"/>
      <c r="AC162" s="1110"/>
      <c r="AD162" s="1110"/>
      <c r="AE162" s="1110"/>
      <c r="AF162" s="1110"/>
      <c r="AG162" s="1110"/>
      <c r="AH162" s="1110"/>
      <c r="AI162" s="1110"/>
      <c r="AJ162" s="1110"/>
      <c r="AK162" s="1110"/>
      <c r="AL162" s="1110"/>
      <c r="AM162" s="1110"/>
      <c r="AN162" s="1110"/>
      <c r="AO162" s="1110"/>
      <c r="AP162" s="1110"/>
      <c r="AQ162" s="1110">
        <v>1500000</v>
      </c>
      <c r="AR162" s="1110"/>
      <c r="AS162" s="1110"/>
      <c r="AT162" s="1110"/>
      <c r="AU162" s="1110"/>
      <c r="AV162" s="1110"/>
      <c r="AW162" s="1110"/>
      <c r="AX162" s="1111"/>
    </row>
    <row r="163" spans="1:50" ht="39" customHeight="1" x14ac:dyDescent="0.2">
      <c r="A163" s="1174" t="s">
        <v>2429</v>
      </c>
      <c r="B163" s="1206" t="s">
        <v>2720</v>
      </c>
      <c r="C163" s="1259" t="s">
        <v>2721</v>
      </c>
      <c r="D163" s="1110"/>
      <c r="E163" s="1110"/>
      <c r="F163" s="1110"/>
      <c r="G163" s="1110"/>
      <c r="H163" s="1110"/>
      <c r="I163" s="1379"/>
      <c r="J163" s="1379"/>
      <c r="K163" s="1379"/>
      <c r="L163" s="1379"/>
      <c r="M163" s="1379"/>
      <c r="N163" s="1380"/>
      <c r="O163" s="1380"/>
      <c r="P163" s="1379"/>
      <c r="Q163" s="1110"/>
      <c r="R163" s="1110"/>
      <c r="S163" s="1110"/>
      <c r="T163" s="1110"/>
      <c r="U163" s="1110"/>
      <c r="V163" s="1110"/>
      <c r="W163" s="1110"/>
      <c r="X163" s="1110"/>
      <c r="Y163" s="1110"/>
      <c r="Z163" s="1110"/>
      <c r="AA163" s="1110"/>
      <c r="AB163" s="1110"/>
      <c r="AC163" s="1110"/>
      <c r="AD163" s="1110"/>
      <c r="AE163" s="1110"/>
      <c r="AF163" s="1110"/>
      <c r="AG163" s="1110"/>
      <c r="AH163" s="1110"/>
      <c r="AI163" s="1110"/>
      <c r="AJ163" s="1110"/>
      <c r="AK163" s="1110"/>
      <c r="AL163" s="1110">
        <v>-5000000</v>
      </c>
      <c r="AM163" s="1110"/>
      <c r="AN163" s="1110"/>
      <c r="AO163" s="1110"/>
      <c r="AP163" s="1110"/>
      <c r="AQ163" s="1110"/>
      <c r="AR163" s="1110"/>
      <c r="AS163" s="1110"/>
      <c r="AT163" s="1110"/>
      <c r="AU163" s="1110"/>
      <c r="AV163" s="1110"/>
      <c r="AW163" s="1110"/>
      <c r="AX163" s="1111"/>
    </row>
    <row r="164" spans="1:50" ht="49.5" customHeight="1" x14ac:dyDescent="0.2">
      <c r="A164" s="1174" t="s">
        <v>2434</v>
      </c>
      <c r="B164" s="1206" t="s">
        <v>2728</v>
      </c>
      <c r="C164" s="1259" t="s">
        <v>2729</v>
      </c>
      <c r="D164" s="1110"/>
      <c r="E164" s="1110"/>
      <c r="F164" s="1110"/>
      <c r="G164" s="1110"/>
      <c r="H164" s="1110"/>
      <c r="I164" s="1379"/>
      <c r="J164" s="1379"/>
      <c r="K164" s="1379"/>
      <c r="L164" s="1379"/>
      <c r="M164" s="1379"/>
      <c r="N164" s="1380"/>
      <c r="O164" s="1380"/>
      <c r="P164" s="1379"/>
      <c r="Q164" s="1110">
        <v>-1252220</v>
      </c>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1"/>
    </row>
    <row r="165" spans="1:50" ht="64.5" customHeight="1" x14ac:dyDescent="0.2">
      <c r="A165" s="1174" t="s">
        <v>2435</v>
      </c>
      <c r="B165" s="1206" t="s">
        <v>2732</v>
      </c>
      <c r="C165" s="1259" t="s">
        <v>2733</v>
      </c>
      <c r="D165" s="1110"/>
      <c r="E165" s="1110"/>
      <c r="F165" s="1110"/>
      <c r="G165" s="1110"/>
      <c r="H165" s="1110"/>
      <c r="I165" s="1379"/>
      <c r="J165" s="1379"/>
      <c r="K165" s="1379"/>
      <c r="L165" s="1379"/>
      <c r="M165" s="1379"/>
      <c r="N165" s="1380"/>
      <c r="O165" s="1380"/>
      <c r="P165" s="1379"/>
      <c r="Q165" s="1110">
        <v>-246573</v>
      </c>
      <c r="R165" s="1110"/>
      <c r="S165" s="1110"/>
      <c r="T165" s="1110"/>
      <c r="U165" s="1110"/>
      <c r="V165" s="1110"/>
      <c r="W165" s="1110"/>
      <c r="X165" s="1110"/>
      <c r="Y165" s="1110"/>
      <c r="Z165" s="1110"/>
      <c r="AA165" s="1110"/>
      <c r="AB165" s="1110"/>
      <c r="AC165" s="1110"/>
      <c r="AD165" s="1110"/>
      <c r="AE165" s="1110"/>
      <c r="AF165" s="1110"/>
      <c r="AG165" s="1110"/>
      <c r="AH165" s="1110"/>
      <c r="AI165" s="1110"/>
      <c r="AJ165" s="1110"/>
      <c r="AK165" s="1110"/>
      <c r="AL165" s="1110"/>
      <c r="AM165" s="1110"/>
      <c r="AN165" s="1110"/>
      <c r="AO165" s="1110"/>
      <c r="AP165" s="1110"/>
      <c r="AQ165" s="1110"/>
      <c r="AR165" s="1110"/>
      <c r="AS165" s="1110"/>
      <c r="AT165" s="1110"/>
      <c r="AU165" s="1110"/>
      <c r="AV165" s="1110"/>
      <c r="AW165" s="1110"/>
      <c r="AX165" s="1111"/>
    </row>
    <row r="166" spans="1:50" ht="49.5" customHeight="1" x14ac:dyDescent="0.2">
      <c r="A166" s="1174" t="s">
        <v>2441</v>
      </c>
      <c r="B166" s="1206" t="s">
        <v>2738</v>
      </c>
      <c r="C166" s="1259" t="s">
        <v>2739</v>
      </c>
      <c r="D166" s="1110"/>
      <c r="E166" s="1110"/>
      <c r="F166" s="1110"/>
      <c r="G166" s="1110"/>
      <c r="H166" s="1110"/>
      <c r="I166" s="1379"/>
      <c r="J166" s="1379"/>
      <c r="K166" s="1379"/>
      <c r="L166" s="1379"/>
      <c r="M166" s="1379"/>
      <c r="N166" s="1380"/>
      <c r="O166" s="1380"/>
      <c r="P166" s="1379"/>
      <c r="Q166" s="1110">
        <v>-107950</v>
      </c>
      <c r="R166" s="1110"/>
      <c r="S166" s="1110"/>
      <c r="T166" s="1110"/>
      <c r="U166" s="1110"/>
      <c r="V166" s="1110"/>
      <c r="W166" s="1110"/>
      <c r="X166" s="1110"/>
      <c r="Y166" s="1110"/>
      <c r="Z166" s="1110"/>
      <c r="AA166" s="1110"/>
      <c r="AB166" s="1110"/>
      <c r="AC166" s="1110"/>
      <c r="AD166" s="1110"/>
      <c r="AE166" s="1110"/>
      <c r="AF166" s="1110"/>
      <c r="AG166" s="1110"/>
      <c r="AH166" s="1110"/>
      <c r="AI166" s="1110"/>
      <c r="AJ166" s="1110"/>
      <c r="AK166" s="1110"/>
      <c r="AL166" s="1110"/>
      <c r="AM166" s="1110"/>
      <c r="AN166" s="1110"/>
      <c r="AO166" s="1110"/>
      <c r="AP166" s="1110"/>
      <c r="AQ166" s="1110"/>
      <c r="AR166" s="1110"/>
      <c r="AS166" s="1110"/>
      <c r="AT166" s="1110"/>
      <c r="AU166" s="1110"/>
      <c r="AV166" s="1110"/>
      <c r="AW166" s="1110"/>
      <c r="AX166" s="1111"/>
    </row>
    <row r="167" spans="1:50" ht="49.5" customHeight="1" x14ac:dyDescent="0.2">
      <c r="A167" s="1174" t="s">
        <v>2448</v>
      </c>
      <c r="B167" s="1206" t="s">
        <v>2741</v>
      </c>
      <c r="C167" s="1259" t="s">
        <v>2742</v>
      </c>
      <c r="D167" s="1110"/>
      <c r="E167" s="1110"/>
      <c r="F167" s="1110"/>
      <c r="G167" s="1110"/>
      <c r="H167" s="1110"/>
      <c r="I167" s="1379"/>
      <c r="J167" s="1379"/>
      <c r="K167" s="1379"/>
      <c r="L167" s="1379"/>
      <c r="M167" s="1379"/>
      <c r="N167" s="1380"/>
      <c r="O167" s="1380"/>
      <c r="P167" s="1379"/>
      <c r="Q167" s="1110">
        <v>-166366</v>
      </c>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1"/>
    </row>
    <row r="168" spans="1:50" ht="63" customHeight="1" x14ac:dyDescent="0.2">
      <c r="A168" s="1174" t="s">
        <v>2462</v>
      </c>
      <c r="B168" s="1206" t="s">
        <v>2749</v>
      </c>
      <c r="C168" s="1259" t="s">
        <v>2750</v>
      </c>
      <c r="D168" s="1110"/>
      <c r="E168" s="1110"/>
      <c r="F168" s="1110"/>
      <c r="G168" s="1110"/>
      <c r="H168" s="1110"/>
      <c r="I168" s="1379"/>
      <c r="J168" s="1379"/>
      <c r="K168" s="1379"/>
      <c r="L168" s="1379"/>
      <c r="M168" s="1379"/>
      <c r="N168" s="1380"/>
      <c r="O168" s="1380"/>
      <c r="P168" s="1379"/>
      <c r="Q168" s="1110">
        <v>-75797</v>
      </c>
      <c r="R168" s="1110"/>
      <c r="S168" s="1110"/>
      <c r="T168" s="1110"/>
      <c r="U168" s="1110"/>
      <c r="V168" s="1110"/>
      <c r="W168" s="1110"/>
      <c r="X168" s="1110"/>
      <c r="Y168" s="1110"/>
      <c r="Z168" s="1110"/>
      <c r="AA168" s="1110"/>
      <c r="AB168" s="1110"/>
      <c r="AC168" s="1110"/>
      <c r="AD168" s="1110"/>
      <c r="AE168" s="1110"/>
      <c r="AF168" s="1110"/>
      <c r="AG168" s="1110"/>
      <c r="AH168" s="1110"/>
      <c r="AI168" s="1110"/>
      <c r="AJ168" s="1110"/>
      <c r="AK168" s="1110"/>
      <c r="AL168" s="1110"/>
      <c r="AM168" s="1110"/>
      <c r="AN168" s="1110"/>
      <c r="AO168" s="1110"/>
      <c r="AP168" s="1110"/>
      <c r="AQ168" s="1110"/>
      <c r="AR168" s="1110"/>
      <c r="AS168" s="1110"/>
      <c r="AT168" s="1110"/>
      <c r="AU168" s="1110"/>
      <c r="AV168" s="1110"/>
      <c r="AW168" s="1110"/>
      <c r="AX168" s="1111"/>
    </row>
    <row r="169" spans="1:50" ht="49.5" customHeight="1" x14ac:dyDescent="0.2">
      <c r="A169" s="1410" t="s">
        <v>2465</v>
      </c>
      <c r="B169" s="1411" t="s">
        <v>2752</v>
      </c>
      <c r="C169" s="1259" t="s">
        <v>2753</v>
      </c>
      <c r="D169" s="1110"/>
      <c r="E169" s="1110"/>
      <c r="F169" s="1110"/>
      <c r="G169" s="1110"/>
      <c r="H169" s="1110"/>
      <c r="I169" s="1379"/>
      <c r="J169" s="1379"/>
      <c r="K169" s="1379"/>
      <c r="L169" s="1379"/>
      <c r="M169" s="1379"/>
      <c r="N169" s="1380"/>
      <c r="O169" s="1380"/>
      <c r="P169" s="1379"/>
      <c r="Q169" s="1110">
        <v>-374650</v>
      </c>
      <c r="R169" s="1110"/>
      <c r="S169" s="1110"/>
      <c r="T169" s="1110"/>
      <c r="U169" s="1110"/>
      <c r="V169" s="1110"/>
      <c r="W169" s="1110"/>
      <c r="X169" s="1110"/>
      <c r="Y169" s="1110"/>
      <c r="Z169" s="1110"/>
      <c r="AA169" s="1110"/>
      <c r="AB169" s="1110"/>
      <c r="AC169" s="1110"/>
      <c r="AD169" s="1110"/>
      <c r="AE169" s="1110"/>
      <c r="AF169" s="1110"/>
      <c r="AG169" s="1110"/>
      <c r="AH169" s="1110"/>
      <c r="AI169" s="1110"/>
      <c r="AJ169" s="1110"/>
      <c r="AK169" s="1110"/>
      <c r="AL169" s="1110"/>
      <c r="AM169" s="1110"/>
      <c r="AN169" s="1110"/>
      <c r="AO169" s="1110"/>
      <c r="AP169" s="1110"/>
      <c r="AQ169" s="1110"/>
      <c r="AR169" s="1110"/>
      <c r="AS169" s="1110"/>
      <c r="AT169" s="1110"/>
      <c r="AU169" s="1110"/>
      <c r="AV169" s="1110"/>
      <c r="AW169" s="1110"/>
      <c r="AX169" s="1111"/>
    </row>
    <row r="170" spans="1:50" ht="49.5" customHeight="1" x14ac:dyDescent="0.2">
      <c r="A170" s="1410" t="s">
        <v>2467</v>
      </c>
      <c r="B170" s="1411" t="s">
        <v>2754</v>
      </c>
      <c r="C170" s="1259" t="s">
        <v>2755</v>
      </c>
      <c r="D170" s="1110"/>
      <c r="E170" s="1110"/>
      <c r="F170" s="1110"/>
      <c r="G170" s="1110"/>
      <c r="H170" s="1110"/>
      <c r="I170" s="1379"/>
      <c r="J170" s="1379"/>
      <c r="K170" s="1379"/>
      <c r="L170" s="1379"/>
      <c r="M170" s="1379"/>
      <c r="N170" s="1380"/>
      <c r="O170" s="1380"/>
      <c r="P170" s="1379"/>
      <c r="Q170" s="1110">
        <v>-179461</v>
      </c>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1"/>
    </row>
    <row r="171" spans="1:50" ht="49.5" customHeight="1" x14ac:dyDescent="0.2">
      <c r="A171" s="1410" t="s">
        <v>2475</v>
      </c>
      <c r="B171" s="1411" t="s">
        <v>2758</v>
      </c>
      <c r="C171" s="1259" t="s">
        <v>2759</v>
      </c>
      <c r="D171" s="1110"/>
      <c r="E171" s="1110"/>
      <c r="F171" s="1110"/>
      <c r="G171" s="1110"/>
      <c r="H171" s="1110"/>
      <c r="I171" s="1379"/>
      <c r="J171" s="1379"/>
      <c r="K171" s="1379"/>
      <c r="L171" s="1379"/>
      <c r="M171" s="1379"/>
      <c r="N171" s="1380"/>
      <c r="O171" s="1380"/>
      <c r="P171" s="1379"/>
      <c r="Q171" s="1110"/>
      <c r="R171" s="1110"/>
      <c r="S171" s="1110"/>
      <c r="T171" s="1110"/>
      <c r="U171" s="1110"/>
      <c r="V171" s="1110"/>
      <c r="W171" s="1110"/>
      <c r="X171" s="1110"/>
      <c r="Y171" s="1110"/>
      <c r="Z171" s="1110"/>
      <c r="AA171" s="1110"/>
      <c r="AB171" s="1110"/>
      <c r="AC171" s="1110"/>
      <c r="AD171" s="1110"/>
      <c r="AE171" s="1110"/>
      <c r="AF171" s="1110"/>
      <c r="AG171" s="1110"/>
      <c r="AH171" s="1110"/>
      <c r="AI171" s="1110"/>
      <c r="AJ171" s="1110"/>
      <c r="AK171" s="1110"/>
      <c r="AL171" s="1110">
        <v>-3581400</v>
      </c>
      <c r="AM171" s="1110"/>
      <c r="AN171" s="1110"/>
      <c r="AO171" s="1110"/>
      <c r="AP171" s="1110"/>
      <c r="AQ171" s="1110"/>
      <c r="AR171" s="1110"/>
      <c r="AS171" s="1110"/>
      <c r="AT171" s="1110"/>
      <c r="AU171" s="1110"/>
      <c r="AV171" s="1110"/>
      <c r="AW171" s="1110"/>
      <c r="AX171" s="1111"/>
    </row>
    <row r="172" spans="1:50" ht="36" customHeight="1" x14ac:dyDescent="0.2">
      <c r="A172" s="1410" t="s">
        <v>2766</v>
      </c>
      <c r="B172" s="1411" t="s">
        <v>2767</v>
      </c>
      <c r="C172" s="1259" t="s">
        <v>2768</v>
      </c>
      <c r="D172" s="1110"/>
      <c r="E172" s="1110"/>
      <c r="F172" s="1110"/>
      <c r="G172" s="1110"/>
      <c r="H172" s="1110"/>
      <c r="I172" s="1379"/>
      <c r="J172" s="1379"/>
      <c r="K172" s="1379"/>
      <c r="L172" s="1379"/>
      <c r="M172" s="1379"/>
      <c r="N172" s="1380"/>
      <c r="O172" s="1380"/>
      <c r="P172" s="1379"/>
      <c r="Q172" s="1110"/>
      <c r="R172" s="1110"/>
      <c r="S172" s="1110"/>
      <c r="T172" s="1110"/>
      <c r="U172" s="1110"/>
      <c r="V172" s="1110"/>
      <c r="W172" s="1110"/>
      <c r="X172" s="1110"/>
      <c r="Y172" s="1110"/>
      <c r="Z172" s="1110"/>
      <c r="AA172" s="1110"/>
      <c r="AB172" s="1110"/>
      <c r="AC172" s="1110"/>
      <c r="AD172" s="1110"/>
      <c r="AE172" s="1110"/>
      <c r="AF172" s="1110"/>
      <c r="AG172" s="1110"/>
      <c r="AH172" s="1110"/>
      <c r="AI172" s="1110"/>
      <c r="AJ172" s="1110"/>
      <c r="AK172" s="1110"/>
      <c r="AL172" s="1110">
        <v>-2000000</v>
      </c>
      <c r="AM172" s="1110"/>
      <c r="AN172" s="1110"/>
      <c r="AO172" s="1110"/>
      <c r="AP172" s="1110"/>
      <c r="AQ172" s="1110"/>
      <c r="AR172" s="1110"/>
      <c r="AS172" s="1110"/>
      <c r="AT172" s="1110"/>
      <c r="AU172" s="1110"/>
      <c r="AV172" s="1110"/>
      <c r="AW172" s="1110"/>
      <c r="AX172" s="1111"/>
    </row>
    <row r="173" spans="1:50" ht="39" customHeight="1" x14ac:dyDescent="0.2">
      <c r="A173" s="1174" t="s">
        <v>2769</v>
      </c>
      <c r="B173" s="1206" t="s">
        <v>2770</v>
      </c>
      <c r="C173" s="1259" t="s">
        <v>2771</v>
      </c>
      <c r="D173" s="1110"/>
      <c r="E173" s="1110"/>
      <c r="F173" s="1110"/>
      <c r="G173" s="1110"/>
      <c r="H173" s="1110"/>
      <c r="I173" s="1379"/>
      <c r="J173" s="1379"/>
      <c r="K173" s="1379"/>
      <c r="L173" s="1379"/>
      <c r="M173" s="1379"/>
      <c r="N173" s="1380"/>
      <c r="O173" s="1380"/>
      <c r="P173" s="1379"/>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v>-30983000</v>
      </c>
      <c r="AU173" s="1110"/>
      <c r="AV173" s="1110"/>
      <c r="AW173" s="1110"/>
      <c r="AX173" s="1111"/>
    </row>
    <row r="174" spans="1:50" ht="49.5" customHeight="1" x14ac:dyDescent="0.2">
      <c r="A174" s="1174" t="s">
        <v>2484</v>
      </c>
      <c r="B174" s="1206" t="s">
        <v>2772</v>
      </c>
      <c r="C174" s="1477" t="s">
        <v>2773</v>
      </c>
      <c r="D174" s="1110"/>
      <c r="E174" s="1110"/>
      <c r="F174" s="1110"/>
      <c r="G174" s="1110"/>
      <c r="H174" s="1110"/>
      <c r="I174" s="1379"/>
      <c r="J174" s="1379"/>
      <c r="K174" s="1379"/>
      <c r="L174" s="1379"/>
      <c r="M174" s="1379"/>
      <c r="N174" s="1380"/>
      <c r="O174" s="1380"/>
      <c r="P174" s="1379"/>
      <c r="Q174" s="1110"/>
      <c r="R174" s="1110"/>
      <c r="S174" s="1110"/>
      <c r="T174" s="1110"/>
      <c r="U174" s="1110"/>
      <c r="V174" s="1110"/>
      <c r="W174" s="1110"/>
      <c r="X174" s="1110"/>
      <c r="Y174" s="1110"/>
      <c r="Z174" s="1110"/>
      <c r="AA174" s="1110"/>
      <c r="AB174" s="1110"/>
      <c r="AC174" s="1110"/>
      <c r="AD174" s="1110"/>
      <c r="AE174" s="1110"/>
      <c r="AF174" s="1110"/>
      <c r="AG174" s="1110"/>
      <c r="AH174" s="1110"/>
      <c r="AI174" s="1110"/>
      <c r="AJ174" s="1110"/>
      <c r="AK174" s="1110"/>
      <c r="AL174" s="1110"/>
      <c r="AM174" s="1110"/>
      <c r="AN174" s="1110"/>
      <c r="AO174" s="1110"/>
      <c r="AP174" s="1110"/>
      <c r="AQ174" s="1110">
        <v>3000000</v>
      </c>
      <c r="AR174" s="1110">
        <v>-3000000</v>
      </c>
      <c r="AS174" s="1110"/>
      <c r="AT174" s="1110"/>
      <c r="AU174" s="1110"/>
      <c r="AV174" s="1110"/>
      <c r="AW174" s="1110"/>
      <c r="AX174" s="1111"/>
    </row>
    <row r="175" spans="1:50" ht="38.25" customHeight="1" x14ac:dyDescent="0.2">
      <c r="A175" s="1174" t="s">
        <v>2487</v>
      </c>
      <c r="B175" s="1206" t="s">
        <v>2774</v>
      </c>
      <c r="C175" s="1259" t="s">
        <v>2775</v>
      </c>
      <c r="D175" s="1110"/>
      <c r="E175" s="1110"/>
      <c r="F175" s="1110"/>
      <c r="G175" s="1110"/>
      <c r="H175" s="1110"/>
      <c r="I175" s="1379"/>
      <c r="J175" s="1379"/>
      <c r="K175" s="1379"/>
      <c r="L175" s="1379"/>
      <c r="M175" s="1379"/>
      <c r="N175" s="1380"/>
      <c r="O175" s="1380"/>
      <c r="P175" s="1379"/>
      <c r="Q175" s="1110"/>
      <c r="R175" s="1110"/>
      <c r="S175" s="1110"/>
      <c r="T175" s="1110"/>
      <c r="U175" s="1110"/>
      <c r="V175" s="1110"/>
      <c r="W175" s="1110"/>
      <c r="X175" s="1110"/>
      <c r="Y175" s="1110"/>
      <c r="Z175" s="1110"/>
      <c r="AA175" s="1110"/>
      <c r="AB175" s="1110"/>
      <c r="AC175" s="1110"/>
      <c r="AD175" s="1110"/>
      <c r="AE175" s="1110"/>
      <c r="AF175" s="1110"/>
      <c r="AG175" s="1110"/>
      <c r="AH175" s="1110"/>
      <c r="AI175" s="1110"/>
      <c r="AJ175" s="1110"/>
      <c r="AK175" s="1110"/>
      <c r="AL175" s="1110"/>
      <c r="AM175" s="1110"/>
      <c r="AN175" s="1110"/>
      <c r="AO175" s="1110"/>
      <c r="AP175" s="1110"/>
      <c r="AQ175" s="1110">
        <v>-5000000</v>
      </c>
      <c r="AR175" s="1110"/>
      <c r="AS175" s="1110"/>
      <c r="AT175" s="1110"/>
      <c r="AU175" s="1110"/>
      <c r="AV175" s="1110"/>
      <c r="AW175" s="1110"/>
      <c r="AX175" s="1111"/>
    </row>
    <row r="176" spans="1:50" ht="49.5" customHeight="1" x14ac:dyDescent="0.2">
      <c r="A176" s="1174" t="s">
        <v>2496</v>
      </c>
      <c r="B176" s="1206" t="s">
        <v>2785</v>
      </c>
      <c r="C176" s="1259" t="s">
        <v>2786</v>
      </c>
      <c r="D176" s="1110"/>
      <c r="E176" s="1110"/>
      <c r="F176" s="1110"/>
      <c r="G176" s="1110"/>
      <c r="H176" s="1110"/>
      <c r="I176" s="1379"/>
      <c r="J176" s="1379"/>
      <c r="K176" s="1379"/>
      <c r="L176" s="1379"/>
      <c r="M176" s="1379"/>
      <c r="N176" s="1380"/>
      <c r="O176" s="1380"/>
      <c r="P176" s="1379"/>
      <c r="Q176" s="1110">
        <v>-200000</v>
      </c>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1"/>
    </row>
    <row r="177" spans="1:50" ht="49.5" customHeight="1" x14ac:dyDescent="0.2">
      <c r="A177" s="1410" t="s">
        <v>2498</v>
      </c>
      <c r="B177" s="1411" t="s">
        <v>2793</v>
      </c>
      <c r="C177" s="1259" t="s">
        <v>2794</v>
      </c>
      <c r="D177" s="1110"/>
      <c r="E177" s="1110"/>
      <c r="F177" s="1110"/>
      <c r="G177" s="1110"/>
      <c r="H177" s="1110">
        <v>-90170</v>
      </c>
      <c r="I177" s="1379"/>
      <c r="J177" s="1379"/>
      <c r="K177" s="1379"/>
      <c r="L177" s="1379"/>
      <c r="M177" s="1379"/>
      <c r="N177" s="1380"/>
      <c r="O177" s="1380"/>
      <c r="P177" s="1379"/>
      <c r="Q177" s="1110"/>
      <c r="R177" s="1110"/>
      <c r="S177" s="1110"/>
      <c r="T177" s="1110"/>
      <c r="U177" s="1110"/>
      <c r="V177" s="1110"/>
      <c r="W177" s="1110"/>
      <c r="X177" s="1110"/>
      <c r="Y177" s="1110"/>
      <c r="Z177" s="1110"/>
      <c r="AA177" s="1110"/>
      <c r="AB177" s="1110"/>
      <c r="AC177" s="1110"/>
      <c r="AD177" s="1110"/>
      <c r="AE177" s="1110"/>
      <c r="AF177" s="1110"/>
      <c r="AG177" s="1110"/>
      <c r="AH177" s="1110"/>
      <c r="AI177" s="1110"/>
      <c r="AJ177" s="1110"/>
      <c r="AK177" s="1110"/>
      <c r="AL177" s="1110"/>
      <c r="AM177" s="1110"/>
      <c r="AN177" s="1110"/>
      <c r="AO177" s="1110"/>
      <c r="AP177" s="1110"/>
      <c r="AQ177" s="1110"/>
      <c r="AR177" s="1110"/>
      <c r="AS177" s="1110"/>
      <c r="AT177" s="1110"/>
      <c r="AU177" s="1110"/>
      <c r="AV177" s="1110"/>
      <c r="AW177" s="1110"/>
      <c r="AX177" s="1111"/>
    </row>
    <row r="178" spans="1:50" ht="37.5" customHeight="1" x14ac:dyDescent="0.2">
      <c r="A178" s="1410" t="s">
        <v>2501</v>
      </c>
      <c r="B178" s="1411" t="s">
        <v>2795</v>
      </c>
      <c r="C178" s="1259" t="s">
        <v>2700</v>
      </c>
      <c r="D178" s="1110"/>
      <c r="E178" s="1110"/>
      <c r="F178" s="1110"/>
      <c r="G178" s="1110"/>
      <c r="H178" s="1110"/>
      <c r="I178" s="1379"/>
      <c r="J178" s="1379"/>
      <c r="K178" s="1379"/>
      <c r="L178" s="1379"/>
      <c r="M178" s="1379">
        <v>100000</v>
      </c>
      <c r="N178" s="1380"/>
      <c r="O178" s="1380"/>
      <c r="P178" s="1379"/>
      <c r="Q178" s="1110"/>
      <c r="R178" s="1110"/>
      <c r="S178" s="1110"/>
      <c r="T178" s="1110"/>
      <c r="U178" s="1110"/>
      <c r="V178" s="1110"/>
      <c r="W178" s="1110"/>
      <c r="X178" s="1110"/>
      <c r="Y178" s="1110"/>
      <c r="Z178" s="1110"/>
      <c r="AA178" s="1110"/>
      <c r="AB178" s="1110"/>
      <c r="AC178" s="1110"/>
      <c r="AD178" s="1110"/>
      <c r="AE178" s="1110"/>
      <c r="AF178" s="1110"/>
      <c r="AG178" s="1110"/>
      <c r="AH178" s="1110"/>
      <c r="AI178" s="1110"/>
      <c r="AJ178" s="1110"/>
      <c r="AK178" s="1110"/>
      <c r="AL178" s="1110"/>
      <c r="AM178" s="1110"/>
      <c r="AN178" s="1110"/>
      <c r="AO178" s="1110"/>
      <c r="AP178" s="1110"/>
      <c r="AQ178" s="1110"/>
      <c r="AR178" s="1110"/>
      <c r="AS178" s="1110"/>
      <c r="AT178" s="1110"/>
      <c r="AU178" s="1110"/>
      <c r="AV178" s="1110"/>
      <c r="AW178" s="1110"/>
      <c r="AX178" s="1111"/>
    </row>
    <row r="179" spans="1:50" ht="80.25" customHeight="1" x14ac:dyDescent="0.2">
      <c r="A179" s="1410" t="s">
        <v>2506</v>
      </c>
      <c r="B179" s="1411" t="s">
        <v>2798</v>
      </c>
      <c r="C179" s="1259" t="s">
        <v>2799</v>
      </c>
      <c r="D179" s="1110">
        <v>-355600</v>
      </c>
      <c r="E179" s="1110"/>
      <c r="F179" s="1110"/>
      <c r="G179" s="1110"/>
      <c r="H179" s="1110"/>
      <c r="I179" s="1379"/>
      <c r="J179" s="1379"/>
      <c r="K179" s="1379"/>
      <c r="L179" s="1379"/>
      <c r="M179" s="1379"/>
      <c r="N179" s="1380"/>
      <c r="O179" s="1380"/>
      <c r="P179" s="1379"/>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1"/>
    </row>
    <row r="180" spans="1:50" ht="49.5" customHeight="1" x14ac:dyDescent="0.2">
      <c r="A180" s="1410" t="s">
        <v>2508</v>
      </c>
      <c r="B180" s="1411" t="s">
        <v>2800</v>
      </c>
      <c r="C180" s="1259" t="s">
        <v>2801</v>
      </c>
      <c r="D180" s="1110"/>
      <c r="E180" s="1110"/>
      <c r="F180" s="1110"/>
      <c r="G180" s="1110"/>
      <c r="H180" s="1110"/>
      <c r="I180" s="1379"/>
      <c r="J180" s="1379"/>
      <c r="K180" s="1379"/>
      <c r="L180" s="1379"/>
      <c r="M180" s="1379"/>
      <c r="N180" s="1380"/>
      <c r="O180" s="1380"/>
      <c r="P180" s="1379"/>
      <c r="Q180" s="1110">
        <v>-171450</v>
      </c>
      <c r="R180" s="1110"/>
      <c r="S180" s="1110"/>
      <c r="T180" s="1110"/>
      <c r="U180" s="1110"/>
      <c r="V180" s="1110"/>
      <c r="W180" s="1110"/>
      <c r="X180" s="1110"/>
      <c r="Y180" s="1110"/>
      <c r="Z180" s="1110"/>
      <c r="AA180" s="1110"/>
      <c r="AB180" s="1110"/>
      <c r="AC180" s="1110"/>
      <c r="AD180" s="1110"/>
      <c r="AE180" s="1110"/>
      <c r="AF180" s="1110"/>
      <c r="AG180" s="1110"/>
      <c r="AH180" s="1110"/>
      <c r="AI180" s="1110"/>
      <c r="AJ180" s="1110"/>
      <c r="AK180" s="1110"/>
      <c r="AL180" s="1110"/>
      <c r="AM180" s="1110"/>
      <c r="AN180" s="1110"/>
      <c r="AO180" s="1110"/>
      <c r="AP180" s="1110"/>
      <c r="AQ180" s="1110"/>
      <c r="AR180" s="1110"/>
      <c r="AS180" s="1110"/>
      <c r="AT180" s="1110"/>
      <c r="AU180" s="1110"/>
      <c r="AV180" s="1110"/>
      <c r="AW180" s="1110"/>
      <c r="AX180" s="1111"/>
    </row>
    <row r="181" spans="1:50" ht="49.5" customHeight="1" x14ac:dyDescent="0.2">
      <c r="A181" s="1410" t="s">
        <v>2510</v>
      </c>
      <c r="B181" s="1411" t="s">
        <v>2802</v>
      </c>
      <c r="C181" s="1259" t="s">
        <v>2803</v>
      </c>
      <c r="D181" s="1110"/>
      <c r="E181" s="1110"/>
      <c r="F181" s="1110"/>
      <c r="G181" s="1110"/>
      <c r="H181" s="1110"/>
      <c r="I181" s="1379"/>
      <c r="J181" s="1379"/>
      <c r="K181" s="1379"/>
      <c r="L181" s="1379"/>
      <c r="M181" s="1379"/>
      <c r="N181" s="1380"/>
      <c r="O181" s="1380"/>
      <c r="P181" s="1379"/>
      <c r="Q181" s="1110">
        <v>-191001</v>
      </c>
      <c r="R181" s="1110"/>
      <c r="S181" s="1110"/>
      <c r="T181" s="1110"/>
      <c r="U181" s="1110"/>
      <c r="V181" s="1110"/>
      <c r="W181" s="1110"/>
      <c r="X181" s="1110"/>
      <c r="Y181" s="1110"/>
      <c r="Z181" s="1110"/>
      <c r="AA181" s="1110"/>
      <c r="AB181" s="1110"/>
      <c r="AC181" s="1110"/>
      <c r="AD181" s="1110"/>
      <c r="AE181" s="1110"/>
      <c r="AF181" s="1110"/>
      <c r="AG181" s="1110"/>
      <c r="AH181" s="1110"/>
      <c r="AI181" s="1110"/>
      <c r="AJ181" s="1110"/>
      <c r="AK181" s="1110"/>
      <c r="AL181" s="1110"/>
      <c r="AM181" s="1110"/>
      <c r="AN181" s="1110"/>
      <c r="AO181" s="1110"/>
      <c r="AP181" s="1110"/>
      <c r="AQ181" s="1110"/>
      <c r="AR181" s="1110"/>
      <c r="AS181" s="1110"/>
      <c r="AT181" s="1110"/>
      <c r="AU181" s="1110"/>
      <c r="AV181" s="1110"/>
      <c r="AW181" s="1110"/>
      <c r="AX181" s="1111"/>
    </row>
    <row r="182" spans="1:50" ht="61.5" customHeight="1" x14ac:dyDescent="0.2">
      <c r="A182" s="1410" t="s">
        <v>2512</v>
      </c>
      <c r="B182" s="1411" t="s">
        <v>2804</v>
      </c>
      <c r="C182" s="1259" t="s">
        <v>2805</v>
      </c>
      <c r="D182" s="1110"/>
      <c r="E182" s="1110"/>
      <c r="F182" s="1110"/>
      <c r="G182" s="1110"/>
      <c r="H182" s="1110"/>
      <c r="I182" s="1379"/>
      <c r="J182" s="1379"/>
      <c r="K182" s="1379"/>
      <c r="L182" s="1379"/>
      <c r="M182" s="1379"/>
      <c r="N182" s="1380"/>
      <c r="O182" s="1380"/>
      <c r="P182" s="1379"/>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1">
        <v>-200000</v>
      </c>
    </row>
    <row r="183" spans="1:50" ht="49.5" customHeight="1" x14ac:dyDescent="0.2">
      <c r="A183" s="1410" t="s">
        <v>2515</v>
      </c>
      <c r="B183" s="1411" t="s">
        <v>2807</v>
      </c>
      <c r="C183" s="1259" t="s">
        <v>2808</v>
      </c>
      <c r="D183" s="1110"/>
      <c r="E183" s="1110"/>
      <c r="F183" s="1110"/>
      <c r="G183" s="1110"/>
      <c r="H183" s="1110"/>
      <c r="I183" s="1379"/>
      <c r="J183" s="1379"/>
      <c r="K183" s="1379"/>
      <c r="L183" s="1379"/>
      <c r="M183" s="1379"/>
      <c r="N183" s="1380"/>
      <c r="O183" s="1380"/>
      <c r="P183" s="1379"/>
      <c r="Q183" s="1110">
        <v>-11724</v>
      </c>
      <c r="R183" s="1110"/>
      <c r="S183" s="1110"/>
      <c r="T183" s="1110"/>
      <c r="U183" s="1110"/>
      <c r="V183" s="1110"/>
      <c r="W183" s="1110"/>
      <c r="X183" s="1110"/>
      <c r="Y183" s="1110"/>
      <c r="Z183" s="1110"/>
      <c r="AA183" s="1110"/>
      <c r="AB183" s="1110"/>
      <c r="AC183" s="1110"/>
      <c r="AD183" s="1110"/>
      <c r="AE183" s="1110"/>
      <c r="AF183" s="1110"/>
      <c r="AG183" s="1110"/>
      <c r="AH183" s="1110"/>
      <c r="AI183" s="1110"/>
      <c r="AJ183" s="1110"/>
      <c r="AK183" s="1110"/>
      <c r="AL183" s="1110"/>
      <c r="AM183" s="1110"/>
      <c r="AN183" s="1110"/>
      <c r="AO183" s="1110"/>
      <c r="AP183" s="1110"/>
      <c r="AQ183" s="1110"/>
      <c r="AR183" s="1110"/>
      <c r="AS183" s="1110"/>
      <c r="AT183" s="1110"/>
      <c r="AU183" s="1110"/>
      <c r="AV183" s="1110"/>
      <c r="AW183" s="1110"/>
      <c r="AX183" s="1111"/>
    </row>
    <row r="184" spans="1:50" ht="49.5" customHeight="1" x14ac:dyDescent="0.2">
      <c r="A184" s="1410" t="s">
        <v>2809</v>
      </c>
      <c r="B184" s="1411" t="s">
        <v>2810</v>
      </c>
      <c r="C184" s="1259" t="s">
        <v>2808</v>
      </c>
      <c r="D184" s="1110"/>
      <c r="E184" s="1110"/>
      <c r="F184" s="1110"/>
      <c r="G184" s="1110"/>
      <c r="H184" s="1110"/>
      <c r="I184" s="1379"/>
      <c r="J184" s="1379"/>
      <c r="K184" s="1379"/>
      <c r="L184" s="1379"/>
      <c r="M184" s="1379"/>
      <c r="N184" s="1380"/>
      <c r="O184" s="1380"/>
      <c r="P184" s="1379"/>
      <c r="Q184" s="1110">
        <v>-31950</v>
      </c>
      <c r="R184" s="1110"/>
      <c r="S184" s="1110"/>
      <c r="T184" s="1110"/>
      <c r="U184" s="1110"/>
      <c r="V184" s="1110"/>
      <c r="W184" s="1110"/>
      <c r="X184" s="1110"/>
      <c r="Y184" s="1110"/>
      <c r="Z184" s="1110"/>
      <c r="AA184" s="1110"/>
      <c r="AB184" s="1110"/>
      <c r="AC184" s="1110"/>
      <c r="AD184" s="1110"/>
      <c r="AE184" s="1110"/>
      <c r="AF184" s="1110"/>
      <c r="AG184" s="1110"/>
      <c r="AH184" s="1110"/>
      <c r="AI184" s="1110"/>
      <c r="AJ184" s="1110"/>
      <c r="AK184" s="1110"/>
      <c r="AL184" s="1110"/>
      <c r="AM184" s="1110"/>
      <c r="AN184" s="1110"/>
      <c r="AO184" s="1110"/>
      <c r="AP184" s="1110"/>
      <c r="AQ184" s="1110"/>
      <c r="AR184" s="1110"/>
      <c r="AS184" s="1110"/>
      <c r="AT184" s="1110"/>
      <c r="AU184" s="1110"/>
      <c r="AV184" s="1110"/>
      <c r="AW184" s="1110"/>
      <c r="AX184" s="1111"/>
    </row>
    <row r="185" spans="1:50" ht="39" customHeight="1" x14ac:dyDescent="0.2">
      <c r="A185" s="1410" t="s">
        <v>2813</v>
      </c>
      <c r="B185" s="1411" t="s">
        <v>2814</v>
      </c>
      <c r="C185" s="1259" t="s">
        <v>2815</v>
      </c>
      <c r="D185" s="1110"/>
      <c r="E185" s="1110"/>
      <c r="F185" s="1110"/>
      <c r="G185" s="1110"/>
      <c r="H185" s="1110"/>
      <c r="I185" s="1379"/>
      <c r="J185" s="1379"/>
      <c r="K185" s="1379"/>
      <c r="L185" s="1379"/>
      <c r="M185" s="1379"/>
      <c r="N185" s="1380"/>
      <c r="O185" s="1380"/>
      <c r="P185" s="1379"/>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v>11043562</v>
      </c>
      <c r="AU185" s="1110"/>
      <c r="AV185" s="1110"/>
      <c r="AW185" s="1110"/>
      <c r="AX185" s="1111"/>
    </row>
    <row r="186" spans="1:50" ht="48" customHeight="1" x14ac:dyDescent="0.2">
      <c r="A186" s="1410" t="s">
        <v>2522</v>
      </c>
      <c r="B186" s="1411" t="s">
        <v>2816</v>
      </c>
      <c r="C186" s="1259" t="s">
        <v>2817</v>
      </c>
      <c r="D186" s="1110"/>
      <c r="E186" s="1110"/>
      <c r="F186" s="1110"/>
      <c r="G186" s="1110"/>
      <c r="H186" s="1110"/>
      <c r="I186" s="1379"/>
      <c r="J186" s="1379"/>
      <c r="K186" s="1379"/>
      <c r="L186" s="1379"/>
      <c r="M186" s="1379"/>
      <c r="N186" s="1380"/>
      <c r="O186" s="1380"/>
      <c r="P186" s="1379"/>
      <c r="Q186" s="1110"/>
      <c r="R186" s="1110"/>
      <c r="S186" s="1110"/>
      <c r="T186" s="1110"/>
      <c r="U186" s="1110"/>
      <c r="V186" s="1110"/>
      <c r="W186" s="1110"/>
      <c r="X186" s="1110"/>
      <c r="Y186" s="1110"/>
      <c r="Z186" s="1110"/>
      <c r="AA186" s="1110"/>
      <c r="AB186" s="1110"/>
      <c r="AC186" s="1110"/>
      <c r="AD186" s="1110"/>
      <c r="AE186" s="1110"/>
      <c r="AF186" s="1110"/>
      <c r="AG186" s="1110"/>
      <c r="AH186" s="1110"/>
      <c r="AI186" s="1110"/>
      <c r="AJ186" s="1110"/>
      <c r="AK186" s="1110"/>
      <c r="AL186" s="1110"/>
      <c r="AM186" s="1110"/>
      <c r="AN186" s="1110"/>
      <c r="AO186" s="1110"/>
      <c r="AP186" s="1110"/>
      <c r="AQ186" s="1110"/>
      <c r="AR186" s="1110"/>
      <c r="AS186" s="1110"/>
      <c r="AT186" s="1110">
        <v>-1905000</v>
      </c>
      <c r="AU186" s="1110"/>
      <c r="AV186" s="1110"/>
      <c r="AW186" s="1110"/>
      <c r="AX186" s="1111"/>
    </row>
    <row r="187" spans="1:50" ht="64.5" customHeight="1" x14ac:dyDescent="0.2">
      <c r="A187" s="1410" t="s">
        <v>2524</v>
      </c>
      <c r="B187" s="1411" t="s">
        <v>2818</v>
      </c>
      <c r="C187" s="1259" t="s">
        <v>2819</v>
      </c>
      <c r="D187" s="1110"/>
      <c r="E187" s="1110"/>
      <c r="F187" s="1110"/>
      <c r="G187" s="1110"/>
      <c r="H187" s="1110"/>
      <c r="I187" s="1379"/>
      <c r="J187" s="1379"/>
      <c r="K187" s="1379"/>
      <c r="L187" s="1379"/>
      <c r="M187" s="1379"/>
      <c r="N187" s="1380"/>
      <c r="O187" s="1380"/>
      <c r="P187" s="1379"/>
      <c r="Q187" s="1110"/>
      <c r="R187" s="1110"/>
      <c r="S187" s="1110"/>
      <c r="T187" s="1110"/>
      <c r="U187" s="1110"/>
      <c r="V187" s="1110"/>
      <c r="W187" s="1110"/>
      <c r="X187" s="1110"/>
      <c r="Y187" s="1110"/>
      <c r="Z187" s="1110"/>
      <c r="AA187" s="1110"/>
      <c r="AB187" s="1110"/>
      <c r="AC187" s="1110"/>
      <c r="AD187" s="1110"/>
      <c r="AE187" s="1110"/>
      <c r="AF187" s="1110"/>
      <c r="AG187" s="1110"/>
      <c r="AH187" s="1110"/>
      <c r="AI187" s="1110"/>
      <c r="AJ187" s="1110"/>
      <c r="AK187" s="1110"/>
      <c r="AL187" s="1110"/>
      <c r="AM187" s="1110"/>
      <c r="AN187" s="1110"/>
      <c r="AO187" s="1110"/>
      <c r="AP187" s="1110"/>
      <c r="AQ187" s="1110"/>
      <c r="AR187" s="1110"/>
      <c r="AS187" s="1110"/>
      <c r="AT187" s="1110">
        <v>-3335000</v>
      </c>
      <c r="AU187" s="1110"/>
      <c r="AV187" s="1110"/>
      <c r="AW187" s="1110"/>
      <c r="AX187" s="1111"/>
    </row>
    <row r="188" spans="1:50" ht="60" customHeight="1" x14ac:dyDescent="0.2">
      <c r="A188" s="1410" t="s">
        <v>2559</v>
      </c>
      <c r="B188" s="1411" t="s">
        <v>2829</v>
      </c>
      <c r="C188" s="1259" t="s">
        <v>2830</v>
      </c>
      <c r="D188" s="1110"/>
      <c r="E188" s="1110"/>
      <c r="F188" s="1110"/>
      <c r="G188" s="1110"/>
      <c r="H188" s="1110"/>
      <c r="I188" s="1379"/>
      <c r="J188" s="1379"/>
      <c r="K188" s="1379"/>
      <c r="L188" s="1379"/>
      <c r="M188" s="1379"/>
      <c r="N188" s="1380"/>
      <c r="O188" s="1380"/>
      <c r="P188" s="1379"/>
      <c r="Q188" s="1110">
        <v>-328499</v>
      </c>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1"/>
    </row>
    <row r="189" spans="1:50" ht="66" customHeight="1" x14ac:dyDescent="0.2">
      <c r="A189" s="1410" t="s">
        <v>2571</v>
      </c>
      <c r="B189" s="1411" t="s">
        <v>2839</v>
      </c>
      <c r="C189" s="1259" t="s">
        <v>2859</v>
      </c>
      <c r="D189" s="1110"/>
      <c r="E189" s="1110"/>
      <c r="F189" s="1110"/>
      <c r="G189" s="1110"/>
      <c r="H189" s="1110"/>
      <c r="I189" s="1379"/>
      <c r="J189" s="1379"/>
      <c r="K189" s="1379"/>
      <c r="L189" s="1379"/>
      <c r="M189" s="1379"/>
      <c r="N189" s="1380"/>
      <c r="O189" s="1380"/>
      <c r="P189" s="1379"/>
      <c r="Q189" s="1110"/>
      <c r="R189" s="1110"/>
      <c r="S189" s="1110"/>
      <c r="T189" s="1110"/>
      <c r="U189" s="1110"/>
      <c r="V189" s="1110"/>
      <c r="W189" s="1110"/>
      <c r="X189" s="1110"/>
      <c r="Y189" s="1110">
        <v>2510268</v>
      </c>
      <c r="Z189" s="1110"/>
      <c r="AA189" s="1110"/>
      <c r="AB189" s="1110"/>
      <c r="AC189" s="1110"/>
      <c r="AD189" s="1110"/>
      <c r="AE189" s="1110"/>
      <c r="AF189" s="1110"/>
      <c r="AG189" s="1110"/>
      <c r="AH189" s="1110"/>
      <c r="AI189" s="1110"/>
      <c r="AJ189" s="1110"/>
      <c r="AK189" s="1110"/>
      <c r="AL189" s="1110"/>
      <c r="AM189" s="1110"/>
      <c r="AN189" s="1110"/>
      <c r="AO189" s="1110"/>
      <c r="AP189" s="1110"/>
      <c r="AQ189" s="1110"/>
      <c r="AR189" s="1110"/>
      <c r="AS189" s="1110"/>
      <c r="AT189" s="1110"/>
      <c r="AU189" s="1110"/>
      <c r="AV189" s="1110"/>
      <c r="AW189" s="1110"/>
      <c r="AX189" s="1111"/>
    </row>
    <row r="190" spans="1:50" ht="49.5" customHeight="1" x14ac:dyDescent="0.2">
      <c r="A190" s="1174" t="s">
        <v>2575</v>
      </c>
      <c r="B190" s="1206" t="s">
        <v>2849</v>
      </c>
      <c r="C190" s="1259" t="s">
        <v>2850</v>
      </c>
      <c r="D190" s="1110"/>
      <c r="E190" s="1110"/>
      <c r="F190" s="1110"/>
      <c r="G190" s="1110"/>
      <c r="H190" s="1110"/>
      <c r="I190" s="1379"/>
      <c r="J190" s="1379"/>
      <c r="K190" s="1379"/>
      <c r="L190" s="1379"/>
      <c r="M190" s="1379"/>
      <c r="N190" s="1380">
        <v>-21444871</v>
      </c>
      <c r="O190" s="1380"/>
      <c r="P190" s="1379"/>
      <c r="Q190" s="1110"/>
      <c r="R190" s="1110"/>
      <c r="S190" s="1110"/>
      <c r="T190" s="1110"/>
      <c r="U190" s="1110"/>
      <c r="V190" s="1110"/>
      <c r="W190" s="1110"/>
      <c r="X190" s="1110"/>
      <c r="Y190" s="1110"/>
      <c r="Z190" s="1110"/>
      <c r="AA190" s="1110"/>
      <c r="AB190" s="1110"/>
      <c r="AC190" s="1110"/>
      <c r="AD190" s="1110"/>
      <c r="AE190" s="1110"/>
      <c r="AF190" s="1110"/>
      <c r="AG190" s="1110"/>
      <c r="AH190" s="1110"/>
      <c r="AI190" s="1110"/>
      <c r="AJ190" s="1110"/>
      <c r="AK190" s="1110"/>
      <c r="AL190" s="1110"/>
      <c r="AM190" s="1110"/>
      <c r="AN190" s="1110"/>
      <c r="AO190" s="1110"/>
      <c r="AP190" s="1110"/>
      <c r="AQ190" s="1110"/>
      <c r="AR190" s="1110"/>
      <c r="AS190" s="1110"/>
      <c r="AT190" s="1110"/>
      <c r="AU190" s="1110"/>
      <c r="AV190" s="1110"/>
      <c r="AW190" s="1110"/>
      <c r="AX190" s="1111"/>
    </row>
    <row r="191" spans="1:50" ht="49.5" customHeight="1" x14ac:dyDescent="0.2">
      <c r="A191" s="1174" t="s">
        <v>2578</v>
      </c>
      <c r="B191" s="1207" t="s">
        <v>2864</v>
      </c>
      <c r="C191" s="1259" t="s">
        <v>2863</v>
      </c>
      <c r="D191" s="1110"/>
      <c r="E191" s="1110"/>
      <c r="F191" s="1110"/>
      <c r="G191" s="1110"/>
      <c r="H191" s="1110"/>
      <c r="I191" s="1379"/>
      <c r="J191" s="1379"/>
      <c r="K191" s="1379"/>
      <c r="L191" s="1379"/>
      <c r="M191" s="1379"/>
      <c r="N191" s="1380"/>
      <c r="O191" s="1380"/>
      <c r="P191" s="1379"/>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1">
        <v>-600000</v>
      </c>
    </row>
    <row r="192" spans="1:50" ht="66" customHeight="1" x14ac:dyDescent="0.2">
      <c r="A192" s="1174" t="s">
        <v>2581</v>
      </c>
      <c r="B192" s="1206" t="s">
        <v>2866</v>
      </c>
      <c r="C192" s="1259" t="s">
        <v>3018</v>
      </c>
      <c r="D192" s="1110"/>
      <c r="E192" s="1110"/>
      <c r="F192" s="1110"/>
      <c r="G192" s="1110">
        <v>-381000</v>
      </c>
      <c r="H192" s="1110"/>
      <c r="I192" s="1379"/>
      <c r="J192" s="1379"/>
      <c r="K192" s="1379"/>
      <c r="L192" s="1379"/>
      <c r="M192" s="1379"/>
      <c r="N192" s="1380"/>
      <c r="O192" s="1380"/>
      <c r="P192" s="1379"/>
      <c r="Q192" s="1110"/>
      <c r="R192" s="1110"/>
      <c r="S192" s="1110"/>
      <c r="T192" s="1110"/>
      <c r="U192" s="1110"/>
      <c r="V192" s="1110"/>
      <c r="W192" s="1110"/>
      <c r="X192" s="1110"/>
      <c r="Y192" s="1110"/>
      <c r="Z192" s="1110"/>
      <c r="AA192" s="1110"/>
      <c r="AB192" s="1110"/>
      <c r="AC192" s="1110"/>
      <c r="AD192" s="1110"/>
      <c r="AE192" s="1110"/>
      <c r="AF192" s="1110"/>
      <c r="AG192" s="1110"/>
      <c r="AH192" s="1110"/>
      <c r="AI192" s="1110"/>
      <c r="AJ192" s="1110"/>
      <c r="AK192" s="1110"/>
      <c r="AL192" s="1110"/>
      <c r="AM192" s="1110"/>
      <c r="AN192" s="1110"/>
      <c r="AO192" s="1110"/>
      <c r="AP192" s="1110"/>
      <c r="AQ192" s="1110"/>
      <c r="AR192" s="1110"/>
      <c r="AS192" s="1110"/>
      <c r="AT192" s="1110"/>
      <c r="AU192" s="1110"/>
      <c r="AV192" s="1110"/>
      <c r="AW192" s="1110"/>
      <c r="AX192" s="1111"/>
    </row>
    <row r="193" spans="1:50" ht="63" customHeight="1" x14ac:dyDescent="0.2">
      <c r="A193" s="1174" t="s">
        <v>2583</v>
      </c>
      <c r="B193" s="1206" t="s">
        <v>2867</v>
      </c>
      <c r="C193" s="1259" t="s">
        <v>3019</v>
      </c>
      <c r="D193" s="1110"/>
      <c r="E193" s="1110"/>
      <c r="F193" s="1110"/>
      <c r="G193" s="1110">
        <v>-355600</v>
      </c>
      <c r="H193" s="1110"/>
      <c r="I193" s="1379"/>
      <c r="J193" s="1379"/>
      <c r="K193" s="1379"/>
      <c r="L193" s="1379"/>
      <c r="M193" s="1379"/>
      <c r="N193" s="1380"/>
      <c r="O193" s="1380"/>
      <c r="P193" s="1379"/>
      <c r="Q193" s="1110"/>
      <c r="R193" s="1110"/>
      <c r="S193" s="1110"/>
      <c r="T193" s="1110"/>
      <c r="U193" s="1110"/>
      <c r="V193" s="1110"/>
      <c r="W193" s="1110"/>
      <c r="X193" s="1110"/>
      <c r="Y193" s="1110"/>
      <c r="Z193" s="1110"/>
      <c r="AA193" s="1110"/>
      <c r="AB193" s="1110"/>
      <c r="AC193" s="1110"/>
      <c r="AD193" s="1110"/>
      <c r="AE193" s="1110"/>
      <c r="AF193" s="1110"/>
      <c r="AG193" s="1110"/>
      <c r="AH193" s="1110"/>
      <c r="AI193" s="1110"/>
      <c r="AJ193" s="1110"/>
      <c r="AK193" s="1110"/>
      <c r="AL193" s="1110"/>
      <c r="AM193" s="1110"/>
      <c r="AN193" s="1110"/>
      <c r="AO193" s="1110"/>
      <c r="AP193" s="1110"/>
      <c r="AQ193" s="1110"/>
      <c r="AR193" s="1110"/>
      <c r="AS193" s="1110"/>
      <c r="AT193" s="1110"/>
      <c r="AU193" s="1110"/>
      <c r="AV193" s="1110"/>
      <c r="AW193" s="1110"/>
      <c r="AX193" s="1111"/>
    </row>
    <row r="194" spans="1:50" ht="48" customHeight="1" x14ac:dyDescent="0.2">
      <c r="A194" s="1174" t="s">
        <v>2586</v>
      </c>
      <c r="B194" s="1206" t="s">
        <v>2869</v>
      </c>
      <c r="C194" s="1259" t="s">
        <v>2870</v>
      </c>
      <c r="D194" s="1110"/>
      <c r="E194" s="1110"/>
      <c r="F194" s="1110"/>
      <c r="G194" s="1110"/>
      <c r="H194" s="1110"/>
      <c r="I194" s="1379"/>
      <c r="J194" s="1379"/>
      <c r="K194" s="1379"/>
      <c r="L194" s="1379"/>
      <c r="M194" s="1379"/>
      <c r="N194" s="1380"/>
      <c r="O194" s="1380"/>
      <c r="P194" s="1379"/>
      <c r="Q194" s="1110">
        <v>-3577301</v>
      </c>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1"/>
    </row>
    <row r="195" spans="1:50" ht="60" customHeight="1" x14ac:dyDescent="0.2">
      <c r="A195" s="1174" t="s">
        <v>2588</v>
      </c>
      <c r="B195" s="1206" t="s">
        <v>2871</v>
      </c>
      <c r="C195" s="1259" t="s">
        <v>2872</v>
      </c>
      <c r="D195" s="1110">
        <v>-2200360</v>
      </c>
      <c r="E195" s="1110"/>
      <c r="F195" s="1110"/>
      <c r="G195" s="1110"/>
      <c r="H195" s="1110"/>
      <c r="I195" s="1379"/>
      <c r="J195" s="1379"/>
      <c r="K195" s="1379"/>
      <c r="L195" s="1379"/>
      <c r="M195" s="1379"/>
      <c r="N195" s="1380"/>
      <c r="O195" s="1380"/>
      <c r="P195" s="1379"/>
      <c r="Q195" s="1110"/>
      <c r="R195" s="1110"/>
      <c r="S195" s="1110"/>
      <c r="T195" s="1110"/>
      <c r="U195" s="1110"/>
      <c r="V195" s="1110"/>
      <c r="W195" s="1110"/>
      <c r="X195" s="1110"/>
      <c r="Y195" s="1110"/>
      <c r="Z195" s="1110"/>
      <c r="AA195" s="1110"/>
      <c r="AB195" s="1110"/>
      <c r="AC195" s="1110"/>
      <c r="AD195" s="1110"/>
      <c r="AE195" s="1110"/>
      <c r="AF195" s="1110"/>
      <c r="AG195" s="1110"/>
      <c r="AH195" s="1110"/>
      <c r="AI195" s="1110"/>
      <c r="AJ195" s="1110"/>
      <c r="AK195" s="1110"/>
      <c r="AL195" s="1110"/>
      <c r="AM195" s="1110"/>
      <c r="AN195" s="1110"/>
      <c r="AO195" s="1110"/>
      <c r="AP195" s="1110"/>
      <c r="AQ195" s="1110"/>
      <c r="AR195" s="1110"/>
      <c r="AS195" s="1110"/>
      <c r="AT195" s="1110"/>
      <c r="AU195" s="1110"/>
      <c r="AV195" s="1110"/>
      <c r="AW195" s="1110"/>
      <c r="AX195" s="1111"/>
    </row>
    <row r="196" spans="1:50" ht="64.5" customHeight="1" x14ac:dyDescent="0.2">
      <c r="A196" s="1174" t="s">
        <v>2594</v>
      </c>
      <c r="B196" s="1206" t="s">
        <v>2873</v>
      </c>
      <c r="C196" s="1259" t="s">
        <v>2874</v>
      </c>
      <c r="D196" s="1110"/>
      <c r="E196" s="1110"/>
      <c r="F196" s="1110"/>
      <c r="G196" s="1110"/>
      <c r="H196" s="1110"/>
      <c r="I196" s="1379"/>
      <c r="J196" s="1379"/>
      <c r="K196" s="1379"/>
      <c r="L196" s="1379"/>
      <c r="M196" s="1379"/>
      <c r="N196" s="1380"/>
      <c r="O196" s="1380"/>
      <c r="P196" s="1379"/>
      <c r="Q196" s="1110"/>
      <c r="R196" s="1110"/>
      <c r="S196" s="1110"/>
      <c r="T196" s="1110"/>
      <c r="U196" s="1110"/>
      <c r="V196" s="1110"/>
      <c r="W196" s="1110"/>
      <c r="X196" s="1110">
        <v>-960000</v>
      </c>
      <c r="Y196" s="1110"/>
      <c r="Z196" s="1110"/>
      <c r="AA196" s="1110"/>
      <c r="AB196" s="1110"/>
      <c r="AC196" s="1110"/>
      <c r="AD196" s="1110"/>
      <c r="AE196" s="1110"/>
      <c r="AF196" s="1110"/>
      <c r="AG196" s="1110"/>
      <c r="AH196" s="1110"/>
      <c r="AI196" s="1110"/>
      <c r="AJ196" s="1110"/>
      <c r="AK196" s="1110"/>
      <c r="AL196" s="1110"/>
      <c r="AM196" s="1110"/>
      <c r="AN196" s="1110"/>
      <c r="AO196" s="1110"/>
      <c r="AP196" s="1110"/>
      <c r="AQ196" s="1110"/>
      <c r="AR196" s="1110"/>
      <c r="AS196" s="1110"/>
      <c r="AT196" s="1110"/>
      <c r="AU196" s="1110"/>
      <c r="AV196" s="1110"/>
      <c r="AW196" s="1110"/>
      <c r="AX196" s="1111"/>
    </row>
    <row r="197" spans="1:50" ht="51.75" customHeight="1" x14ac:dyDescent="0.2">
      <c r="A197" s="1174" t="s">
        <v>2598</v>
      </c>
      <c r="B197" s="1206" t="s">
        <v>2877</v>
      </c>
      <c r="C197" s="1259" t="s">
        <v>2878</v>
      </c>
      <c r="D197" s="1110"/>
      <c r="E197" s="1110"/>
      <c r="F197" s="1110"/>
      <c r="G197" s="1110"/>
      <c r="H197" s="1110"/>
      <c r="I197" s="1379"/>
      <c r="J197" s="1379"/>
      <c r="K197" s="1379"/>
      <c r="L197" s="1379"/>
      <c r="M197" s="1379"/>
      <c r="N197" s="1380"/>
      <c r="O197" s="1380"/>
      <c r="P197" s="1379"/>
      <c r="Q197" s="1110">
        <v>-381000</v>
      </c>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1"/>
    </row>
    <row r="198" spans="1:50" ht="49.5" customHeight="1" x14ac:dyDescent="0.2">
      <c r="A198" s="1174" t="s">
        <v>2601</v>
      </c>
      <c r="B198" s="1206" t="s">
        <v>2879</v>
      </c>
      <c r="C198" s="1259" t="s">
        <v>2880</v>
      </c>
      <c r="D198" s="1110"/>
      <c r="E198" s="1110"/>
      <c r="F198" s="1110"/>
      <c r="G198" s="1110"/>
      <c r="H198" s="1110"/>
      <c r="I198" s="1379"/>
      <c r="J198" s="1379"/>
      <c r="K198" s="1379"/>
      <c r="L198" s="1379"/>
      <c r="M198" s="1379"/>
      <c r="N198" s="1380"/>
      <c r="O198" s="1380"/>
      <c r="P198" s="1379"/>
      <c r="Q198" s="1110">
        <v>-909320</v>
      </c>
      <c r="R198" s="1110"/>
      <c r="S198" s="1110"/>
      <c r="T198" s="1110"/>
      <c r="U198" s="1110"/>
      <c r="V198" s="1110"/>
      <c r="W198" s="1110"/>
      <c r="X198" s="1110"/>
      <c r="Y198" s="1110"/>
      <c r="Z198" s="1110"/>
      <c r="AA198" s="1110"/>
      <c r="AB198" s="1110"/>
      <c r="AC198" s="1110"/>
      <c r="AD198" s="1110"/>
      <c r="AE198" s="1110"/>
      <c r="AF198" s="1110"/>
      <c r="AG198" s="1110"/>
      <c r="AH198" s="1110"/>
      <c r="AI198" s="1110"/>
      <c r="AJ198" s="1110"/>
      <c r="AK198" s="1110"/>
      <c r="AL198" s="1110"/>
      <c r="AM198" s="1110"/>
      <c r="AN198" s="1110"/>
      <c r="AO198" s="1110"/>
      <c r="AP198" s="1110"/>
      <c r="AQ198" s="1110"/>
      <c r="AR198" s="1110"/>
      <c r="AS198" s="1110"/>
      <c r="AT198" s="1110"/>
      <c r="AU198" s="1110"/>
      <c r="AV198" s="1110"/>
      <c r="AW198" s="1110"/>
      <c r="AX198" s="1111"/>
    </row>
    <row r="199" spans="1:50" ht="63.75" customHeight="1" x14ac:dyDescent="0.2">
      <c r="A199" s="1174" t="s">
        <v>2603</v>
      </c>
      <c r="B199" s="1206" t="s">
        <v>2881</v>
      </c>
      <c r="C199" s="1259" t="s">
        <v>2882</v>
      </c>
      <c r="D199" s="1110"/>
      <c r="E199" s="1110"/>
      <c r="F199" s="1110"/>
      <c r="G199" s="1110"/>
      <c r="H199" s="1110"/>
      <c r="I199" s="1379"/>
      <c r="J199" s="1379"/>
      <c r="K199" s="1379"/>
      <c r="L199" s="1379"/>
      <c r="M199" s="1379"/>
      <c r="N199" s="1380"/>
      <c r="O199" s="1380"/>
      <c r="P199" s="1379"/>
      <c r="Q199" s="1110">
        <v>-208280</v>
      </c>
      <c r="R199" s="1110"/>
      <c r="S199" s="1110"/>
      <c r="T199" s="1110"/>
      <c r="U199" s="1110"/>
      <c r="V199" s="1110"/>
      <c r="W199" s="1110"/>
      <c r="X199" s="1110"/>
      <c r="Y199" s="1110"/>
      <c r="Z199" s="1110"/>
      <c r="AA199" s="1110"/>
      <c r="AB199" s="1110"/>
      <c r="AC199" s="1110"/>
      <c r="AD199" s="1110"/>
      <c r="AE199" s="1110"/>
      <c r="AF199" s="1110"/>
      <c r="AG199" s="1110"/>
      <c r="AH199" s="1110"/>
      <c r="AI199" s="1110"/>
      <c r="AJ199" s="1110"/>
      <c r="AK199" s="1110"/>
      <c r="AL199" s="1110"/>
      <c r="AM199" s="1110"/>
      <c r="AN199" s="1110"/>
      <c r="AO199" s="1110"/>
      <c r="AP199" s="1110"/>
      <c r="AQ199" s="1110"/>
      <c r="AR199" s="1110"/>
      <c r="AS199" s="1110"/>
      <c r="AT199" s="1110"/>
      <c r="AU199" s="1110"/>
      <c r="AV199" s="1110"/>
      <c r="AW199" s="1110"/>
      <c r="AX199" s="1111"/>
    </row>
    <row r="200" spans="1:50" ht="96" customHeight="1" x14ac:dyDescent="0.2">
      <c r="A200" s="1174" t="s">
        <v>2605</v>
      </c>
      <c r="B200" s="1206" t="s">
        <v>2883</v>
      </c>
      <c r="C200" s="1259" t="s">
        <v>2884</v>
      </c>
      <c r="D200" s="1110"/>
      <c r="E200" s="1110"/>
      <c r="F200" s="1110"/>
      <c r="G200" s="1110"/>
      <c r="H200" s="1110"/>
      <c r="I200" s="1379"/>
      <c r="J200" s="1379"/>
      <c r="K200" s="1379"/>
      <c r="L200" s="1379"/>
      <c r="M200" s="1379"/>
      <c r="N200" s="1380"/>
      <c r="O200" s="1380"/>
      <c r="P200" s="1379"/>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v>-200000</v>
      </c>
      <c r="AK200" s="1110"/>
      <c r="AL200" s="1110"/>
      <c r="AM200" s="1110"/>
      <c r="AN200" s="1110"/>
      <c r="AO200" s="1110"/>
      <c r="AP200" s="1110"/>
      <c r="AQ200" s="1110"/>
      <c r="AR200" s="1110"/>
      <c r="AS200" s="1110"/>
      <c r="AT200" s="1110"/>
      <c r="AU200" s="1110"/>
      <c r="AV200" s="1110"/>
      <c r="AW200" s="1110"/>
      <c r="AX200" s="1111"/>
    </row>
    <row r="201" spans="1:50" ht="95.25" customHeight="1" x14ac:dyDescent="0.2">
      <c r="A201" s="1174" t="s">
        <v>2608</v>
      </c>
      <c r="B201" s="1206" t="s">
        <v>2886</v>
      </c>
      <c r="C201" s="1259" t="s">
        <v>2887</v>
      </c>
      <c r="D201" s="1110"/>
      <c r="E201" s="1110"/>
      <c r="F201" s="1110"/>
      <c r="G201" s="1110"/>
      <c r="H201" s="1110"/>
      <c r="I201" s="1379"/>
      <c r="J201" s="1379"/>
      <c r="K201" s="1379"/>
      <c r="L201" s="1379"/>
      <c r="M201" s="1379"/>
      <c r="N201" s="1380"/>
      <c r="O201" s="1380"/>
      <c r="P201" s="1379"/>
      <c r="Q201" s="1110"/>
      <c r="R201" s="1110"/>
      <c r="S201" s="1110"/>
      <c r="T201" s="1110"/>
      <c r="U201" s="1110"/>
      <c r="V201" s="1110"/>
      <c r="W201" s="1110"/>
      <c r="X201" s="1110"/>
      <c r="Y201" s="1110"/>
      <c r="Z201" s="1110"/>
      <c r="AA201" s="1110"/>
      <c r="AB201" s="1110"/>
      <c r="AC201" s="1110"/>
      <c r="AD201" s="1110"/>
      <c r="AE201" s="1110"/>
      <c r="AF201" s="1110"/>
      <c r="AG201" s="1110"/>
      <c r="AH201" s="1110"/>
      <c r="AI201" s="1110"/>
      <c r="AJ201" s="1110">
        <v>-100000</v>
      </c>
      <c r="AK201" s="1110"/>
      <c r="AL201" s="1110"/>
      <c r="AM201" s="1110"/>
      <c r="AN201" s="1110"/>
      <c r="AO201" s="1110"/>
      <c r="AP201" s="1110"/>
      <c r="AQ201" s="1110"/>
      <c r="AR201" s="1110"/>
      <c r="AS201" s="1110"/>
      <c r="AT201" s="1110"/>
      <c r="AU201" s="1110"/>
      <c r="AV201" s="1110"/>
      <c r="AW201" s="1110"/>
      <c r="AX201" s="1111"/>
    </row>
    <row r="202" spans="1:50" ht="95.25" customHeight="1" x14ac:dyDescent="0.2">
      <c r="A202" s="1174" t="s">
        <v>2611</v>
      </c>
      <c r="B202" s="1206" t="s">
        <v>2889</v>
      </c>
      <c r="C202" s="1259" t="s">
        <v>2890</v>
      </c>
      <c r="D202" s="1110"/>
      <c r="E202" s="1110"/>
      <c r="F202" s="1110"/>
      <c r="G202" s="1110"/>
      <c r="H202" s="1110"/>
      <c r="I202" s="1379"/>
      <c r="J202" s="1379"/>
      <c r="K202" s="1379"/>
      <c r="L202" s="1379"/>
      <c r="M202" s="1379"/>
      <c r="N202" s="1380"/>
      <c r="O202" s="1380"/>
      <c r="P202" s="1379"/>
      <c r="Q202" s="1110"/>
      <c r="R202" s="1110"/>
      <c r="S202" s="1110"/>
      <c r="T202" s="1110"/>
      <c r="U202" s="1110"/>
      <c r="V202" s="1110"/>
      <c r="W202" s="1110"/>
      <c r="X202" s="1110"/>
      <c r="Y202" s="1110"/>
      <c r="Z202" s="1110"/>
      <c r="AA202" s="1110"/>
      <c r="AB202" s="1110"/>
      <c r="AC202" s="1110"/>
      <c r="AD202" s="1110"/>
      <c r="AE202" s="1110"/>
      <c r="AF202" s="1110"/>
      <c r="AG202" s="1110"/>
      <c r="AH202" s="1110"/>
      <c r="AI202" s="1110"/>
      <c r="AJ202" s="1110">
        <v>-200000</v>
      </c>
      <c r="AK202" s="1110"/>
      <c r="AL202" s="1110"/>
      <c r="AM202" s="1110"/>
      <c r="AN202" s="1110"/>
      <c r="AO202" s="1110"/>
      <c r="AP202" s="1110"/>
      <c r="AQ202" s="1110"/>
      <c r="AR202" s="1110"/>
      <c r="AS202" s="1110"/>
      <c r="AT202" s="1110"/>
      <c r="AU202" s="1110"/>
      <c r="AV202" s="1110"/>
      <c r="AW202" s="1110"/>
      <c r="AX202" s="1111"/>
    </row>
    <row r="203" spans="1:50" ht="62.25" customHeight="1" x14ac:dyDescent="0.2">
      <c r="A203" s="1174" t="s">
        <v>2613</v>
      </c>
      <c r="B203" s="1206" t="s">
        <v>2892</v>
      </c>
      <c r="C203" s="1259" t="s">
        <v>2893</v>
      </c>
      <c r="D203" s="1110"/>
      <c r="E203" s="1110"/>
      <c r="F203" s="1110"/>
      <c r="G203" s="1110"/>
      <c r="H203" s="1110"/>
      <c r="I203" s="1379"/>
      <c r="J203" s="1379"/>
      <c r="K203" s="1379"/>
      <c r="L203" s="1379"/>
      <c r="M203" s="1379"/>
      <c r="N203" s="1380"/>
      <c r="O203" s="1380"/>
      <c r="P203" s="1379"/>
      <c r="Q203" s="1110"/>
      <c r="R203" s="1110"/>
      <c r="S203" s="1110"/>
      <c r="T203" s="1110"/>
      <c r="U203" s="1110"/>
      <c r="V203" s="1110"/>
      <c r="W203" s="1110"/>
      <c r="X203" s="1110"/>
      <c r="Y203" s="1110"/>
      <c r="Z203" s="1110"/>
      <c r="AA203" s="1110"/>
      <c r="AB203" s="1110"/>
      <c r="AC203" s="1110"/>
      <c r="AD203" s="1110"/>
      <c r="AE203" s="1110"/>
      <c r="AF203" s="1110"/>
      <c r="AG203" s="1110"/>
      <c r="AH203" s="1110"/>
      <c r="AI203" s="1110">
        <v>-110000</v>
      </c>
      <c r="AJ203" s="1110"/>
      <c r="AK203" s="1110"/>
      <c r="AL203" s="1110"/>
      <c r="AM203" s="1110"/>
      <c r="AN203" s="1110"/>
      <c r="AO203" s="1110"/>
      <c r="AP203" s="1110"/>
      <c r="AQ203" s="1110"/>
      <c r="AR203" s="1110"/>
      <c r="AS203" s="1110"/>
      <c r="AT203" s="1110"/>
      <c r="AU203" s="1110"/>
      <c r="AV203" s="1110"/>
      <c r="AW203" s="1110"/>
      <c r="AX203" s="1111"/>
    </row>
    <row r="204" spans="1:50" ht="92.25" customHeight="1" x14ac:dyDescent="0.2">
      <c r="A204" s="1174" t="s">
        <v>2590</v>
      </c>
      <c r="B204" s="1206" t="s">
        <v>2898</v>
      </c>
      <c r="C204" s="1259" t="s">
        <v>2899</v>
      </c>
      <c r="D204" s="1110"/>
      <c r="E204" s="1110"/>
      <c r="F204" s="1110"/>
      <c r="G204" s="1110"/>
      <c r="H204" s="1110"/>
      <c r="I204" s="1379"/>
      <c r="J204" s="1379"/>
      <c r="K204" s="1379"/>
      <c r="L204" s="1379"/>
      <c r="M204" s="1379"/>
      <c r="N204" s="1380"/>
      <c r="O204" s="1380"/>
      <c r="P204" s="1379"/>
      <c r="Q204" s="1110"/>
      <c r="R204" s="1110"/>
      <c r="S204" s="1110"/>
      <c r="T204" s="1110"/>
      <c r="U204" s="1110"/>
      <c r="V204" s="1110"/>
      <c r="W204" s="1110"/>
      <c r="X204" s="1110"/>
      <c r="Y204" s="1110"/>
      <c r="Z204" s="1110"/>
      <c r="AA204" s="1110"/>
      <c r="AB204" s="1110"/>
      <c r="AC204" s="1110"/>
      <c r="AD204" s="1110"/>
      <c r="AE204" s="1110"/>
      <c r="AF204" s="1110"/>
      <c r="AG204" s="1110"/>
      <c r="AH204" s="1110"/>
      <c r="AI204" s="1110"/>
      <c r="AJ204" s="1110">
        <v>-200000</v>
      </c>
      <c r="AK204" s="1110"/>
      <c r="AL204" s="1110"/>
      <c r="AM204" s="1110"/>
      <c r="AN204" s="1110"/>
      <c r="AO204" s="1110"/>
      <c r="AP204" s="1110"/>
      <c r="AQ204" s="1110"/>
      <c r="AR204" s="1110"/>
      <c r="AS204" s="1110"/>
      <c r="AT204" s="1110"/>
      <c r="AU204" s="1110"/>
      <c r="AV204" s="1110"/>
      <c r="AW204" s="1110"/>
      <c r="AX204" s="1111"/>
    </row>
    <row r="205" spans="1:50" ht="63.75" customHeight="1" x14ac:dyDescent="0.2">
      <c r="A205" s="1174" t="s">
        <v>2618</v>
      </c>
      <c r="B205" s="1206" t="s">
        <v>2902</v>
      </c>
      <c r="C205" s="1259" t="s">
        <v>2903</v>
      </c>
      <c r="D205" s="1110"/>
      <c r="E205" s="1110"/>
      <c r="F205" s="1110"/>
      <c r="G205" s="1110">
        <v>-203200</v>
      </c>
      <c r="H205" s="1110"/>
      <c r="I205" s="1379"/>
      <c r="J205" s="1379"/>
      <c r="K205" s="1379"/>
      <c r="L205" s="1379"/>
      <c r="M205" s="1379"/>
      <c r="N205" s="1380"/>
      <c r="O205" s="1380"/>
      <c r="P205" s="1379"/>
      <c r="Q205" s="1110"/>
      <c r="R205" s="1110"/>
      <c r="S205" s="1110"/>
      <c r="T205" s="1110"/>
      <c r="U205" s="1110"/>
      <c r="V205" s="1110"/>
      <c r="W205" s="1110"/>
      <c r="X205" s="1110"/>
      <c r="Y205" s="1110"/>
      <c r="Z205" s="1110"/>
      <c r="AA205" s="1110"/>
      <c r="AB205" s="1110"/>
      <c r="AC205" s="1110"/>
      <c r="AD205" s="1110"/>
      <c r="AE205" s="1110"/>
      <c r="AF205" s="1110"/>
      <c r="AG205" s="1110"/>
      <c r="AH205" s="1110"/>
      <c r="AI205" s="1110"/>
      <c r="AJ205" s="1110"/>
      <c r="AK205" s="1110"/>
      <c r="AL205" s="1110"/>
      <c r="AM205" s="1110"/>
      <c r="AN205" s="1110"/>
      <c r="AO205" s="1110"/>
      <c r="AP205" s="1110"/>
      <c r="AQ205" s="1110"/>
      <c r="AR205" s="1110"/>
      <c r="AS205" s="1110"/>
      <c r="AT205" s="1110"/>
      <c r="AU205" s="1110"/>
      <c r="AV205" s="1110"/>
      <c r="AW205" s="1110"/>
      <c r="AX205" s="1111"/>
    </row>
    <row r="206" spans="1:50" ht="49.5" customHeight="1" x14ac:dyDescent="0.2">
      <c r="A206" s="1174" t="s">
        <v>2620</v>
      </c>
      <c r="B206" s="1206" t="s">
        <v>2904</v>
      </c>
      <c r="C206" s="1259" t="s">
        <v>2905</v>
      </c>
      <c r="D206" s="1110">
        <v>-491236</v>
      </c>
      <c r="E206" s="1110"/>
      <c r="F206" s="1110"/>
      <c r="G206" s="1110"/>
      <c r="H206" s="1110"/>
      <c r="I206" s="1379"/>
      <c r="J206" s="1379"/>
      <c r="K206" s="1379"/>
      <c r="L206" s="1379"/>
      <c r="M206" s="1379"/>
      <c r="N206" s="1380"/>
      <c r="O206" s="1380"/>
      <c r="P206" s="1379"/>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1"/>
    </row>
    <row r="207" spans="1:50" ht="66.75" customHeight="1" x14ac:dyDescent="0.2">
      <c r="A207" s="1174" t="s">
        <v>2622</v>
      </c>
      <c r="B207" s="1206" t="s">
        <v>2906</v>
      </c>
      <c r="C207" s="1259" t="s">
        <v>3017</v>
      </c>
      <c r="D207" s="1110"/>
      <c r="E207" s="1110"/>
      <c r="F207" s="1110"/>
      <c r="G207" s="1110">
        <v>-127000</v>
      </c>
      <c r="H207" s="1110"/>
      <c r="I207" s="1379"/>
      <c r="J207" s="1379"/>
      <c r="K207" s="1379"/>
      <c r="L207" s="1379"/>
      <c r="M207" s="1379"/>
      <c r="N207" s="1380"/>
      <c r="O207" s="1380"/>
      <c r="P207" s="1379"/>
      <c r="Q207" s="1110"/>
      <c r="R207" s="1110"/>
      <c r="S207" s="1110"/>
      <c r="T207" s="1110"/>
      <c r="U207" s="1110"/>
      <c r="V207" s="1110"/>
      <c r="W207" s="1110"/>
      <c r="X207" s="1110"/>
      <c r="Y207" s="1110"/>
      <c r="Z207" s="1110"/>
      <c r="AA207" s="1110"/>
      <c r="AB207" s="1110"/>
      <c r="AC207" s="1110"/>
      <c r="AD207" s="1110"/>
      <c r="AE207" s="1110"/>
      <c r="AF207" s="1110"/>
      <c r="AG207" s="1110"/>
      <c r="AH207" s="1110"/>
      <c r="AI207" s="1110"/>
      <c r="AJ207" s="1110"/>
      <c r="AK207" s="1110"/>
      <c r="AL207" s="1110"/>
      <c r="AM207" s="1110"/>
      <c r="AN207" s="1110"/>
      <c r="AO207" s="1110"/>
      <c r="AP207" s="1110"/>
      <c r="AQ207" s="1110"/>
      <c r="AR207" s="1110"/>
      <c r="AS207" s="1110"/>
      <c r="AT207" s="1110"/>
      <c r="AU207" s="1110"/>
      <c r="AV207" s="1110"/>
      <c r="AW207" s="1110"/>
      <c r="AX207" s="1111"/>
    </row>
    <row r="208" spans="1:50" ht="49.5" customHeight="1" x14ac:dyDescent="0.2">
      <c r="A208" s="1174" t="s">
        <v>2907</v>
      </c>
      <c r="B208" s="1206" t="s">
        <v>2908</v>
      </c>
      <c r="C208" s="1259" t="s">
        <v>2909</v>
      </c>
      <c r="D208" s="1110"/>
      <c r="E208" s="1110"/>
      <c r="F208" s="1110"/>
      <c r="G208" s="1110"/>
      <c r="H208" s="1110"/>
      <c r="I208" s="1379"/>
      <c r="J208" s="1379"/>
      <c r="K208" s="1379"/>
      <c r="L208" s="1379"/>
      <c r="M208" s="1379"/>
      <c r="N208" s="1380"/>
      <c r="O208" s="1380"/>
      <c r="P208" s="1379"/>
      <c r="Q208" s="1110">
        <v>-240000</v>
      </c>
      <c r="R208" s="1110"/>
      <c r="S208" s="1110"/>
      <c r="T208" s="1110"/>
      <c r="U208" s="1110"/>
      <c r="V208" s="1110"/>
      <c r="W208" s="1110"/>
      <c r="X208" s="1110"/>
      <c r="Y208" s="1110"/>
      <c r="Z208" s="1110"/>
      <c r="AA208" s="1110"/>
      <c r="AB208" s="1110"/>
      <c r="AC208" s="1110"/>
      <c r="AD208" s="1110"/>
      <c r="AE208" s="1110"/>
      <c r="AF208" s="1110"/>
      <c r="AG208" s="1110"/>
      <c r="AH208" s="1110"/>
      <c r="AI208" s="1110"/>
      <c r="AJ208" s="1110"/>
      <c r="AK208" s="1110"/>
      <c r="AL208" s="1110"/>
      <c r="AM208" s="1110"/>
      <c r="AN208" s="1110"/>
      <c r="AO208" s="1110"/>
      <c r="AP208" s="1110"/>
      <c r="AQ208" s="1110"/>
      <c r="AR208" s="1110"/>
      <c r="AS208" s="1110"/>
      <c r="AT208" s="1110"/>
      <c r="AU208" s="1110"/>
      <c r="AV208" s="1110"/>
      <c r="AW208" s="1110"/>
      <c r="AX208" s="1111"/>
    </row>
    <row r="209" spans="1:50" ht="52.5" customHeight="1" x14ac:dyDescent="0.2">
      <c r="A209" s="1174" t="s">
        <v>2634</v>
      </c>
      <c r="B209" s="1206" t="s">
        <v>2924</v>
      </c>
      <c r="C209" s="1259" t="s">
        <v>2925</v>
      </c>
      <c r="D209" s="1110"/>
      <c r="E209" s="1110"/>
      <c r="F209" s="1110"/>
      <c r="G209" s="1110"/>
      <c r="H209" s="1110"/>
      <c r="I209" s="1379"/>
      <c r="J209" s="1379"/>
      <c r="K209" s="1379"/>
      <c r="L209" s="1379"/>
      <c r="M209" s="1379"/>
      <c r="N209" s="1380"/>
      <c r="O209" s="1380"/>
      <c r="P209" s="1379"/>
      <c r="Q209" s="1110">
        <v>-1408500</v>
      </c>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1"/>
    </row>
    <row r="210" spans="1:50" ht="51" customHeight="1" x14ac:dyDescent="0.2">
      <c r="A210" s="1174" t="s">
        <v>2636</v>
      </c>
      <c r="B210" s="1206" t="s">
        <v>2926</v>
      </c>
      <c r="C210" s="1259" t="s">
        <v>2927</v>
      </c>
      <c r="D210" s="1110"/>
      <c r="E210" s="1110"/>
      <c r="F210" s="1110"/>
      <c r="G210" s="1110"/>
      <c r="H210" s="1110"/>
      <c r="I210" s="1379"/>
      <c r="J210" s="1379"/>
      <c r="K210" s="1379"/>
      <c r="L210" s="1379"/>
      <c r="M210" s="1379"/>
      <c r="N210" s="1380"/>
      <c r="O210" s="1380"/>
      <c r="P210" s="1379"/>
      <c r="Q210" s="1110">
        <v>-1085850</v>
      </c>
      <c r="R210" s="1110"/>
      <c r="S210" s="1110"/>
      <c r="T210" s="1110"/>
      <c r="U210" s="1110"/>
      <c r="V210" s="1110"/>
      <c r="W210" s="1110"/>
      <c r="X210" s="1110"/>
      <c r="Y210" s="1110"/>
      <c r="Z210" s="1110"/>
      <c r="AA210" s="1110"/>
      <c r="AB210" s="1110"/>
      <c r="AC210" s="1110"/>
      <c r="AD210" s="1110"/>
      <c r="AE210" s="1110"/>
      <c r="AF210" s="1110"/>
      <c r="AG210" s="1110"/>
      <c r="AH210" s="1110"/>
      <c r="AI210" s="1110"/>
      <c r="AJ210" s="1110"/>
      <c r="AK210" s="1110"/>
      <c r="AL210" s="1110"/>
      <c r="AM210" s="1110"/>
      <c r="AN210" s="1110"/>
      <c r="AO210" s="1110"/>
      <c r="AP210" s="1110"/>
      <c r="AQ210" s="1110"/>
      <c r="AR210" s="1110"/>
      <c r="AS210" s="1110"/>
      <c r="AT210" s="1110"/>
      <c r="AU210" s="1110"/>
      <c r="AV210" s="1110"/>
      <c r="AW210" s="1110"/>
      <c r="AX210" s="1111"/>
    </row>
    <row r="211" spans="1:50" ht="49.5" customHeight="1" x14ac:dyDescent="0.2">
      <c r="A211" s="1174" t="s">
        <v>2638</v>
      </c>
      <c r="B211" s="1206" t="s">
        <v>2928</v>
      </c>
      <c r="C211" s="1259" t="s">
        <v>2929</v>
      </c>
      <c r="D211" s="1110"/>
      <c r="E211" s="1110"/>
      <c r="F211" s="1110"/>
      <c r="G211" s="1110"/>
      <c r="H211" s="1110"/>
      <c r="I211" s="1379"/>
      <c r="J211" s="1379"/>
      <c r="K211" s="1379"/>
      <c r="L211" s="1379"/>
      <c r="M211" s="1379"/>
      <c r="N211" s="1380"/>
      <c r="O211" s="1380"/>
      <c r="P211" s="1379"/>
      <c r="Q211" s="1110">
        <v>-634111</v>
      </c>
      <c r="R211" s="1110"/>
      <c r="S211" s="1110"/>
      <c r="T211" s="1110"/>
      <c r="U211" s="1110"/>
      <c r="V211" s="1110"/>
      <c r="W211" s="1110"/>
      <c r="X211" s="1110"/>
      <c r="Y211" s="1110"/>
      <c r="Z211" s="1110"/>
      <c r="AA211" s="1110"/>
      <c r="AB211" s="1110"/>
      <c r="AC211" s="1110"/>
      <c r="AD211" s="1110"/>
      <c r="AE211" s="1110"/>
      <c r="AF211" s="1110"/>
      <c r="AG211" s="1110"/>
      <c r="AH211" s="1110"/>
      <c r="AI211" s="1110"/>
      <c r="AJ211" s="1110"/>
      <c r="AK211" s="1110"/>
      <c r="AL211" s="1110"/>
      <c r="AM211" s="1110"/>
      <c r="AN211" s="1110"/>
      <c r="AO211" s="1110"/>
      <c r="AP211" s="1110"/>
      <c r="AQ211" s="1110"/>
      <c r="AR211" s="1110"/>
      <c r="AS211" s="1110"/>
      <c r="AT211" s="1110"/>
      <c r="AU211" s="1110"/>
      <c r="AV211" s="1110"/>
      <c r="AW211" s="1110"/>
      <c r="AX211" s="1111"/>
    </row>
    <row r="212" spans="1:50" ht="49.5" customHeight="1" x14ac:dyDescent="0.2">
      <c r="A212" s="1174" t="s">
        <v>2643</v>
      </c>
      <c r="B212" s="1206" t="s">
        <v>2931</v>
      </c>
      <c r="C212" s="1259" t="s">
        <v>2932</v>
      </c>
      <c r="D212" s="1110"/>
      <c r="E212" s="1110"/>
      <c r="F212" s="1110"/>
      <c r="G212" s="1110"/>
      <c r="H212" s="1110"/>
      <c r="I212" s="1379"/>
      <c r="J212" s="1379"/>
      <c r="K212" s="1379"/>
      <c r="L212" s="1379"/>
      <c r="M212" s="1379"/>
      <c r="N212" s="1380"/>
      <c r="O212" s="1380"/>
      <c r="P212" s="1379"/>
      <c r="Q212" s="1110">
        <v>-1841170</v>
      </c>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1"/>
    </row>
    <row r="213" spans="1:50" ht="36" customHeight="1" x14ac:dyDescent="0.2">
      <c r="A213" s="1174" t="s">
        <v>2647</v>
      </c>
      <c r="B213" s="1206" t="s">
        <v>2935</v>
      </c>
      <c r="C213" s="1259" t="s">
        <v>2700</v>
      </c>
      <c r="D213" s="1110"/>
      <c r="E213" s="1110"/>
      <c r="F213" s="1110"/>
      <c r="G213" s="1110"/>
      <c r="H213" s="1110"/>
      <c r="I213" s="1379"/>
      <c r="J213" s="1379"/>
      <c r="K213" s="1379"/>
      <c r="L213" s="1379"/>
      <c r="M213" s="1379">
        <v>100000</v>
      </c>
      <c r="N213" s="1380"/>
      <c r="O213" s="1380"/>
      <c r="P213" s="1379"/>
      <c r="Q213" s="1110"/>
      <c r="R213" s="1110"/>
      <c r="S213" s="1110"/>
      <c r="T213" s="1110"/>
      <c r="U213" s="1110"/>
      <c r="V213" s="1110"/>
      <c r="W213" s="1110"/>
      <c r="X213" s="1110"/>
      <c r="Y213" s="1110"/>
      <c r="Z213" s="1110"/>
      <c r="AA213" s="1110"/>
      <c r="AB213" s="1110"/>
      <c r="AC213" s="1110"/>
      <c r="AD213" s="1110"/>
      <c r="AE213" s="1110"/>
      <c r="AF213" s="1110"/>
      <c r="AG213" s="1110"/>
      <c r="AH213" s="1110"/>
      <c r="AI213" s="1110"/>
      <c r="AJ213" s="1110"/>
      <c r="AK213" s="1110"/>
      <c r="AL213" s="1110"/>
      <c r="AM213" s="1110"/>
      <c r="AN213" s="1110"/>
      <c r="AO213" s="1110"/>
      <c r="AP213" s="1110"/>
      <c r="AQ213" s="1110"/>
      <c r="AR213" s="1110"/>
      <c r="AS213" s="1110"/>
      <c r="AT213" s="1110"/>
      <c r="AU213" s="1110"/>
      <c r="AV213" s="1110"/>
      <c r="AW213" s="1110"/>
      <c r="AX213" s="1111"/>
    </row>
    <row r="214" spans="1:50" ht="49.5" customHeight="1" x14ac:dyDescent="0.2">
      <c r="A214" s="1174" t="s">
        <v>2671</v>
      </c>
      <c r="B214" s="1206" t="s">
        <v>2959</v>
      </c>
      <c r="C214" s="1259" t="s">
        <v>2960</v>
      </c>
      <c r="D214" s="1110"/>
      <c r="E214" s="1110"/>
      <c r="F214" s="1110"/>
      <c r="G214" s="1110"/>
      <c r="H214" s="1110"/>
      <c r="I214" s="1379"/>
      <c r="J214" s="1379"/>
      <c r="K214" s="1379"/>
      <c r="L214" s="1379"/>
      <c r="M214" s="1379"/>
      <c r="N214" s="1380"/>
      <c r="O214" s="1380"/>
      <c r="P214" s="1379"/>
      <c r="Q214" s="1110"/>
      <c r="R214" s="1110"/>
      <c r="S214" s="1110"/>
      <c r="T214" s="1110"/>
      <c r="U214" s="1110"/>
      <c r="V214" s="1110"/>
      <c r="W214" s="1110"/>
      <c r="X214" s="1110"/>
      <c r="Y214" s="1110"/>
      <c r="Z214" s="1110"/>
      <c r="AA214" s="1110"/>
      <c r="AB214" s="1110"/>
      <c r="AC214" s="1110"/>
      <c r="AD214" s="1110"/>
      <c r="AE214" s="1110"/>
      <c r="AF214" s="1110"/>
      <c r="AG214" s="1110"/>
      <c r="AH214" s="1110"/>
      <c r="AI214" s="1110"/>
      <c r="AJ214" s="1110"/>
      <c r="AK214" s="1110"/>
      <c r="AL214" s="1110">
        <v>-5000000</v>
      </c>
      <c r="AM214" s="1110"/>
      <c r="AN214" s="1110"/>
      <c r="AO214" s="1110"/>
      <c r="AP214" s="1110"/>
      <c r="AQ214" s="1110"/>
      <c r="AR214" s="1110"/>
      <c r="AS214" s="1110"/>
      <c r="AT214" s="1110"/>
      <c r="AU214" s="1110"/>
      <c r="AV214" s="1110"/>
      <c r="AW214" s="1110"/>
      <c r="AX214" s="1111"/>
    </row>
    <row r="215" spans="1:50" ht="62.25" customHeight="1" x14ac:dyDescent="0.2">
      <c r="A215" s="1174" t="s">
        <v>2983</v>
      </c>
      <c r="B215" s="1206" t="s">
        <v>2984</v>
      </c>
      <c r="C215" s="1259" t="s">
        <v>2985</v>
      </c>
      <c r="D215" s="1110"/>
      <c r="E215" s="1110"/>
      <c r="F215" s="1110"/>
      <c r="G215" s="1110"/>
      <c r="H215" s="1110"/>
      <c r="I215" s="1379"/>
      <c r="J215" s="1379"/>
      <c r="K215" s="1379"/>
      <c r="L215" s="1379"/>
      <c r="M215" s="1379"/>
      <c r="N215" s="1380"/>
      <c r="O215" s="1380"/>
      <c r="P215" s="1379"/>
      <c r="Q215" s="1110"/>
      <c r="R215" s="1110"/>
      <c r="S215" s="1110"/>
      <c r="T215" s="1110"/>
      <c r="U215" s="1110"/>
      <c r="V215" s="1110"/>
      <c r="W215" s="1110"/>
      <c r="X215" s="1110"/>
      <c r="Y215" s="1110">
        <v>2523290</v>
      </c>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1"/>
    </row>
    <row r="216" spans="1:50" ht="36.75" customHeight="1" x14ac:dyDescent="0.2">
      <c r="A216" s="1174" t="s">
        <v>2695</v>
      </c>
      <c r="B216" s="1206" t="s">
        <v>2989</v>
      </c>
      <c r="C216" s="1259" t="s">
        <v>2990</v>
      </c>
      <c r="D216" s="1110"/>
      <c r="E216" s="1110"/>
      <c r="F216" s="1110"/>
      <c r="G216" s="1110"/>
      <c r="H216" s="1110"/>
      <c r="I216" s="1379"/>
      <c r="J216" s="1379"/>
      <c r="K216" s="1379"/>
      <c r="L216" s="1379"/>
      <c r="M216" s="1379"/>
      <c r="N216" s="1380"/>
      <c r="O216" s="1380"/>
      <c r="P216" s="1379"/>
      <c r="Q216" s="1110"/>
      <c r="R216" s="1110"/>
      <c r="S216" s="1110"/>
      <c r="T216" s="1110"/>
      <c r="U216" s="1110"/>
      <c r="V216" s="1110"/>
      <c r="W216" s="1110"/>
      <c r="X216" s="1110"/>
      <c r="Y216" s="1110"/>
      <c r="Z216" s="1110"/>
      <c r="AA216" s="1110"/>
      <c r="AB216" s="1110"/>
      <c r="AC216" s="1110"/>
      <c r="AD216" s="1110"/>
      <c r="AE216" s="1110"/>
      <c r="AF216" s="1110"/>
      <c r="AG216" s="1110"/>
      <c r="AH216" s="1110"/>
      <c r="AI216" s="1110"/>
      <c r="AJ216" s="1110"/>
      <c r="AK216" s="1110"/>
      <c r="AL216" s="1110"/>
      <c r="AM216" s="1110"/>
      <c r="AN216" s="1110"/>
      <c r="AO216" s="1110"/>
      <c r="AP216" s="1110"/>
      <c r="AQ216" s="1110"/>
      <c r="AR216" s="1110"/>
      <c r="AS216" s="1110"/>
      <c r="AT216" s="1110">
        <v>-1270000</v>
      </c>
      <c r="AU216" s="1110"/>
      <c r="AV216" s="1110"/>
      <c r="AW216" s="1110"/>
      <c r="AX216" s="1111"/>
    </row>
    <row r="217" spans="1:50" ht="61.5" customHeight="1" x14ac:dyDescent="0.2">
      <c r="A217" s="1174" t="s">
        <v>2697</v>
      </c>
      <c r="B217" s="1206" t="s">
        <v>2991</v>
      </c>
      <c r="C217" s="1259" t="s">
        <v>2992</v>
      </c>
      <c r="D217" s="1110"/>
      <c r="E217" s="1110"/>
      <c r="F217" s="1110"/>
      <c r="G217" s="1110"/>
      <c r="H217" s="1110"/>
      <c r="I217" s="1379"/>
      <c r="J217" s="1379"/>
      <c r="K217" s="1379"/>
      <c r="L217" s="1379"/>
      <c r="M217" s="1379"/>
      <c r="N217" s="1380"/>
      <c r="O217" s="1380"/>
      <c r="P217" s="1379"/>
      <c r="Q217" s="1110">
        <v>-209550</v>
      </c>
      <c r="R217" s="1110"/>
      <c r="S217" s="1110"/>
      <c r="T217" s="1110"/>
      <c r="U217" s="1110"/>
      <c r="V217" s="1110"/>
      <c r="W217" s="1110"/>
      <c r="X217" s="1110"/>
      <c r="Y217" s="1110"/>
      <c r="Z217" s="1110"/>
      <c r="AA217" s="1110"/>
      <c r="AB217" s="1110"/>
      <c r="AC217" s="1110"/>
      <c r="AD217" s="1110"/>
      <c r="AE217" s="1110"/>
      <c r="AF217" s="1110"/>
      <c r="AG217" s="1110"/>
      <c r="AH217" s="1110"/>
      <c r="AI217" s="1110"/>
      <c r="AJ217" s="1110"/>
      <c r="AK217" s="1110"/>
      <c r="AL217" s="1110"/>
      <c r="AM217" s="1110"/>
      <c r="AN217" s="1110"/>
      <c r="AO217" s="1110"/>
      <c r="AP217" s="1110"/>
      <c r="AQ217" s="1110"/>
      <c r="AR217" s="1110"/>
      <c r="AS217" s="1110"/>
      <c r="AT217" s="1110"/>
      <c r="AU217" s="1110"/>
      <c r="AV217" s="1110"/>
      <c r="AW217" s="1110"/>
      <c r="AX217" s="1111"/>
    </row>
    <row r="218" spans="1:50" ht="63" customHeight="1" x14ac:dyDescent="0.2">
      <c r="A218" s="1174" t="s">
        <v>2699</v>
      </c>
      <c r="B218" s="1206" t="s">
        <v>2993</v>
      </c>
      <c r="C218" s="1259" t="s">
        <v>2994</v>
      </c>
      <c r="D218" s="1110"/>
      <c r="E218" s="1110"/>
      <c r="F218" s="1110"/>
      <c r="G218" s="1110"/>
      <c r="H218" s="1110"/>
      <c r="I218" s="1379"/>
      <c r="J218" s="1379"/>
      <c r="K218" s="1379"/>
      <c r="L218" s="1379"/>
      <c r="M218" s="1379"/>
      <c r="N218" s="1380"/>
      <c r="O218" s="1380"/>
      <c r="P218" s="1379"/>
      <c r="Q218" s="1110">
        <v>-543179</v>
      </c>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1"/>
    </row>
    <row r="219" spans="1:50" ht="49.5" customHeight="1" x14ac:dyDescent="0.2">
      <c r="A219" s="1174" t="s">
        <v>2718</v>
      </c>
      <c r="B219" s="1206" t="s">
        <v>2995</v>
      </c>
      <c r="C219" s="1259" t="s">
        <v>2996</v>
      </c>
      <c r="D219" s="1110"/>
      <c r="E219" s="1110"/>
      <c r="F219" s="1110"/>
      <c r="G219" s="1110"/>
      <c r="H219" s="1110"/>
      <c r="I219" s="1379"/>
      <c r="J219" s="1379"/>
      <c r="K219" s="1379"/>
      <c r="L219" s="1379"/>
      <c r="M219" s="1379"/>
      <c r="N219" s="1380"/>
      <c r="O219" s="1380"/>
      <c r="P219" s="1379"/>
      <c r="Q219" s="1110"/>
      <c r="R219" s="1110"/>
      <c r="S219" s="1110"/>
      <c r="T219" s="1110"/>
      <c r="U219" s="1110"/>
      <c r="V219" s="1110"/>
      <c r="W219" s="1110"/>
      <c r="X219" s="1110"/>
      <c r="Y219" s="1110"/>
      <c r="Z219" s="1110"/>
      <c r="AA219" s="1110"/>
      <c r="AB219" s="1110"/>
      <c r="AC219" s="1110"/>
      <c r="AD219" s="1110"/>
      <c r="AE219" s="1110"/>
      <c r="AF219" s="1110"/>
      <c r="AG219" s="1110"/>
      <c r="AH219" s="1110"/>
      <c r="AI219" s="1110"/>
      <c r="AJ219" s="1110"/>
      <c r="AK219" s="1110"/>
      <c r="AL219" s="1110"/>
      <c r="AM219" s="1110"/>
      <c r="AN219" s="1110"/>
      <c r="AO219" s="1110"/>
      <c r="AP219" s="1110"/>
      <c r="AQ219" s="1110">
        <v>423176559</v>
      </c>
      <c r="AR219" s="1110">
        <v>191708854</v>
      </c>
      <c r="AS219" s="1110"/>
      <c r="AT219" s="1110"/>
      <c r="AU219" s="1110"/>
      <c r="AV219" s="1110"/>
      <c r="AW219" s="1110"/>
      <c r="AX219" s="1111"/>
    </row>
    <row r="220" spans="1:50" ht="36" customHeight="1" x14ac:dyDescent="0.2">
      <c r="A220" s="1174" t="s">
        <v>2728</v>
      </c>
      <c r="B220" s="1206" t="s">
        <v>3000</v>
      </c>
      <c r="C220" s="1259" t="s">
        <v>2815</v>
      </c>
      <c r="D220" s="1110"/>
      <c r="E220" s="1110"/>
      <c r="F220" s="1110"/>
      <c r="G220" s="1110"/>
      <c r="H220" s="1110"/>
      <c r="I220" s="1379"/>
      <c r="J220" s="1379"/>
      <c r="K220" s="1379"/>
      <c r="L220" s="1379"/>
      <c r="M220" s="1379"/>
      <c r="N220" s="1380"/>
      <c r="O220" s="1380"/>
      <c r="P220" s="1379"/>
      <c r="Q220" s="1110"/>
      <c r="R220" s="1110"/>
      <c r="S220" s="1110"/>
      <c r="T220" s="1110"/>
      <c r="U220" s="1110"/>
      <c r="V220" s="1110"/>
      <c r="W220" s="1110"/>
      <c r="X220" s="1110"/>
      <c r="Y220" s="1110"/>
      <c r="Z220" s="1110"/>
      <c r="AA220" s="1110"/>
      <c r="AB220" s="1110"/>
      <c r="AC220" s="1110"/>
      <c r="AD220" s="1110"/>
      <c r="AE220" s="1110"/>
      <c r="AF220" s="1110"/>
      <c r="AG220" s="1110"/>
      <c r="AH220" s="1110"/>
      <c r="AI220" s="1110"/>
      <c r="AJ220" s="1110"/>
      <c r="AK220" s="1110"/>
      <c r="AL220" s="1110"/>
      <c r="AM220" s="1110"/>
      <c r="AN220" s="1110"/>
      <c r="AO220" s="1110"/>
      <c r="AP220" s="1110"/>
      <c r="AQ220" s="1110"/>
      <c r="AR220" s="1110"/>
      <c r="AS220" s="1110"/>
      <c r="AT220" s="1110">
        <v>22275750</v>
      </c>
      <c r="AU220" s="1110"/>
      <c r="AV220" s="1110"/>
      <c r="AW220" s="1110"/>
      <c r="AX220" s="1111"/>
    </row>
    <row r="221" spans="1:50" ht="47.25" customHeight="1" x14ac:dyDescent="0.2">
      <c r="A221" s="1174" t="s">
        <v>2732</v>
      </c>
      <c r="B221" s="1206" t="s">
        <v>3002</v>
      </c>
      <c r="C221" s="1259" t="s">
        <v>3003</v>
      </c>
      <c r="D221" s="1110"/>
      <c r="E221" s="1110"/>
      <c r="F221" s="1110"/>
      <c r="G221" s="1110"/>
      <c r="H221" s="1110"/>
      <c r="I221" s="1379"/>
      <c r="J221" s="1379"/>
      <c r="K221" s="1379"/>
      <c r="L221" s="1379"/>
      <c r="M221" s="1379"/>
      <c r="N221" s="1380"/>
      <c r="O221" s="1380"/>
      <c r="P221" s="1379"/>
      <c r="Q221" s="1110">
        <v>-4375978</v>
      </c>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1"/>
    </row>
    <row r="222" spans="1:50" ht="48" customHeight="1" x14ac:dyDescent="0.2">
      <c r="A222" s="1174" t="s">
        <v>2736</v>
      </c>
      <c r="B222" s="1206" t="s">
        <v>3006</v>
      </c>
      <c r="C222" s="1259" t="s">
        <v>3007</v>
      </c>
      <c r="D222" s="1110"/>
      <c r="E222" s="1110"/>
      <c r="F222" s="1110"/>
      <c r="G222" s="1110"/>
      <c r="H222" s="1110"/>
      <c r="I222" s="1379"/>
      <c r="J222" s="1379"/>
      <c r="K222" s="1379"/>
      <c r="L222" s="1379"/>
      <c r="M222" s="1379"/>
      <c r="N222" s="1380"/>
      <c r="O222" s="1380"/>
      <c r="P222" s="1379"/>
      <c r="Q222" s="1110"/>
      <c r="R222" s="1110"/>
      <c r="S222" s="1110"/>
      <c r="T222" s="1110"/>
      <c r="U222" s="1110"/>
      <c r="V222" s="1110"/>
      <c r="W222" s="1110"/>
      <c r="X222" s="1110"/>
      <c r="Y222" s="1110"/>
      <c r="Z222" s="1110"/>
      <c r="AA222" s="1110"/>
      <c r="AB222" s="1110"/>
      <c r="AC222" s="1110"/>
      <c r="AD222" s="1110"/>
      <c r="AE222" s="1110"/>
      <c r="AF222" s="1110"/>
      <c r="AG222" s="1110"/>
      <c r="AH222" s="1110"/>
      <c r="AI222" s="1110"/>
      <c r="AJ222" s="1110"/>
      <c r="AK222" s="1110"/>
      <c r="AL222" s="1110"/>
      <c r="AM222" s="1110"/>
      <c r="AN222" s="1110"/>
      <c r="AO222" s="1110"/>
      <c r="AP222" s="1110"/>
      <c r="AQ222" s="1110">
        <v>58950</v>
      </c>
      <c r="AR222" s="1110"/>
      <c r="AS222" s="1110"/>
      <c r="AT222" s="1110"/>
      <c r="AU222" s="1110"/>
      <c r="AV222" s="1110"/>
      <c r="AW222" s="1110"/>
      <c r="AX222" s="1111"/>
    </row>
    <row r="223" spans="1:50" ht="51" customHeight="1" x14ac:dyDescent="0.2">
      <c r="A223" s="1174" t="s">
        <v>2749</v>
      </c>
      <c r="B223" s="1206" t="s">
        <v>3029</v>
      </c>
      <c r="C223" s="1259" t="s">
        <v>3030</v>
      </c>
      <c r="D223" s="1110"/>
      <c r="E223" s="1110"/>
      <c r="F223" s="1110"/>
      <c r="G223" s="1110"/>
      <c r="H223" s="1110"/>
      <c r="I223" s="1379"/>
      <c r="J223" s="1379"/>
      <c r="K223" s="1379"/>
      <c r="L223" s="1379"/>
      <c r="M223" s="1379"/>
      <c r="N223" s="1380"/>
      <c r="O223" s="1380"/>
      <c r="P223" s="1379"/>
      <c r="Q223" s="1110">
        <v>-293370</v>
      </c>
      <c r="R223" s="1110"/>
      <c r="S223" s="1110"/>
      <c r="T223" s="1110"/>
      <c r="U223" s="1110"/>
      <c r="V223" s="1110"/>
      <c r="W223" s="1110"/>
      <c r="X223" s="1110"/>
      <c r="Y223" s="1110"/>
      <c r="Z223" s="1110"/>
      <c r="AA223" s="1110"/>
      <c r="AB223" s="1110"/>
      <c r="AC223" s="1110"/>
      <c r="AD223" s="1110"/>
      <c r="AE223" s="1110"/>
      <c r="AF223" s="1110"/>
      <c r="AG223" s="1110"/>
      <c r="AH223" s="1110"/>
      <c r="AI223" s="1110"/>
      <c r="AJ223" s="1110"/>
      <c r="AK223" s="1110"/>
      <c r="AL223" s="1110"/>
      <c r="AM223" s="1110"/>
      <c r="AN223" s="1110"/>
      <c r="AO223" s="1110"/>
      <c r="AP223" s="1110"/>
      <c r="AQ223" s="1110"/>
      <c r="AR223" s="1110"/>
      <c r="AS223" s="1110"/>
      <c r="AT223" s="1110"/>
      <c r="AU223" s="1110"/>
      <c r="AV223" s="1110"/>
      <c r="AW223" s="1110"/>
      <c r="AX223" s="1111"/>
    </row>
    <row r="224" spans="1:50" ht="62.25" customHeight="1" x14ac:dyDescent="0.2">
      <c r="A224" s="1174" t="s">
        <v>2752</v>
      </c>
      <c r="B224" s="1206" t="s">
        <v>3031</v>
      </c>
      <c r="C224" s="1259" t="s">
        <v>3032</v>
      </c>
      <c r="D224" s="1110"/>
      <c r="E224" s="1110"/>
      <c r="F224" s="1110"/>
      <c r="G224" s="1110"/>
      <c r="H224" s="1110"/>
      <c r="I224" s="1379"/>
      <c r="J224" s="1379"/>
      <c r="K224" s="1379"/>
      <c r="L224" s="1379"/>
      <c r="M224" s="1379"/>
      <c r="N224" s="1380"/>
      <c r="O224" s="1380"/>
      <c r="P224" s="1379"/>
      <c r="Q224" s="1110"/>
      <c r="R224" s="1110"/>
      <c r="S224" s="1110"/>
      <c r="T224" s="1110"/>
      <c r="U224" s="1110"/>
      <c r="V224" s="1110"/>
      <c r="W224" s="1110"/>
      <c r="X224" s="1110"/>
      <c r="Y224" s="1110"/>
      <c r="Z224" s="1110"/>
      <c r="AA224" s="1110"/>
      <c r="AB224" s="1110">
        <v>-5980000</v>
      </c>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1"/>
    </row>
    <row r="225" spans="1:50" ht="60.75" customHeight="1" x14ac:dyDescent="0.2">
      <c r="A225" s="1174" t="s">
        <v>2754</v>
      </c>
      <c r="B225" s="1206" t="s">
        <v>3033</v>
      </c>
      <c r="C225" s="1259" t="s">
        <v>3034</v>
      </c>
      <c r="D225" s="1110"/>
      <c r="E225" s="1110"/>
      <c r="F225" s="1110"/>
      <c r="G225" s="1110"/>
      <c r="H225" s="1110"/>
      <c r="I225" s="1379"/>
      <c r="J225" s="1379"/>
      <c r="K225" s="1379"/>
      <c r="L225" s="1379"/>
      <c r="M225" s="1379"/>
      <c r="N225" s="1380"/>
      <c r="O225" s="1380"/>
      <c r="P225" s="1379"/>
      <c r="Q225" s="1110">
        <v>-1121359</v>
      </c>
      <c r="R225" s="1110"/>
      <c r="S225" s="1110"/>
      <c r="T225" s="1110"/>
      <c r="U225" s="1110"/>
      <c r="V225" s="1110"/>
      <c r="W225" s="1110"/>
      <c r="X225" s="1110"/>
      <c r="Y225" s="1110"/>
      <c r="Z225" s="1110"/>
      <c r="AA225" s="1110"/>
      <c r="AB225" s="1110"/>
      <c r="AC225" s="1110"/>
      <c r="AD225" s="1110"/>
      <c r="AE225" s="1110"/>
      <c r="AF225" s="1110"/>
      <c r="AG225" s="1110"/>
      <c r="AH225" s="1110"/>
      <c r="AI225" s="1110"/>
      <c r="AJ225" s="1110"/>
      <c r="AK225" s="1110"/>
      <c r="AL225" s="1110"/>
      <c r="AM225" s="1110"/>
      <c r="AN225" s="1110"/>
      <c r="AO225" s="1110"/>
      <c r="AP225" s="1110"/>
      <c r="AQ225" s="1110"/>
      <c r="AR225" s="1110"/>
      <c r="AS225" s="1110"/>
      <c r="AT225" s="1110"/>
      <c r="AU225" s="1110"/>
      <c r="AV225" s="1110"/>
      <c r="AW225" s="1110"/>
      <c r="AX225" s="1111"/>
    </row>
    <row r="226" spans="1:50" ht="49.5" customHeight="1" x14ac:dyDescent="0.2">
      <c r="A226" s="1174" t="s">
        <v>2756</v>
      </c>
      <c r="B226" s="1206" t="s">
        <v>3036</v>
      </c>
      <c r="C226" s="1259" t="s">
        <v>3037</v>
      </c>
      <c r="D226" s="1110"/>
      <c r="E226" s="1110"/>
      <c r="F226" s="1110"/>
      <c r="G226" s="1110"/>
      <c r="H226" s="1110"/>
      <c r="I226" s="1379"/>
      <c r="J226" s="1379"/>
      <c r="K226" s="1379"/>
      <c r="L226" s="1379"/>
      <c r="M226" s="1379"/>
      <c r="N226" s="1380"/>
      <c r="O226" s="1380"/>
      <c r="P226" s="1379"/>
      <c r="Q226" s="1110"/>
      <c r="R226" s="1110"/>
      <c r="S226" s="1110"/>
      <c r="T226" s="1110"/>
      <c r="U226" s="1110"/>
      <c r="V226" s="1110"/>
      <c r="W226" s="1110"/>
      <c r="X226" s="1110"/>
      <c r="Y226" s="1110"/>
      <c r="Z226" s="1110"/>
      <c r="AA226" s="1110"/>
      <c r="AB226" s="1110"/>
      <c r="AC226" s="1110"/>
      <c r="AD226" s="1110"/>
      <c r="AE226" s="1110"/>
      <c r="AF226" s="1110"/>
      <c r="AG226" s="1110"/>
      <c r="AH226" s="1110"/>
      <c r="AI226" s="1110"/>
      <c r="AJ226" s="1110"/>
      <c r="AK226" s="1110"/>
      <c r="AL226" s="1110"/>
      <c r="AM226" s="1110"/>
      <c r="AN226" s="1110"/>
      <c r="AO226" s="1110"/>
      <c r="AP226" s="1110"/>
      <c r="AQ226" s="1110"/>
      <c r="AR226" s="1110"/>
      <c r="AS226" s="1110"/>
      <c r="AT226" s="1110"/>
      <c r="AU226" s="1110"/>
      <c r="AV226" s="1110"/>
      <c r="AW226" s="1110"/>
      <c r="AX226" s="1111">
        <v>-150000</v>
      </c>
    </row>
    <row r="227" spans="1:50" ht="62.25" customHeight="1" x14ac:dyDescent="0.2">
      <c r="A227" s="1174" t="s">
        <v>2758</v>
      </c>
      <c r="B227" s="1206" t="s">
        <v>3040</v>
      </c>
      <c r="C227" s="1259" t="s">
        <v>3041</v>
      </c>
      <c r="D227" s="1110"/>
      <c r="E227" s="1110"/>
      <c r="F227" s="1110"/>
      <c r="G227" s="1110"/>
      <c r="H227" s="1110"/>
      <c r="I227" s="1379"/>
      <c r="J227" s="1379"/>
      <c r="K227" s="1379"/>
      <c r="L227" s="1379"/>
      <c r="M227" s="1379"/>
      <c r="N227" s="1380"/>
      <c r="O227" s="1380"/>
      <c r="P227" s="1379"/>
      <c r="Q227" s="1110">
        <v>-3946144</v>
      </c>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1"/>
    </row>
    <row r="228" spans="1:50" ht="62.25" customHeight="1" x14ac:dyDescent="0.2">
      <c r="A228" s="1174" t="s">
        <v>2761</v>
      </c>
      <c r="B228" s="1206" t="s">
        <v>3042</v>
      </c>
      <c r="C228" s="1259" t="s">
        <v>3043</v>
      </c>
      <c r="D228" s="1110"/>
      <c r="E228" s="1110"/>
      <c r="F228" s="1110"/>
      <c r="G228" s="1110"/>
      <c r="H228" s="1110"/>
      <c r="I228" s="1379"/>
      <c r="J228" s="1379"/>
      <c r="K228" s="1379"/>
      <c r="L228" s="1379"/>
      <c r="M228" s="1379"/>
      <c r="N228" s="1380"/>
      <c r="O228" s="1380"/>
      <c r="P228" s="1379"/>
      <c r="Q228" s="1110">
        <v>-196977</v>
      </c>
      <c r="R228" s="1110"/>
      <c r="S228" s="1110"/>
      <c r="T228" s="1110"/>
      <c r="U228" s="1110"/>
      <c r="V228" s="1110"/>
      <c r="W228" s="1110"/>
      <c r="X228" s="1110"/>
      <c r="Y228" s="1110"/>
      <c r="Z228" s="1110"/>
      <c r="AA228" s="1110"/>
      <c r="AB228" s="1110"/>
      <c r="AC228" s="1110"/>
      <c r="AD228" s="1110"/>
      <c r="AE228" s="1110"/>
      <c r="AF228" s="1110"/>
      <c r="AG228" s="1110"/>
      <c r="AH228" s="1110"/>
      <c r="AI228" s="1110"/>
      <c r="AJ228" s="1110"/>
      <c r="AK228" s="1110"/>
      <c r="AL228" s="1110"/>
      <c r="AM228" s="1110"/>
      <c r="AN228" s="1110"/>
      <c r="AO228" s="1110"/>
      <c r="AP228" s="1110"/>
      <c r="AQ228" s="1110"/>
      <c r="AR228" s="1110"/>
      <c r="AS228" s="1110"/>
      <c r="AT228" s="1110"/>
      <c r="AU228" s="1110"/>
      <c r="AV228" s="1110"/>
      <c r="AW228" s="1110"/>
      <c r="AX228" s="1111"/>
    </row>
    <row r="229" spans="1:50" ht="63" customHeight="1" x14ac:dyDescent="0.2">
      <c r="A229" s="1174" t="s">
        <v>2767</v>
      </c>
      <c r="B229" s="1206" t="s">
        <v>3044</v>
      </c>
      <c r="C229" s="1259" t="s">
        <v>3045</v>
      </c>
      <c r="D229" s="1110"/>
      <c r="E229" s="1110"/>
      <c r="F229" s="1110"/>
      <c r="G229" s="1110"/>
      <c r="H229" s="1110"/>
      <c r="I229" s="1379"/>
      <c r="J229" s="1379"/>
      <c r="K229" s="1379"/>
      <c r="L229" s="1379"/>
      <c r="M229" s="1379"/>
      <c r="N229" s="1380"/>
      <c r="O229" s="1380"/>
      <c r="P229" s="1379"/>
      <c r="Q229" s="1110">
        <v>-125730</v>
      </c>
      <c r="R229" s="1110"/>
      <c r="S229" s="1110"/>
      <c r="T229" s="1110"/>
      <c r="U229" s="1110"/>
      <c r="V229" s="1110"/>
      <c r="W229" s="1110"/>
      <c r="X229" s="1110"/>
      <c r="Y229" s="1110"/>
      <c r="Z229" s="1110"/>
      <c r="AA229" s="1110"/>
      <c r="AB229" s="1110"/>
      <c r="AC229" s="1110"/>
      <c r="AD229" s="1110"/>
      <c r="AE229" s="1110"/>
      <c r="AF229" s="1110"/>
      <c r="AG229" s="1110"/>
      <c r="AH229" s="1110"/>
      <c r="AI229" s="1110"/>
      <c r="AJ229" s="1110"/>
      <c r="AK229" s="1110"/>
      <c r="AL229" s="1110"/>
      <c r="AM229" s="1110"/>
      <c r="AN229" s="1110"/>
      <c r="AO229" s="1110"/>
      <c r="AP229" s="1110"/>
      <c r="AQ229" s="1110"/>
      <c r="AR229" s="1110"/>
      <c r="AS229" s="1110"/>
      <c r="AT229" s="1110"/>
      <c r="AU229" s="1110"/>
      <c r="AV229" s="1110"/>
      <c r="AW229" s="1110"/>
      <c r="AX229" s="1111"/>
    </row>
    <row r="230" spans="1:50" ht="41.25" customHeight="1" x14ac:dyDescent="0.2">
      <c r="A230" s="1174" t="s">
        <v>2774</v>
      </c>
      <c r="B230" s="1206" t="s">
        <v>3050</v>
      </c>
      <c r="C230" s="1259" t="s">
        <v>2700</v>
      </c>
      <c r="D230" s="1110"/>
      <c r="E230" s="1110"/>
      <c r="F230" s="1110"/>
      <c r="G230" s="1110"/>
      <c r="H230" s="1110"/>
      <c r="I230" s="1379"/>
      <c r="J230" s="1379"/>
      <c r="K230" s="1379"/>
      <c r="L230" s="1379"/>
      <c r="M230" s="1379">
        <v>100000</v>
      </c>
      <c r="N230" s="1380"/>
      <c r="O230" s="1380"/>
      <c r="P230" s="1379"/>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1"/>
    </row>
    <row r="231" spans="1:50" ht="94.5" customHeight="1" x14ac:dyDescent="0.2">
      <c r="A231" s="1174" t="s">
        <v>2785</v>
      </c>
      <c r="B231" s="1206" t="s">
        <v>3064</v>
      </c>
      <c r="C231" s="1259" t="s">
        <v>3065</v>
      </c>
      <c r="D231" s="1110"/>
      <c r="E231" s="1110"/>
      <c r="F231" s="1110"/>
      <c r="G231" s="1110"/>
      <c r="H231" s="1110"/>
      <c r="I231" s="1379"/>
      <c r="J231" s="1379"/>
      <c r="K231" s="1379"/>
      <c r="L231" s="1379"/>
      <c r="M231" s="1379"/>
      <c r="N231" s="1380"/>
      <c r="O231" s="1380"/>
      <c r="P231" s="1379"/>
      <c r="Q231" s="1110"/>
      <c r="R231" s="1110"/>
      <c r="S231" s="1110"/>
      <c r="T231" s="1110"/>
      <c r="U231" s="1110"/>
      <c r="V231" s="1110"/>
      <c r="W231" s="1110"/>
      <c r="X231" s="1110"/>
      <c r="Y231" s="1110"/>
      <c r="Z231" s="1110"/>
      <c r="AA231" s="1110"/>
      <c r="AB231" s="1110"/>
      <c r="AC231" s="1110"/>
      <c r="AD231" s="1110"/>
      <c r="AE231" s="1110"/>
      <c r="AF231" s="1110"/>
      <c r="AG231" s="1110"/>
      <c r="AH231" s="1110"/>
      <c r="AI231" s="1110"/>
      <c r="AJ231" s="1110">
        <v>-50000</v>
      </c>
      <c r="AK231" s="1110"/>
      <c r="AL231" s="1110"/>
      <c r="AM231" s="1110"/>
      <c r="AN231" s="1110"/>
      <c r="AO231" s="1110"/>
      <c r="AP231" s="1110"/>
      <c r="AQ231" s="1110"/>
      <c r="AR231" s="1110"/>
      <c r="AS231" s="1110"/>
      <c r="AT231" s="1110"/>
      <c r="AU231" s="1110"/>
      <c r="AV231" s="1110"/>
      <c r="AW231" s="1110"/>
      <c r="AX231" s="1111"/>
    </row>
    <row r="232" spans="1:50" ht="48" customHeight="1" x14ac:dyDescent="0.2">
      <c r="A232" s="1174" t="s">
        <v>2793</v>
      </c>
      <c r="B232" s="1206" t="s">
        <v>3066</v>
      </c>
      <c r="C232" s="1259" t="s">
        <v>3067</v>
      </c>
      <c r="D232" s="1110"/>
      <c r="E232" s="1110"/>
      <c r="F232" s="1110"/>
      <c r="G232" s="1110"/>
      <c r="H232" s="1110"/>
      <c r="I232" s="1379"/>
      <c r="J232" s="1379"/>
      <c r="K232" s="1379"/>
      <c r="L232" s="1379"/>
      <c r="M232" s="1379"/>
      <c r="N232" s="1380"/>
      <c r="O232" s="1380"/>
      <c r="P232" s="1379"/>
      <c r="Q232" s="1110">
        <v>-1002500</v>
      </c>
      <c r="R232" s="1110"/>
      <c r="S232" s="1110"/>
      <c r="T232" s="1110"/>
      <c r="U232" s="1110"/>
      <c r="V232" s="1110"/>
      <c r="W232" s="1110"/>
      <c r="X232" s="1110"/>
      <c r="Y232" s="1110"/>
      <c r="Z232" s="1110"/>
      <c r="AA232" s="1110"/>
      <c r="AB232" s="1110"/>
      <c r="AC232" s="1110"/>
      <c r="AD232" s="1110"/>
      <c r="AE232" s="1110"/>
      <c r="AF232" s="1110"/>
      <c r="AG232" s="1110"/>
      <c r="AH232" s="1110"/>
      <c r="AI232" s="1110"/>
      <c r="AJ232" s="1110"/>
      <c r="AK232" s="1110"/>
      <c r="AL232" s="1110"/>
      <c r="AM232" s="1110"/>
      <c r="AN232" s="1110"/>
      <c r="AO232" s="1110"/>
      <c r="AP232" s="1110"/>
      <c r="AQ232" s="1110"/>
      <c r="AR232" s="1110"/>
      <c r="AS232" s="1110"/>
      <c r="AT232" s="1110"/>
      <c r="AU232" s="1110"/>
      <c r="AV232" s="1110"/>
      <c r="AW232" s="1110"/>
      <c r="AX232" s="1111"/>
    </row>
    <row r="233" spans="1:50" ht="61.5" customHeight="1" x14ac:dyDescent="0.2">
      <c r="A233" s="1174" t="s">
        <v>2795</v>
      </c>
      <c r="B233" s="1206" t="s">
        <v>3069</v>
      </c>
      <c r="C233" s="1259" t="s">
        <v>3070</v>
      </c>
      <c r="D233" s="1110"/>
      <c r="E233" s="1110"/>
      <c r="F233" s="1110"/>
      <c r="G233" s="1110"/>
      <c r="H233" s="1110"/>
      <c r="I233" s="1379"/>
      <c r="J233" s="1379"/>
      <c r="K233" s="1379"/>
      <c r="L233" s="1379"/>
      <c r="M233" s="1379"/>
      <c r="N233" s="1380"/>
      <c r="O233" s="1380"/>
      <c r="P233" s="1379"/>
      <c r="Q233" s="1110">
        <v>-1990000</v>
      </c>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1"/>
    </row>
    <row r="234" spans="1:50" ht="60" customHeight="1" x14ac:dyDescent="0.2">
      <c r="A234" s="1174" t="s">
        <v>2798</v>
      </c>
      <c r="B234" s="1206" t="s">
        <v>3071</v>
      </c>
      <c r="C234" s="1259" t="s">
        <v>3072</v>
      </c>
      <c r="D234" s="1110"/>
      <c r="E234" s="1110"/>
      <c r="F234" s="1110"/>
      <c r="G234" s="1110"/>
      <c r="H234" s="1110"/>
      <c r="I234" s="1379"/>
      <c r="J234" s="1379"/>
      <c r="K234" s="1379"/>
      <c r="L234" s="1379"/>
      <c r="M234" s="1379"/>
      <c r="N234" s="1380"/>
      <c r="O234" s="1380"/>
      <c r="P234" s="1379"/>
      <c r="Q234" s="1110">
        <v>-1929735</v>
      </c>
      <c r="R234" s="1110"/>
      <c r="S234" s="1110"/>
      <c r="T234" s="1110"/>
      <c r="U234" s="1110"/>
      <c r="V234" s="1110"/>
      <c r="W234" s="1110"/>
      <c r="X234" s="1110"/>
      <c r="Y234" s="1110"/>
      <c r="Z234" s="1110"/>
      <c r="AA234" s="1110"/>
      <c r="AB234" s="1110"/>
      <c r="AC234" s="1110"/>
      <c r="AD234" s="1110"/>
      <c r="AE234" s="1110"/>
      <c r="AF234" s="1110"/>
      <c r="AG234" s="1110"/>
      <c r="AH234" s="1110"/>
      <c r="AI234" s="1110"/>
      <c r="AJ234" s="1110"/>
      <c r="AK234" s="1110"/>
      <c r="AL234" s="1110"/>
      <c r="AM234" s="1110"/>
      <c r="AN234" s="1110"/>
      <c r="AO234" s="1110"/>
      <c r="AP234" s="1110"/>
      <c r="AQ234" s="1110"/>
      <c r="AR234" s="1110"/>
      <c r="AS234" s="1110"/>
      <c r="AT234" s="1110"/>
      <c r="AU234" s="1110"/>
      <c r="AV234" s="1110"/>
      <c r="AW234" s="1110"/>
      <c r="AX234" s="1111"/>
    </row>
    <row r="235" spans="1:50" ht="63" customHeight="1" x14ac:dyDescent="0.2">
      <c r="A235" s="1174" t="s">
        <v>2800</v>
      </c>
      <c r="B235" s="1206" t="s">
        <v>3073</v>
      </c>
      <c r="C235" s="1259" t="s">
        <v>3074</v>
      </c>
      <c r="D235" s="1110"/>
      <c r="E235" s="1110"/>
      <c r="F235" s="1110"/>
      <c r="G235" s="1110"/>
      <c r="H235" s="1110"/>
      <c r="I235" s="1379"/>
      <c r="J235" s="1379"/>
      <c r="K235" s="1379"/>
      <c r="L235" s="1379"/>
      <c r="M235" s="1379"/>
      <c r="N235" s="1380"/>
      <c r="O235" s="1380"/>
      <c r="P235" s="1379"/>
      <c r="Q235" s="1110">
        <v>-7138924</v>
      </c>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AL235" s="1110"/>
      <c r="AM235" s="1110"/>
      <c r="AN235" s="1110"/>
      <c r="AO235" s="1110"/>
      <c r="AP235" s="1110"/>
      <c r="AQ235" s="1110"/>
      <c r="AR235" s="1110"/>
      <c r="AS235" s="1110"/>
      <c r="AT235" s="1110"/>
      <c r="AU235" s="1110"/>
      <c r="AV235" s="1110"/>
      <c r="AW235" s="1110"/>
      <c r="AX235" s="1111"/>
    </row>
    <row r="236" spans="1:50" ht="63" customHeight="1" x14ac:dyDescent="0.2">
      <c r="A236" s="1174" t="s">
        <v>2802</v>
      </c>
      <c r="B236" s="1206" t="s">
        <v>3075</v>
      </c>
      <c r="C236" s="1259" t="s">
        <v>3076</v>
      </c>
      <c r="D236" s="1110"/>
      <c r="E236" s="1110"/>
      <c r="F236" s="1110"/>
      <c r="G236" s="1110"/>
      <c r="H236" s="1110"/>
      <c r="I236" s="1379"/>
      <c r="J236" s="1379"/>
      <c r="K236" s="1379"/>
      <c r="L236" s="1379"/>
      <c r="M236" s="1379"/>
      <c r="N236" s="1380"/>
      <c r="O236" s="1380"/>
      <c r="P236" s="1379"/>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v>-6096000</v>
      </c>
      <c r="AU236" s="1110"/>
      <c r="AV236" s="1110"/>
      <c r="AW236" s="1110"/>
      <c r="AX236" s="1111"/>
    </row>
    <row r="237" spans="1:50" ht="63.75" customHeight="1" x14ac:dyDescent="0.2">
      <c r="A237" s="1174" t="s">
        <v>2804</v>
      </c>
      <c r="B237" s="1206" t="s">
        <v>3080</v>
      </c>
      <c r="C237" s="1259" t="s">
        <v>3081</v>
      </c>
      <c r="D237" s="1110"/>
      <c r="E237" s="1110"/>
      <c r="F237" s="1110"/>
      <c r="G237" s="1110"/>
      <c r="H237" s="1110"/>
      <c r="I237" s="1379"/>
      <c r="J237" s="1379"/>
      <c r="K237" s="1379"/>
      <c r="L237" s="1379"/>
      <c r="M237" s="1379"/>
      <c r="N237" s="1380"/>
      <c r="O237" s="1380"/>
      <c r="P237" s="1379"/>
      <c r="Q237" s="1110"/>
      <c r="R237" s="1110"/>
      <c r="S237" s="1110"/>
      <c r="T237" s="1110"/>
      <c r="U237" s="1110"/>
      <c r="V237" s="1110"/>
      <c r="W237" s="1110"/>
      <c r="X237" s="1110"/>
      <c r="Y237" s="1110"/>
      <c r="Z237" s="1110"/>
      <c r="AA237" s="1110"/>
      <c r="AB237" s="1110"/>
      <c r="AC237" s="1110"/>
      <c r="AD237" s="1110"/>
      <c r="AE237" s="1110"/>
      <c r="AF237" s="1110"/>
      <c r="AG237" s="1110"/>
      <c r="AH237" s="1110"/>
      <c r="AI237" s="1110"/>
      <c r="AJ237" s="1110"/>
      <c r="AK237" s="1110"/>
      <c r="AL237" s="1110"/>
      <c r="AM237" s="1110"/>
      <c r="AN237" s="1110"/>
      <c r="AO237" s="1110"/>
      <c r="AP237" s="1110"/>
      <c r="AQ237" s="1110">
        <v>-500000</v>
      </c>
      <c r="AR237" s="1110"/>
      <c r="AS237" s="1110"/>
      <c r="AT237" s="1110"/>
      <c r="AU237" s="1110"/>
      <c r="AV237" s="1110"/>
      <c r="AW237" s="1110"/>
      <c r="AX237" s="1111"/>
    </row>
    <row r="238" spans="1:50" ht="48" customHeight="1" x14ac:dyDescent="0.2">
      <c r="A238" s="1174" t="s">
        <v>2807</v>
      </c>
      <c r="B238" s="1206" t="s">
        <v>3082</v>
      </c>
      <c r="C238" s="1259" t="s">
        <v>3083</v>
      </c>
      <c r="D238" s="1110"/>
      <c r="E238" s="1110"/>
      <c r="F238" s="1110"/>
      <c r="G238" s="1110"/>
      <c r="H238" s="1110"/>
      <c r="I238" s="1379"/>
      <c r="J238" s="1379"/>
      <c r="K238" s="1379"/>
      <c r="L238" s="1379"/>
      <c r="M238" s="1379"/>
      <c r="N238" s="1380"/>
      <c r="O238" s="1380"/>
      <c r="P238" s="1379"/>
      <c r="Q238" s="1110">
        <v>-164999</v>
      </c>
      <c r="R238" s="1110"/>
      <c r="S238" s="1110"/>
      <c r="T238" s="1110"/>
      <c r="U238" s="1110"/>
      <c r="V238" s="1110"/>
      <c r="W238" s="1110"/>
      <c r="X238" s="1110"/>
      <c r="Y238" s="1110"/>
      <c r="Z238" s="1110"/>
      <c r="AA238" s="1110"/>
      <c r="AB238" s="1110"/>
      <c r="AC238" s="1110"/>
      <c r="AD238" s="1110"/>
      <c r="AE238" s="1110"/>
      <c r="AF238" s="1110"/>
      <c r="AG238" s="1110"/>
      <c r="AH238" s="1110"/>
      <c r="AI238" s="1110"/>
      <c r="AJ238" s="1110"/>
      <c r="AK238" s="1110"/>
      <c r="AL238" s="1110"/>
      <c r="AM238" s="1110"/>
      <c r="AN238" s="1110"/>
      <c r="AO238" s="1110"/>
      <c r="AP238" s="1110"/>
      <c r="AQ238" s="1110"/>
      <c r="AR238" s="1110"/>
      <c r="AS238" s="1110"/>
      <c r="AT238" s="1110"/>
      <c r="AU238" s="1110"/>
      <c r="AV238" s="1110"/>
      <c r="AW238" s="1110"/>
      <c r="AX238" s="1111"/>
    </row>
    <row r="239" spans="1:50" ht="48" customHeight="1" x14ac:dyDescent="0.2">
      <c r="A239" s="1174" t="s">
        <v>2810</v>
      </c>
      <c r="B239" s="1206" t="s">
        <v>3084</v>
      </c>
      <c r="C239" s="1259" t="s">
        <v>3083</v>
      </c>
      <c r="D239" s="1110"/>
      <c r="E239" s="1110"/>
      <c r="F239" s="1110"/>
      <c r="G239" s="1110"/>
      <c r="H239" s="1110"/>
      <c r="I239" s="1379"/>
      <c r="J239" s="1379"/>
      <c r="K239" s="1379"/>
      <c r="L239" s="1379"/>
      <c r="M239" s="1379"/>
      <c r="N239" s="1380"/>
      <c r="O239" s="1380"/>
      <c r="P239" s="1379"/>
      <c r="Q239" s="1110">
        <v>-174225</v>
      </c>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1"/>
    </row>
    <row r="240" spans="1:50" ht="60" customHeight="1" x14ac:dyDescent="0.2">
      <c r="A240" s="1174" t="s">
        <v>2818</v>
      </c>
      <c r="B240" s="1206" t="s">
        <v>3089</v>
      </c>
      <c r="C240" s="1259" t="s">
        <v>3090</v>
      </c>
      <c r="D240" s="1110"/>
      <c r="E240" s="1110"/>
      <c r="F240" s="1110"/>
      <c r="G240" s="1110"/>
      <c r="H240" s="1110"/>
      <c r="I240" s="1379"/>
      <c r="J240" s="1379"/>
      <c r="K240" s="1379"/>
      <c r="L240" s="1379"/>
      <c r="M240" s="1379"/>
      <c r="N240" s="1380"/>
      <c r="O240" s="1380"/>
      <c r="P240" s="1379"/>
      <c r="Q240" s="1110">
        <v>-12763500</v>
      </c>
      <c r="R240" s="1110"/>
      <c r="S240" s="1110"/>
      <c r="T240" s="1110"/>
      <c r="U240" s="1110"/>
      <c r="V240" s="1110"/>
      <c r="W240" s="1110"/>
      <c r="X240" s="1110"/>
      <c r="Y240" s="1110"/>
      <c r="Z240" s="1110"/>
      <c r="AA240" s="1110"/>
      <c r="AB240" s="1110"/>
      <c r="AC240" s="1110"/>
      <c r="AD240" s="1110"/>
      <c r="AE240" s="1110"/>
      <c r="AF240" s="1110"/>
      <c r="AG240" s="1110"/>
      <c r="AH240" s="1110"/>
      <c r="AI240" s="1110"/>
      <c r="AJ240" s="1110"/>
      <c r="AK240" s="1110"/>
      <c r="AL240" s="1110"/>
      <c r="AM240" s="1110"/>
      <c r="AN240" s="1110"/>
      <c r="AO240" s="1110"/>
      <c r="AP240" s="1110"/>
      <c r="AQ240" s="1110"/>
      <c r="AR240" s="1110"/>
      <c r="AS240" s="1110"/>
      <c r="AT240" s="1110"/>
      <c r="AU240" s="1110"/>
      <c r="AV240" s="1110"/>
      <c r="AW240" s="1110"/>
      <c r="AX240" s="1111"/>
    </row>
    <row r="241" spans="1:50" ht="51.75" customHeight="1" x14ac:dyDescent="0.2">
      <c r="A241" s="1174" t="s">
        <v>2821</v>
      </c>
      <c r="B241" s="1206" t="s">
        <v>3091</v>
      </c>
      <c r="C241" s="1259" t="s">
        <v>3092</v>
      </c>
      <c r="D241" s="1110"/>
      <c r="E241" s="1110"/>
      <c r="F241" s="1110"/>
      <c r="G241" s="1110"/>
      <c r="H241" s="1110"/>
      <c r="I241" s="1379"/>
      <c r="J241" s="1379"/>
      <c r="K241" s="1379"/>
      <c r="L241" s="1379"/>
      <c r="M241" s="1379"/>
      <c r="N241" s="1380"/>
      <c r="O241" s="1380"/>
      <c r="P241" s="1379"/>
      <c r="Q241" s="1110">
        <v>-682101</v>
      </c>
      <c r="R241" s="1110"/>
      <c r="S241" s="1110"/>
      <c r="T241" s="1110"/>
      <c r="U241" s="1110"/>
      <c r="V241" s="1110"/>
      <c r="W241" s="1110"/>
      <c r="X241" s="1110"/>
      <c r="Y241" s="1110"/>
      <c r="Z241" s="1110"/>
      <c r="AA241" s="1110"/>
      <c r="AB241" s="1110"/>
      <c r="AC241" s="1110"/>
      <c r="AD241" s="1110"/>
      <c r="AE241" s="1110"/>
      <c r="AF241" s="1110"/>
      <c r="AG241" s="1110"/>
      <c r="AH241" s="1110"/>
      <c r="AI241" s="1110"/>
      <c r="AJ241" s="1110"/>
      <c r="AK241" s="1110"/>
      <c r="AL241" s="1110"/>
      <c r="AM241" s="1110"/>
      <c r="AN241" s="1110"/>
      <c r="AO241" s="1110"/>
      <c r="AP241" s="1110"/>
      <c r="AQ241" s="1110"/>
      <c r="AR241" s="1110"/>
      <c r="AS241" s="1110"/>
      <c r="AT241" s="1110"/>
      <c r="AU241" s="1110"/>
      <c r="AV241" s="1110"/>
      <c r="AW241" s="1110"/>
      <c r="AX241" s="1111"/>
    </row>
    <row r="242" spans="1:50" ht="61.5" customHeight="1" x14ac:dyDescent="0.2">
      <c r="A242" s="1174" t="s">
        <v>2823</v>
      </c>
      <c r="B242" s="1206" t="s">
        <v>3093</v>
      </c>
      <c r="C242" s="1259" t="s">
        <v>3094</v>
      </c>
      <c r="D242" s="1110"/>
      <c r="E242" s="1110"/>
      <c r="F242" s="1110"/>
      <c r="G242" s="1110"/>
      <c r="H242" s="1110"/>
      <c r="I242" s="1379"/>
      <c r="J242" s="1379"/>
      <c r="K242" s="1379"/>
      <c r="L242" s="1379"/>
      <c r="M242" s="1379"/>
      <c r="N242" s="1380"/>
      <c r="O242" s="1380"/>
      <c r="P242" s="1379"/>
      <c r="Q242" s="1110">
        <v>-8265</v>
      </c>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1"/>
    </row>
    <row r="243" spans="1:50" ht="60.75" customHeight="1" x14ac:dyDescent="0.2">
      <c r="A243" s="1174" t="s">
        <v>2826</v>
      </c>
      <c r="B243" s="1206" t="s">
        <v>3095</v>
      </c>
      <c r="C243" s="1259" t="s">
        <v>3096</v>
      </c>
      <c r="D243" s="1110"/>
      <c r="E243" s="1110"/>
      <c r="F243" s="1110"/>
      <c r="G243" s="1110"/>
      <c r="H243" s="1110"/>
      <c r="I243" s="1379"/>
      <c r="J243" s="1379"/>
      <c r="K243" s="1379"/>
      <c r="L243" s="1379"/>
      <c r="M243" s="1379"/>
      <c r="N243" s="1380"/>
      <c r="O243" s="1380"/>
      <c r="P243" s="1379"/>
      <c r="Q243" s="1110">
        <v>-44450</v>
      </c>
      <c r="R243" s="1110"/>
      <c r="S243" s="1110"/>
      <c r="T243" s="1110"/>
      <c r="U243" s="1110"/>
      <c r="V243" s="1110"/>
      <c r="W243" s="1110"/>
      <c r="X243" s="1110"/>
      <c r="Y243" s="1110"/>
      <c r="Z243" s="1110"/>
      <c r="AA243" s="1110"/>
      <c r="AB243" s="1110"/>
      <c r="AC243" s="1110"/>
      <c r="AD243" s="1110"/>
      <c r="AE243" s="1110"/>
      <c r="AF243" s="1110"/>
      <c r="AG243" s="1110"/>
      <c r="AH243" s="1110"/>
      <c r="AI243" s="1110"/>
      <c r="AJ243" s="1110"/>
      <c r="AK243" s="1110"/>
      <c r="AL243" s="1110"/>
      <c r="AM243" s="1110"/>
      <c r="AN243" s="1110"/>
      <c r="AO243" s="1110"/>
      <c r="AP243" s="1110"/>
      <c r="AQ243" s="1110"/>
      <c r="AR243" s="1110"/>
      <c r="AS243" s="1110"/>
      <c r="AT243" s="1110"/>
      <c r="AU243" s="1110"/>
      <c r="AV243" s="1110"/>
      <c r="AW243" s="1110"/>
      <c r="AX243" s="1111"/>
    </row>
    <row r="244" spans="1:50" ht="63.75" customHeight="1" x14ac:dyDescent="0.2">
      <c r="A244" s="1174" t="s">
        <v>2829</v>
      </c>
      <c r="B244" s="1206" t="s">
        <v>3100</v>
      </c>
      <c r="C244" s="1259" t="s">
        <v>3101</v>
      </c>
      <c r="D244" s="1110"/>
      <c r="E244" s="1110"/>
      <c r="F244" s="1110"/>
      <c r="G244" s="1110"/>
      <c r="H244" s="1110"/>
      <c r="I244" s="1379"/>
      <c r="J244" s="1379"/>
      <c r="K244" s="1379"/>
      <c r="L244" s="1379"/>
      <c r="M244" s="1379"/>
      <c r="N244" s="1380"/>
      <c r="O244" s="1380"/>
      <c r="P244" s="1379"/>
      <c r="Q244" s="1110">
        <v>-209550</v>
      </c>
      <c r="R244" s="1110"/>
      <c r="S244" s="1110"/>
      <c r="T244" s="1110"/>
      <c r="U244" s="1110"/>
      <c r="V244" s="1110"/>
      <c r="W244" s="1110"/>
      <c r="X244" s="1110"/>
      <c r="Y244" s="1110"/>
      <c r="Z244" s="1110"/>
      <c r="AA244" s="1110"/>
      <c r="AB244" s="1110"/>
      <c r="AC244" s="1110"/>
      <c r="AD244" s="1110"/>
      <c r="AE244" s="1110"/>
      <c r="AF244" s="1110"/>
      <c r="AG244" s="1110"/>
      <c r="AH244" s="1110"/>
      <c r="AI244" s="1110"/>
      <c r="AJ244" s="1110"/>
      <c r="AK244" s="1110"/>
      <c r="AL244" s="1110"/>
      <c r="AM244" s="1110"/>
      <c r="AN244" s="1110"/>
      <c r="AO244" s="1110"/>
      <c r="AP244" s="1110"/>
      <c r="AQ244" s="1110"/>
      <c r="AR244" s="1110"/>
      <c r="AS244" s="1110"/>
      <c r="AT244" s="1110"/>
      <c r="AU244" s="1110"/>
      <c r="AV244" s="1110"/>
      <c r="AW244" s="1110"/>
      <c r="AX244" s="1111"/>
    </row>
    <row r="245" spans="1:50" ht="48" customHeight="1" x14ac:dyDescent="0.2">
      <c r="A245" s="1174" t="s">
        <v>2832</v>
      </c>
      <c r="B245" s="1206" t="s">
        <v>3102</v>
      </c>
      <c r="C245" s="1259" t="s">
        <v>3103</v>
      </c>
      <c r="D245" s="1110"/>
      <c r="E245" s="1110"/>
      <c r="F245" s="1110"/>
      <c r="G245" s="1110"/>
      <c r="H245" s="1110"/>
      <c r="I245" s="1379"/>
      <c r="J245" s="1379"/>
      <c r="K245" s="1379"/>
      <c r="L245" s="1379"/>
      <c r="M245" s="1379"/>
      <c r="N245" s="1380"/>
      <c r="O245" s="1380"/>
      <c r="P245" s="1379"/>
      <c r="Q245" s="1110">
        <v>-445135</v>
      </c>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1"/>
    </row>
    <row r="246" spans="1:50" ht="48" customHeight="1" x14ac:dyDescent="0.2">
      <c r="A246" s="1174" t="s">
        <v>2835</v>
      </c>
      <c r="B246" s="1206" t="s">
        <v>3111</v>
      </c>
      <c r="C246" s="1259" t="s">
        <v>3112</v>
      </c>
      <c r="D246" s="1110"/>
      <c r="E246" s="1110"/>
      <c r="F246" s="1110"/>
      <c r="G246" s="1110"/>
      <c r="H246" s="1110"/>
      <c r="I246" s="1379"/>
      <c r="J246" s="1379"/>
      <c r="K246" s="1379"/>
      <c r="L246" s="1379"/>
      <c r="M246" s="1379"/>
      <c r="N246" s="1380"/>
      <c r="O246" s="1380"/>
      <c r="P246" s="1379"/>
      <c r="Q246" s="1110">
        <v>-14962632</v>
      </c>
      <c r="R246" s="1110"/>
      <c r="S246" s="1110"/>
      <c r="T246" s="1110"/>
      <c r="U246" s="1110"/>
      <c r="V246" s="1110"/>
      <c r="W246" s="1110"/>
      <c r="X246" s="1110"/>
      <c r="Y246" s="1110"/>
      <c r="Z246" s="1110"/>
      <c r="AA246" s="1110"/>
      <c r="AB246" s="1110"/>
      <c r="AC246" s="1110"/>
      <c r="AD246" s="1110"/>
      <c r="AE246" s="1110"/>
      <c r="AF246" s="1110"/>
      <c r="AG246" s="1110"/>
      <c r="AH246" s="1110"/>
      <c r="AI246" s="1110"/>
      <c r="AJ246" s="1110"/>
      <c r="AK246" s="1110"/>
      <c r="AL246" s="1110"/>
      <c r="AM246" s="1110"/>
      <c r="AN246" s="1110"/>
      <c r="AO246" s="1110"/>
      <c r="AP246" s="1110"/>
      <c r="AQ246" s="1110"/>
      <c r="AR246" s="1110"/>
      <c r="AS246" s="1110"/>
      <c r="AT246" s="1110"/>
      <c r="AU246" s="1110"/>
      <c r="AV246" s="1110"/>
      <c r="AW246" s="1110"/>
      <c r="AX246" s="1111"/>
    </row>
    <row r="247" spans="1:50" ht="66.75" customHeight="1" x14ac:dyDescent="0.2">
      <c r="A247" s="1174" t="s">
        <v>2837</v>
      </c>
      <c r="B247" s="1206" t="s">
        <v>3113</v>
      </c>
      <c r="C247" s="1259" t="s">
        <v>3114</v>
      </c>
      <c r="D247" s="1110"/>
      <c r="E247" s="1110"/>
      <c r="F247" s="1110"/>
      <c r="G247" s="1110"/>
      <c r="H247" s="1110"/>
      <c r="I247" s="1379"/>
      <c r="J247" s="1379"/>
      <c r="K247" s="1379"/>
      <c r="L247" s="1379"/>
      <c r="M247" s="1379"/>
      <c r="N247" s="1380"/>
      <c r="O247" s="1380"/>
      <c r="P247" s="1379"/>
      <c r="Q247" s="1110">
        <v>-380000</v>
      </c>
      <c r="R247" s="1110"/>
      <c r="S247" s="1110"/>
      <c r="T247" s="1110"/>
      <c r="U247" s="1110"/>
      <c r="V247" s="1110"/>
      <c r="W247" s="1110"/>
      <c r="X247" s="1110"/>
      <c r="Y247" s="1110"/>
      <c r="Z247" s="1110"/>
      <c r="AA247" s="1110"/>
      <c r="AB247" s="1110"/>
      <c r="AC247" s="1110"/>
      <c r="AD247" s="1110"/>
      <c r="AE247" s="1110"/>
      <c r="AF247" s="1110"/>
      <c r="AG247" s="1110"/>
      <c r="AH247" s="1110"/>
      <c r="AI247" s="1110"/>
      <c r="AJ247" s="1110"/>
      <c r="AK247" s="1110"/>
      <c r="AL247" s="1110"/>
      <c r="AM247" s="1110"/>
      <c r="AN247" s="1110"/>
      <c r="AO247" s="1110"/>
      <c r="AP247" s="1110"/>
      <c r="AQ247" s="1110"/>
      <c r="AR247" s="1110"/>
      <c r="AS247" s="1110"/>
      <c r="AT247" s="1110"/>
      <c r="AU247" s="1110"/>
      <c r="AV247" s="1110"/>
      <c r="AW247" s="1110"/>
      <c r="AX247" s="1111"/>
    </row>
    <row r="248" spans="1:50" ht="48" customHeight="1" x14ac:dyDescent="0.2">
      <c r="A248" s="1174" t="s">
        <v>2839</v>
      </c>
      <c r="B248" s="1206" t="s">
        <v>3121</v>
      </c>
      <c r="C248" s="1259" t="s">
        <v>3122</v>
      </c>
      <c r="D248" s="1110"/>
      <c r="E248" s="1110"/>
      <c r="F248" s="1110"/>
      <c r="G248" s="1110"/>
      <c r="H248" s="1110"/>
      <c r="I248" s="1379"/>
      <c r="J248" s="1379"/>
      <c r="K248" s="1379"/>
      <c r="L248" s="1379"/>
      <c r="M248" s="1379"/>
      <c r="N248" s="1380"/>
      <c r="O248" s="1380"/>
      <c r="P248" s="1379"/>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v>-200000</v>
      </c>
      <c r="AR248" s="1110"/>
      <c r="AS248" s="1110"/>
      <c r="AT248" s="1110"/>
      <c r="AU248" s="1110"/>
      <c r="AV248" s="1110"/>
      <c r="AW248" s="1110"/>
      <c r="AX248" s="1111"/>
    </row>
    <row r="249" spans="1:50" ht="48" customHeight="1" x14ac:dyDescent="0.2">
      <c r="A249" s="1174" t="s">
        <v>2866</v>
      </c>
      <c r="B249" s="1206" t="s">
        <v>3138</v>
      </c>
      <c r="C249" s="1259" t="s">
        <v>3139</v>
      </c>
      <c r="D249" s="1110"/>
      <c r="E249" s="1110"/>
      <c r="F249" s="1110"/>
      <c r="G249" s="1110"/>
      <c r="H249" s="1110"/>
      <c r="I249" s="1379"/>
      <c r="J249" s="1379"/>
      <c r="K249" s="1379"/>
      <c r="L249" s="1379"/>
      <c r="M249" s="1379"/>
      <c r="N249" s="1380"/>
      <c r="O249" s="1380"/>
      <c r="P249" s="1379"/>
      <c r="Q249" s="1110"/>
      <c r="R249" s="1110"/>
      <c r="S249" s="1110"/>
      <c r="T249" s="1110"/>
      <c r="U249" s="1110"/>
      <c r="V249" s="1110"/>
      <c r="W249" s="1110"/>
      <c r="X249" s="1110"/>
      <c r="Y249" s="1110"/>
      <c r="Z249" s="1110"/>
      <c r="AA249" s="1110"/>
      <c r="AB249" s="1110"/>
      <c r="AC249" s="1110"/>
      <c r="AD249" s="1110"/>
      <c r="AE249" s="1110"/>
      <c r="AF249" s="1110"/>
      <c r="AG249" s="1110"/>
      <c r="AH249" s="1110"/>
      <c r="AI249" s="1110"/>
      <c r="AJ249" s="1110"/>
      <c r="AK249" s="1110"/>
      <c r="AL249" s="1110"/>
      <c r="AM249" s="1110"/>
      <c r="AN249" s="1110"/>
      <c r="AO249" s="1110"/>
      <c r="AP249" s="1110"/>
      <c r="AQ249" s="1110"/>
      <c r="AR249" s="1110"/>
      <c r="AS249" s="1110"/>
      <c r="AT249" s="1110">
        <v>-762000</v>
      </c>
      <c r="AU249" s="1110"/>
      <c r="AV249" s="1110"/>
      <c r="AW249" s="1110"/>
      <c r="AX249" s="1111"/>
    </row>
    <row r="250" spans="1:50" ht="38.25" customHeight="1" x14ac:dyDescent="0.2">
      <c r="A250" s="1174" t="s">
        <v>2869</v>
      </c>
      <c r="B250" s="1206" t="s">
        <v>3146</v>
      </c>
      <c r="C250" s="1259" t="s">
        <v>2815</v>
      </c>
      <c r="D250" s="1110"/>
      <c r="E250" s="1110"/>
      <c r="F250" s="1110"/>
      <c r="G250" s="1110"/>
      <c r="H250" s="1110"/>
      <c r="I250" s="1379"/>
      <c r="J250" s="1379"/>
      <c r="K250" s="1379"/>
      <c r="L250" s="1379"/>
      <c r="M250" s="1379"/>
      <c r="N250" s="1380"/>
      <c r="O250" s="1380"/>
      <c r="P250" s="1379"/>
      <c r="Q250" s="1110"/>
      <c r="R250" s="1110"/>
      <c r="S250" s="1110"/>
      <c r="T250" s="1110"/>
      <c r="U250" s="1110"/>
      <c r="V250" s="1110"/>
      <c r="W250" s="1110"/>
      <c r="X250" s="1110"/>
      <c r="Y250" s="1110"/>
      <c r="Z250" s="1110"/>
      <c r="AA250" s="1110"/>
      <c r="AB250" s="1110"/>
      <c r="AC250" s="1110"/>
      <c r="AD250" s="1110"/>
      <c r="AE250" s="1110"/>
      <c r="AF250" s="1110"/>
      <c r="AG250" s="1110"/>
      <c r="AH250" s="1110"/>
      <c r="AI250" s="1110"/>
      <c r="AJ250" s="1110"/>
      <c r="AK250" s="1110"/>
      <c r="AL250" s="1110"/>
      <c r="AM250" s="1110"/>
      <c r="AN250" s="1110"/>
      <c r="AO250" s="1110"/>
      <c r="AP250" s="1110"/>
      <c r="AQ250" s="1110"/>
      <c r="AR250" s="1110"/>
      <c r="AS250" s="1110"/>
      <c r="AT250" s="1110">
        <v>15166850</v>
      </c>
      <c r="AU250" s="1110"/>
      <c r="AV250" s="1110"/>
      <c r="AW250" s="1110"/>
      <c r="AX250" s="1111"/>
    </row>
    <row r="251" spans="1:50" ht="36" customHeight="1" x14ac:dyDescent="0.2">
      <c r="A251" s="1174" t="s">
        <v>2873</v>
      </c>
      <c r="B251" s="1206" t="s">
        <v>3151</v>
      </c>
      <c r="C251" s="1259" t="s">
        <v>3152</v>
      </c>
      <c r="D251" s="1110"/>
      <c r="E251" s="1110"/>
      <c r="F251" s="1110"/>
      <c r="G251" s="1110"/>
      <c r="H251" s="1110"/>
      <c r="I251" s="1379"/>
      <c r="J251" s="1379"/>
      <c r="K251" s="1379"/>
      <c r="L251" s="1379"/>
      <c r="M251" s="1379"/>
      <c r="N251" s="1380"/>
      <c r="O251" s="1380"/>
      <c r="P251" s="1379"/>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v>130000000</v>
      </c>
      <c r="AR251" s="1110"/>
      <c r="AS251" s="1110"/>
      <c r="AT251" s="1110"/>
      <c r="AU251" s="1110"/>
      <c r="AV251" s="1110"/>
      <c r="AW251" s="1110"/>
      <c r="AX251" s="1111"/>
    </row>
    <row r="252" spans="1:50" ht="64.5" customHeight="1" x14ac:dyDescent="0.2">
      <c r="A252" s="1174" t="s">
        <v>3156</v>
      </c>
      <c r="B252" s="1206" t="s">
        <v>3157</v>
      </c>
      <c r="C252" s="1259" t="s">
        <v>3158</v>
      </c>
      <c r="D252" s="1110"/>
      <c r="E252" s="1110"/>
      <c r="F252" s="1110"/>
      <c r="G252" s="1110"/>
      <c r="H252" s="1110"/>
      <c r="I252" s="1379"/>
      <c r="J252" s="1379"/>
      <c r="K252" s="1379"/>
      <c r="L252" s="1379"/>
      <c r="M252" s="1379"/>
      <c r="N252" s="1380"/>
      <c r="O252" s="1380"/>
      <c r="P252" s="1379"/>
      <c r="Q252" s="1110"/>
      <c r="R252" s="1110"/>
      <c r="S252" s="1110"/>
      <c r="T252" s="1110"/>
      <c r="U252" s="1110"/>
      <c r="V252" s="1110"/>
      <c r="W252" s="1110"/>
      <c r="X252" s="1110"/>
      <c r="Y252" s="1110">
        <v>2618209</v>
      </c>
      <c r="Z252" s="1110"/>
      <c r="AA252" s="1110"/>
      <c r="AB252" s="1110"/>
      <c r="AC252" s="1110"/>
      <c r="AD252" s="1110"/>
      <c r="AE252" s="1110"/>
      <c r="AF252" s="1110"/>
      <c r="AG252" s="1110"/>
      <c r="AH252" s="1110"/>
      <c r="AI252" s="1110"/>
      <c r="AJ252" s="1110"/>
      <c r="AK252" s="1110"/>
      <c r="AL252" s="1110"/>
      <c r="AM252" s="1110"/>
      <c r="AN252" s="1110"/>
      <c r="AO252" s="1110"/>
      <c r="AP252" s="1110"/>
      <c r="AQ252" s="1110"/>
      <c r="AR252" s="1110"/>
      <c r="AS252" s="1110"/>
      <c r="AT252" s="1110"/>
      <c r="AU252" s="1110"/>
      <c r="AV252" s="1110"/>
      <c r="AW252" s="1110"/>
      <c r="AX252" s="1111"/>
    </row>
    <row r="253" spans="1:50" ht="66" customHeight="1" x14ac:dyDescent="0.2">
      <c r="A253" s="1174" t="s">
        <v>3175</v>
      </c>
      <c r="B253" s="1206" t="s">
        <v>3176</v>
      </c>
      <c r="C253" s="1259" t="s">
        <v>3177</v>
      </c>
      <c r="D253" s="1110"/>
      <c r="E253" s="1110"/>
      <c r="F253" s="1110"/>
      <c r="G253" s="1110"/>
      <c r="H253" s="1110"/>
      <c r="I253" s="1379"/>
      <c r="J253" s="1379"/>
      <c r="K253" s="1379"/>
      <c r="L253" s="1379"/>
      <c r="M253" s="1379"/>
      <c r="N253" s="1380"/>
      <c r="O253" s="1380"/>
      <c r="P253" s="1379"/>
      <c r="Q253" s="1110"/>
      <c r="R253" s="1110"/>
      <c r="S253" s="1110"/>
      <c r="T253" s="1110"/>
      <c r="U253" s="1110"/>
      <c r="V253" s="1110"/>
      <c r="W253" s="1110"/>
      <c r="X253" s="1110"/>
      <c r="Y253" s="1110"/>
      <c r="Z253" s="1110"/>
      <c r="AA253" s="1110"/>
      <c r="AB253" s="1110"/>
      <c r="AC253" s="1110"/>
      <c r="AD253" s="1110"/>
      <c r="AE253" s="1110">
        <v>-13560000</v>
      </c>
      <c r="AF253" s="1110"/>
      <c r="AG253" s="1110"/>
      <c r="AH253" s="1110"/>
      <c r="AI253" s="1110"/>
      <c r="AJ253" s="1110"/>
      <c r="AK253" s="1110"/>
      <c r="AL253" s="1110"/>
      <c r="AM253" s="1110"/>
      <c r="AN253" s="1110"/>
      <c r="AO253" s="1110"/>
      <c r="AP253" s="1110"/>
      <c r="AQ253" s="1110"/>
      <c r="AR253" s="1110"/>
      <c r="AS253" s="1110"/>
      <c r="AT253" s="1110"/>
      <c r="AU253" s="1110"/>
      <c r="AV253" s="1110"/>
      <c r="AW253" s="1110"/>
      <c r="AX253" s="1111"/>
    </row>
    <row r="254" spans="1:50" ht="48" customHeight="1" x14ac:dyDescent="0.2">
      <c r="A254" s="1174" t="s">
        <v>2877</v>
      </c>
      <c r="B254" s="1206" t="s">
        <v>3179</v>
      </c>
      <c r="C254" s="1259" t="s">
        <v>3180</v>
      </c>
      <c r="D254" s="1110"/>
      <c r="E254" s="1110"/>
      <c r="F254" s="1110"/>
      <c r="G254" s="1110"/>
      <c r="H254" s="1110"/>
      <c r="I254" s="1379"/>
      <c r="J254" s="1379"/>
      <c r="K254" s="1379"/>
      <c r="L254" s="1379"/>
      <c r="M254" s="1379"/>
      <c r="N254" s="1380"/>
      <c r="O254" s="1380"/>
      <c r="P254" s="1379"/>
      <c r="Q254" s="1110">
        <v>-1079851</v>
      </c>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1"/>
    </row>
    <row r="255" spans="1:50" ht="50.25" customHeight="1" x14ac:dyDescent="0.2">
      <c r="A255" s="1174" t="s">
        <v>2889</v>
      </c>
      <c r="B255" s="1206" t="s">
        <v>3192</v>
      </c>
      <c r="C255" s="1259" t="s">
        <v>3193</v>
      </c>
      <c r="D255" s="1110">
        <v>-1500000</v>
      </c>
      <c r="E255" s="1110"/>
      <c r="F255" s="1110"/>
      <c r="G255" s="1110"/>
      <c r="H255" s="1110"/>
      <c r="I255" s="1379"/>
      <c r="J255" s="1379"/>
      <c r="K255" s="1379"/>
      <c r="L255" s="1379"/>
      <c r="M255" s="1379"/>
      <c r="N255" s="1380"/>
      <c r="O255" s="1380"/>
      <c r="P255" s="1379"/>
      <c r="Q255" s="1110"/>
      <c r="R255" s="1110"/>
      <c r="S255" s="1110"/>
      <c r="T255" s="1110"/>
      <c r="U255" s="1110"/>
      <c r="V255" s="1110"/>
      <c r="W255" s="1110"/>
      <c r="X255" s="1110"/>
      <c r="Y255" s="1110"/>
      <c r="Z255" s="1110"/>
      <c r="AA255" s="1110"/>
      <c r="AB255" s="1110"/>
      <c r="AC255" s="1110"/>
      <c r="AD255" s="1110"/>
      <c r="AE255" s="1110"/>
      <c r="AF255" s="1110"/>
      <c r="AG255" s="1110"/>
      <c r="AH255" s="1110"/>
      <c r="AI255" s="1110"/>
      <c r="AJ255" s="1110"/>
      <c r="AK255" s="1110"/>
      <c r="AL255" s="1110"/>
      <c r="AM255" s="1110"/>
      <c r="AN255" s="1110"/>
      <c r="AO255" s="1110"/>
      <c r="AP255" s="1110"/>
      <c r="AQ255" s="1110"/>
      <c r="AR255" s="1110"/>
      <c r="AS255" s="1110"/>
      <c r="AT255" s="1110"/>
      <c r="AU255" s="1110"/>
      <c r="AV255" s="1110"/>
      <c r="AW255" s="1110"/>
      <c r="AX255" s="1111"/>
    </row>
    <row r="256" spans="1:50" ht="48" customHeight="1" x14ac:dyDescent="0.2">
      <c r="A256" s="1174" t="s">
        <v>2898</v>
      </c>
      <c r="B256" s="1206" t="s">
        <v>3197</v>
      </c>
      <c r="C256" s="1259" t="s">
        <v>3198</v>
      </c>
      <c r="D256" s="1110"/>
      <c r="E256" s="1110"/>
      <c r="F256" s="1110"/>
      <c r="G256" s="1110"/>
      <c r="H256" s="1110"/>
      <c r="I256" s="1379"/>
      <c r="J256" s="1379"/>
      <c r="K256" s="1379"/>
      <c r="L256" s="1379"/>
      <c r="M256" s="1379"/>
      <c r="N256" s="1380"/>
      <c r="O256" s="1380"/>
      <c r="P256" s="1379"/>
      <c r="Q256" s="1110">
        <v>-647700</v>
      </c>
      <c r="R256" s="1110"/>
      <c r="S256" s="1110"/>
      <c r="T256" s="1110"/>
      <c r="U256" s="1110"/>
      <c r="V256" s="1110"/>
      <c r="W256" s="1110"/>
      <c r="X256" s="1110"/>
      <c r="Y256" s="1110"/>
      <c r="Z256" s="1110"/>
      <c r="AA256" s="1110"/>
      <c r="AB256" s="1110"/>
      <c r="AC256" s="1110"/>
      <c r="AD256" s="1110"/>
      <c r="AE256" s="1110"/>
      <c r="AF256" s="1110"/>
      <c r="AG256" s="1110"/>
      <c r="AH256" s="1110"/>
      <c r="AI256" s="1110"/>
      <c r="AJ256" s="1110"/>
      <c r="AK256" s="1110"/>
      <c r="AL256" s="1110"/>
      <c r="AM256" s="1110"/>
      <c r="AN256" s="1110"/>
      <c r="AO256" s="1110"/>
      <c r="AP256" s="1110"/>
      <c r="AQ256" s="1110"/>
      <c r="AR256" s="1110"/>
      <c r="AS256" s="1110"/>
      <c r="AT256" s="1110"/>
      <c r="AU256" s="1110"/>
      <c r="AV256" s="1110"/>
      <c r="AW256" s="1110"/>
      <c r="AX256" s="1111"/>
    </row>
    <row r="257" spans="1:50" ht="35.25" customHeight="1" x14ac:dyDescent="0.2">
      <c r="A257" s="1174" t="s">
        <v>2904</v>
      </c>
      <c r="B257" s="1206" t="s">
        <v>3205</v>
      </c>
      <c r="C257" s="1259" t="s">
        <v>2771</v>
      </c>
      <c r="D257" s="1110"/>
      <c r="E257" s="1110"/>
      <c r="F257" s="1110"/>
      <c r="G257" s="1110"/>
      <c r="H257" s="1110"/>
      <c r="I257" s="1379"/>
      <c r="J257" s="1379"/>
      <c r="K257" s="1379"/>
      <c r="L257" s="1379"/>
      <c r="M257" s="1379"/>
      <c r="N257" s="1380"/>
      <c r="O257" s="1380"/>
      <c r="P257" s="1379"/>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v>-35118162</v>
      </c>
      <c r="AU257" s="1110"/>
      <c r="AV257" s="1110"/>
      <c r="AW257" s="1110"/>
      <c r="AX257" s="1111"/>
    </row>
    <row r="258" spans="1:50" ht="48" customHeight="1" x14ac:dyDescent="0.2">
      <c r="A258" s="1174" t="s">
        <v>2906</v>
      </c>
      <c r="B258" s="1206" t="s">
        <v>3206</v>
      </c>
      <c r="C258" s="1259" t="s">
        <v>3207</v>
      </c>
      <c r="D258" s="1110"/>
      <c r="E258" s="1110"/>
      <c r="F258" s="1110"/>
      <c r="G258" s="1110"/>
      <c r="H258" s="1110"/>
      <c r="I258" s="1379"/>
      <c r="J258" s="1379"/>
      <c r="K258" s="1379"/>
      <c r="L258" s="1379"/>
      <c r="M258" s="1379"/>
      <c r="N258" s="1380"/>
      <c r="O258" s="1380"/>
      <c r="P258" s="1379"/>
      <c r="Q258" s="1110"/>
      <c r="R258" s="1110"/>
      <c r="S258" s="1110"/>
      <c r="T258" s="1110"/>
      <c r="U258" s="1110"/>
      <c r="V258" s="1110"/>
      <c r="W258" s="1110"/>
      <c r="X258" s="1110"/>
      <c r="Y258" s="1110"/>
      <c r="Z258" s="1110"/>
      <c r="AA258" s="1110"/>
      <c r="AB258" s="1110"/>
      <c r="AC258" s="1110"/>
      <c r="AD258" s="1110"/>
      <c r="AE258" s="1110"/>
      <c r="AF258" s="1110"/>
      <c r="AG258" s="1110"/>
      <c r="AH258" s="1110"/>
      <c r="AI258" s="1110"/>
      <c r="AJ258" s="1110"/>
      <c r="AK258" s="1110"/>
      <c r="AL258" s="1110"/>
      <c r="AM258" s="1110"/>
      <c r="AN258" s="1110"/>
      <c r="AO258" s="1110"/>
      <c r="AP258" s="1110"/>
      <c r="AQ258" s="1110">
        <v>-26797000</v>
      </c>
      <c r="AR258" s="1110"/>
      <c r="AS258" s="1110"/>
      <c r="AT258" s="1110"/>
      <c r="AU258" s="1110"/>
      <c r="AV258" s="1110"/>
      <c r="AW258" s="1110"/>
      <c r="AX258" s="1111"/>
    </row>
    <row r="259" spans="1:50" ht="48" customHeight="1" x14ac:dyDescent="0.2">
      <c r="A259" s="1174" t="s">
        <v>3213</v>
      </c>
      <c r="B259" s="1206" t="s">
        <v>3214</v>
      </c>
      <c r="C259" s="1259" t="s">
        <v>3215</v>
      </c>
      <c r="D259" s="1110"/>
      <c r="E259" s="1110"/>
      <c r="F259" s="1110"/>
      <c r="G259" s="1110"/>
      <c r="H259" s="1110"/>
      <c r="I259" s="1379"/>
      <c r="J259" s="1379"/>
      <c r="K259" s="1379"/>
      <c r="L259" s="1379"/>
      <c r="M259" s="1379"/>
      <c r="N259" s="1380"/>
      <c r="O259" s="1380"/>
      <c r="P259" s="1379"/>
      <c r="Q259" s="1110"/>
      <c r="R259" s="1110"/>
      <c r="S259" s="1110"/>
      <c r="T259" s="1110"/>
      <c r="U259" s="1110"/>
      <c r="V259" s="1110"/>
      <c r="W259" s="1110"/>
      <c r="X259" s="1110"/>
      <c r="Y259" s="1110"/>
      <c r="Z259" s="1110"/>
      <c r="AA259" s="1110"/>
      <c r="AB259" s="1110"/>
      <c r="AC259" s="1110"/>
      <c r="AD259" s="1110"/>
      <c r="AE259" s="1110"/>
      <c r="AF259" s="1110"/>
      <c r="AG259" s="1110"/>
      <c r="AH259" s="1110"/>
      <c r="AI259" s="1110"/>
      <c r="AJ259" s="1110"/>
      <c r="AK259" s="1110"/>
      <c r="AL259" s="1110"/>
      <c r="AM259" s="1110"/>
      <c r="AN259" s="1110"/>
      <c r="AO259" s="1110"/>
      <c r="AP259" s="1110"/>
      <c r="AQ259" s="1110"/>
      <c r="AR259" s="1110"/>
      <c r="AS259" s="1110"/>
      <c r="AT259" s="1110"/>
      <c r="AU259" s="1110"/>
      <c r="AV259" s="1110"/>
      <c r="AW259" s="1110"/>
      <c r="AX259" s="1111">
        <v>-180000</v>
      </c>
    </row>
    <row r="260" spans="1:50" ht="63.75" customHeight="1" x14ac:dyDescent="0.2">
      <c r="A260" s="1410" t="s">
        <v>2920</v>
      </c>
      <c r="B260" s="1411" t="s">
        <v>3216</v>
      </c>
      <c r="C260" s="1259" t="s">
        <v>3368</v>
      </c>
      <c r="D260" s="1110"/>
      <c r="E260" s="1110"/>
      <c r="F260" s="1110"/>
      <c r="G260" s="1110"/>
      <c r="H260" s="1110"/>
      <c r="I260" s="1379"/>
      <c r="J260" s="1379"/>
      <c r="K260" s="1379"/>
      <c r="L260" s="1379"/>
      <c r="M260" s="1379"/>
      <c r="N260" s="1380"/>
      <c r="O260" s="1380"/>
      <c r="P260" s="1379"/>
      <c r="Q260" s="1110">
        <v>-561965</v>
      </c>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1"/>
    </row>
    <row r="261" spans="1:50" ht="63.75" customHeight="1" x14ac:dyDescent="0.2">
      <c r="A261" s="1410" t="s">
        <v>2926</v>
      </c>
      <c r="B261" s="1411" t="s">
        <v>3220</v>
      </c>
      <c r="C261" s="1259" t="s">
        <v>3221</v>
      </c>
      <c r="D261" s="1110"/>
      <c r="E261" s="1110"/>
      <c r="F261" s="1110"/>
      <c r="G261" s="1110"/>
      <c r="H261" s="1110"/>
      <c r="I261" s="1379"/>
      <c r="J261" s="1379"/>
      <c r="K261" s="1379"/>
      <c r="L261" s="1379"/>
      <c r="M261" s="1379"/>
      <c r="N261" s="1380"/>
      <c r="O261" s="1380"/>
      <c r="P261" s="1379"/>
      <c r="Q261" s="1110">
        <v>-252603</v>
      </c>
      <c r="R261" s="1110"/>
      <c r="S261" s="1110"/>
      <c r="T261" s="1110"/>
      <c r="U261" s="1110"/>
      <c r="V261" s="1110"/>
      <c r="W261" s="1110"/>
      <c r="X261" s="1110"/>
      <c r="Y261" s="1110"/>
      <c r="Z261" s="1110"/>
      <c r="AA261" s="1110"/>
      <c r="AB261" s="1110"/>
      <c r="AC261" s="1110"/>
      <c r="AD261" s="1110"/>
      <c r="AE261" s="1110"/>
      <c r="AF261" s="1110"/>
      <c r="AG261" s="1110"/>
      <c r="AH261" s="1110"/>
      <c r="AI261" s="1110"/>
      <c r="AJ261" s="1110"/>
      <c r="AK261" s="1110"/>
      <c r="AL261" s="1110"/>
      <c r="AM261" s="1110"/>
      <c r="AN261" s="1110"/>
      <c r="AO261" s="1110"/>
      <c r="AP261" s="1110"/>
      <c r="AQ261" s="1110"/>
      <c r="AR261" s="1110"/>
      <c r="AS261" s="1110"/>
      <c r="AT261" s="1110"/>
      <c r="AU261" s="1110"/>
      <c r="AV261" s="1110"/>
      <c r="AW261" s="1110"/>
      <c r="AX261" s="1111"/>
    </row>
    <row r="262" spans="1:50" ht="111" customHeight="1" x14ac:dyDescent="0.2">
      <c r="A262" s="1410" t="s">
        <v>2928</v>
      </c>
      <c r="B262" s="1411" t="s">
        <v>3223</v>
      </c>
      <c r="C262" s="1259" t="s">
        <v>3224</v>
      </c>
      <c r="D262" s="1110"/>
      <c r="E262" s="1110"/>
      <c r="F262" s="1110"/>
      <c r="G262" s="1110"/>
      <c r="H262" s="1110"/>
      <c r="I262" s="1379"/>
      <c r="J262" s="1379"/>
      <c r="K262" s="1379"/>
      <c r="L262" s="1379"/>
      <c r="M262" s="1379"/>
      <c r="N262" s="1380"/>
      <c r="O262" s="1380"/>
      <c r="P262" s="1379"/>
      <c r="Q262" s="1110"/>
      <c r="R262" s="1110"/>
      <c r="S262" s="1110"/>
      <c r="T262" s="1110"/>
      <c r="U262" s="1110"/>
      <c r="V262" s="1110"/>
      <c r="W262" s="1110"/>
      <c r="X262" s="1110"/>
      <c r="Y262" s="1110"/>
      <c r="Z262" s="1110"/>
      <c r="AA262" s="1110"/>
      <c r="AB262" s="1110"/>
      <c r="AC262" s="1110"/>
      <c r="AD262" s="1110"/>
      <c r="AE262" s="1110"/>
      <c r="AF262" s="1110"/>
      <c r="AG262" s="1110"/>
      <c r="AH262" s="1110"/>
      <c r="AI262" s="1110"/>
      <c r="AJ262" s="1110">
        <v>-250000</v>
      </c>
      <c r="AK262" s="1110"/>
      <c r="AL262" s="1110"/>
      <c r="AM262" s="1110"/>
      <c r="AN262" s="1110"/>
      <c r="AO262" s="1110"/>
      <c r="AP262" s="1110"/>
      <c r="AQ262" s="1110"/>
      <c r="AR262" s="1110"/>
      <c r="AS262" s="1110"/>
      <c r="AT262" s="1110"/>
      <c r="AU262" s="1110"/>
      <c r="AV262" s="1110"/>
      <c r="AW262" s="1110"/>
      <c r="AX262" s="1111"/>
    </row>
    <row r="263" spans="1:50" ht="126" customHeight="1" x14ac:dyDescent="0.2">
      <c r="A263" s="1410" t="s">
        <v>2931</v>
      </c>
      <c r="B263" s="1411" t="s">
        <v>3226</v>
      </c>
      <c r="C263" s="1259" t="s">
        <v>3227</v>
      </c>
      <c r="D263" s="1110"/>
      <c r="E263" s="1110"/>
      <c r="F263" s="1110"/>
      <c r="G263" s="1110"/>
      <c r="H263" s="1110"/>
      <c r="I263" s="1379"/>
      <c r="J263" s="1379"/>
      <c r="K263" s="1379"/>
      <c r="L263" s="1379"/>
      <c r="M263" s="1379"/>
      <c r="N263" s="1380"/>
      <c r="O263" s="1380"/>
      <c r="P263" s="1379"/>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v>-250000</v>
      </c>
      <c r="AK263" s="1110"/>
      <c r="AL263" s="1110"/>
      <c r="AM263" s="1110"/>
      <c r="AN263" s="1110"/>
      <c r="AO263" s="1110"/>
      <c r="AP263" s="1110"/>
      <c r="AQ263" s="1110"/>
      <c r="AR263" s="1110"/>
      <c r="AS263" s="1110"/>
      <c r="AT263" s="1110"/>
      <c r="AU263" s="1110"/>
      <c r="AV263" s="1110"/>
      <c r="AW263" s="1110"/>
      <c r="AX263" s="1111"/>
    </row>
    <row r="264" spans="1:50" ht="123" customHeight="1" x14ac:dyDescent="0.2">
      <c r="A264" s="1410" t="s">
        <v>2933</v>
      </c>
      <c r="B264" s="1411" t="s">
        <v>3229</v>
      </c>
      <c r="C264" s="1259" t="s">
        <v>3230</v>
      </c>
      <c r="D264" s="1110"/>
      <c r="E264" s="1110"/>
      <c r="F264" s="1110"/>
      <c r="G264" s="1110"/>
      <c r="H264" s="1110"/>
      <c r="I264" s="1379"/>
      <c r="J264" s="1379"/>
      <c r="K264" s="1379"/>
      <c r="L264" s="1379"/>
      <c r="M264" s="1379"/>
      <c r="N264" s="1380"/>
      <c r="O264" s="1380"/>
      <c r="P264" s="1379"/>
      <c r="Q264" s="1110"/>
      <c r="R264" s="1110"/>
      <c r="S264" s="1110"/>
      <c r="T264" s="1110"/>
      <c r="U264" s="1110"/>
      <c r="V264" s="1110"/>
      <c r="W264" s="1110"/>
      <c r="X264" s="1110"/>
      <c r="Y264" s="1110"/>
      <c r="Z264" s="1110"/>
      <c r="AA264" s="1110"/>
      <c r="AB264" s="1110"/>
      <c r="AC264" s="1110"/>
      <c r="AD264" s="1110"/>
      <c r="AE264" s="1110"/>
      <c r="AF264" s="1110"/>
      <c r="AG264" s="1110"/>
      <c r="AH264" s="1110"/>
      <c r="AI264" s="1110"/>
      <c r="AJ264" s="1110">
        <v>-250000</v>
      </c>
      <c r="AK264" s="1110"/>
      <c r="AL264" s="1110"/>
      <c r="AM264" s="1110"/>
      <c r="AN264" s="1110"/>
      <c r="AO264" s="1110"/>
      <c r="AP264" s="1110"/>
      <c r="AQ264" s="1110"/>
      <c r="AR264" s="1110"/>
      <c r="AS264" s="1110"/>
      <c r="AT264" s="1110"/>
      <c r="AU264" s="1110"/>
      <c r="AV264" s="1110"/>
      <c r="AW264" s="1110"/>
      <c r="AX264" s="1111"/>
    </row>
    <row r="265" spans="1:50" ht="51" customHeight="1" x14ac:dyDescent="0.2">
      <c r="A265" s="1410" t="s">
        <v>2935</v>
      </c>
      <c r="B265" s="1411" t="s">
        <v>3232</v>
      </c>
      <c r="C265" s="1259" t="s">
        <v>3233</v>
      </c>
      <c r="D265" s="1110"/>
      <c r="E265" s="1110"/>
      <c r="F265" s="1110"/>
      <c r="G265" s="1110"/>
      <c r="H265" s="1110"/>
      <c r="I265" s="1379"/>
      <c r="J265" s="1379"/>
      <c r="K265" s="1379"/>
      <c r="L265" s="1379"/>
      <c r="M265" s="1379"/>
      <c r="N265" s="1380"/>
      <c r="O265" s="1380"/>
      <c r="P265" s="1379"/>
      <c r="Q265" s="1110"/>
      <c r="R265" s="1110"/>
      <c r="S265" s="1110"/>
      <c r="T265" s="1110"/>
      <c r="U265" s="1110"/>
      <c r="V265" s="1110"/>
      <c r="W265" s="1110"/>
      <c r="X265" s="1110"/>
      <c r="Y265" s="1110"/>
      <c r="Z265" s="1110"/>
      <c r="AA265" s="1110"/>
      <c r="AB265" s="1110"/>
      <c r="AC265" s="1110"/>
      <c r="AD265" s="1110"/>
      <c r="AE265" s="1110"/>
      <c r="AF265" s="1110"/>
      <c r="AG265" s="1110"/>
      <c r="AH265" s="1110"/>
      <c r="AI265" s="1110"/>
      <c r="AJ265" s="1110"/>
      <c r="AK265" s="1110"/>
      <c r="AL265" s="1110"/>
      <c r="AM265" s="1110"/>
      <c r="AN265" s="1110"/>
      <c r="AO265" s="1110"/>
      <c r="AP265" s="1110"/>
      <c r="AQ265" s="1110"/>
      <c r="AR265" s="1110"/>
      <c r="AS265" s="1110"/>
      <c r="AT265" s="1110"/>
      <c r="AU265" s="1110"/>
      <c r="AV265" s="1110"/>
      <c r="AW265" s="1110"/>
      <c r="AX265" s="1111">
        <v>-200000</v>
      </c>
    </row>
    <row r="266" spans="1:50" ht="51.75" customHeight="1" x14ac:dyDescent="0.2">
      <c r="A266" s="1410" t="s">
        <v>2954</v>
      </c>
      <c r="B266" s="1411" t="s">
        <v>3235</v>
      </c>
      <c r="C266" s="1259" t="s">
        <v>3236</v>
      </c>
      <c r="D266" s="1110"/>
      <c r="E266" s="1110"/>
      <c r="F266" s="1110"/>
      <c r="G266" s="1110"/>
      <c r="H266" s="1110"/>
      <c r="I266" s="1379"/>
      <c r="J266" s="1379"/>
      <c r="K266" s="1379"/>
      <c r="L266" s="1379"/>
      <c r="M266" s="1379"/>
      <c r="N266" s="1380"/>
      <c r="O266" s="1380"/>
      <c r="P266" s="1379"/>
      <c r="Q266" s="1110"/>
      <c r="R266" s="1110"/>
      <c r="S266" s="1110"/>
      <c r="T266" s="1110"/>
      <c r="U266" s="1110"/>
      <c r="V266" s="1110"/>
      <c r="W266" s="1110"/>
      <c r="X266" s="1110"/>
      <c r="Y266" s="1110"/>
      <c r="Z266" s="1110"/>
      <c r="AA266" s="1110"/>
      <c r="AB266" s="1110"/>
      <c r="AC266" s="1110">
        <v>-200000</v>
      </c>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1"/>
    </row>
    <row r="267" spans="1:50" ht="38.25" customHeight="1" x14ac:dyDescent="0.2">
      <c r="A267" s="1410" t="s">
        <v>2968</v>
      </c>
      <c r="B267" s="1411" t="s">
        <v>3252</v>
      </c>
      <c r="C267" s="1259" t="s">
        <v>2815</v>
      </c>
      <c r="D267" s="1110"/>
      <c r="E267" s="1110"/>
      <c r="F267" s="1110"/>
      <c r="G267" s="1110"/>
      <c r="H267" s="1110"/>
      <c r="I267" s="1379"/>
      <c r="J267" s="1379"/>
      <c r="K267" s="1379"/>
      <c r="L267" s="1379"/>
      <c r="M267" s="1379"/>
      <c r="N267" s="1380"/>
      <c r="O267" s="1380"/>
      <c r="P267" s="1379"/>
      <c r="Q267" s="1110"/>
      <c r="R267" s="1110"/>
      <c r="S267" s="1110"/>
      <c r="T267" s="1110"/>
      <c r="U267" s="1110"/>
      <c r="V267" s="1110"/>
      <c r="W267" s="1110"/>
      <c r="X267" s="1110"/>
      <c r="Y267" s="1110"/>
      <c r="Z267" s="1110"/>
      <c r="AA267" s="1110"/>
      <c r="AB267" s="1110"/>
      <c r="AC267" s="1110"/>
      <c r="AD267" s="1110"/>
      <c r="AE267" s="1110"/>
      <c r="AF267" s="1110"/>
      <c r="AG267" s="1110"/>
      <c r="AH267" s="1110"/>
      <c r="AI267" s="1110"/>
      <c r="AJ267" s="1110"/>
      <c r="AK267" s="1110"/>
      <c r="AL267" s="1110"/>
      <c r="AM267" s="1110"/>
      <c r="AN267" s="1110"/>
      <c r="AO267" s="1110"/>
      <c r="AP267" s="1110"/>
      <c r="AQ267" s="1110"/>
      <c r="AR267" s="1110"/>
      <c r="AS267" s="1110"/>
      <c r="AT267" s="1110">
        <v>33436932</v>
      </c>
      <c r="AU267" s="1110"/>
      <c r="AV267" s="1110"/>
      <c r="AW267" s="1110"/>
      <c r="AX267" s="1111"/>
    </row>
    <row r="268" spans="1:50" ht="48" customHeight="1" x14ac:dyDescent="0.2">
      <c r="A268" s="1410" t="s">
        <v>2970</v>
      </c>
      <c r="B268" s="1411" t="s">
        <v>3255</v>
      </c>
      <c r="C268" s="1259" t="s">
        <v>3256</v>
      </c>
      <c r="D268" s="1110"/>
      <c r="E268" s="1110"/>
      <c r="F268" s="1110"/>
      <c r="G268" s="1110"/>
      <c r="H268" s="1110"/>
      <c r="I268" s="1379"/>
      <c r="J268" s="1379"/>
      <c r="K268" s="1379"/>
      <c r="L268" s="1379"/>
      <c r="M268" s="1379"/>
      <c r="N268" s="1380"/>
      <c r="O268" s="1380"/>
      <c r="P268" s="1379"/>
      <c r="Q268" s="1110"/>
      <c r="R268" s="1110"/>
      <c r="S268" s="1110"/>
      <c r="T268" s="1110"/>
      <c r="U268" s="1110"/>
      <c r="V268" s="1110"/>
      <c r="W268" s="1110"/>
      <c r="X268" s="1110"/>
      <c r="Y268" s="1110"/>
      <c r="Z268" s="1110"/>
      <c r="AA268" s="1110"/>
      <c r="AB268" s="1110"/>
      <c r="AC268" s="1110"/>
      <c r="AD268" s="1110"/>
      <c r="AE268" s="1110"/>
      <c r="AF268" s="1110"/>
      <c r="AG268" s="1110"/>
      <c r="AH268" s="1110"/>
      <c r="AI268" s="1110"/>
      <c r="AJ268" s="1110"/>
      <c r="AK268" s="1110"/>
      <c r="AL268" s="1110"/>
      <c r="AM268" s="1110"/>
      <c r="AN268" s="1110"/>
      <c r="AO268" s="1110"/>
      <c r="AP268" s="1110"/>
      <c r="AQ268" s="1110"/>
      <c r="AR268" s="1110"/>
      <c r="AS268" s="1110"/>
      <c r="AT268" s="1110">
        <v>-7762000</v>
      </c>
      <c r="AU268" s="1110"/>
      <c r="AV268" s="1110"/>
      <c r="AW268" s="1110"/>
      <c r="AX268" s="1111"/>
    </row>
    <row r="269" spans="1:50" ht="108" customHeight="1" x14ac:dyDescent="0.2">
      <c r="A269" s="1410" t="s">
        <v>2981</v>
      </c>
      <c r="B269" s="1411" t="s">
        <v>3257</v>
      </c>
      <c r="C269" s="1259" t="s">
        <v>3259</v>
      </c>
      <c r="D269" s="1110"/>
      <c r="E269" s="1110"/>
      <c r="F269" s="1110"/>
      <c r="G269" s="1110"/>
      <c r="H269" s="1110"/>
      <c r="I269" s="1379"/>
      <c r="J269" s="1379"/>
      <c r="K269" s="1379"/>
      <c r="L269" s="1379"/>
      <c r="M269" s="1379"/>
      <c r="N269" s="1380"/>
      <c r="O269" s="1380"/>
      <c r="P269" s="1379"/>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v>123753075</v>
      </c>
      <c r="AW269" s="1110"/>
      <c r="AX269" s="1111"/>
    </row>
    <row r="270" spans="1:50" ht="48" customHeight="1" x14ac:dyDescent="0.2">
      <c r="A270" s="1410" t="s">
        <v>2984</v>
      </c>
      <c r="B270" s="1411" t="s">
        <v>3260</v>
      </c>
      <c r="C270" s="1259" t="s">
        <v>3261</v>
      </c>
      <c r="D270" s="1110"/>
      <c r="E270" s="1110"/>
      <c r="F270" s="1110"/>
      <c r="G270" s="1110"/>
      <c r="H270" s="1110"/>
      <c r="I270" s="1379"/>
      <c r="J270" s="1379"/>
      <c r="K270" s="1379"/>
      <c r="L270" s="1379"/>
      <c r="M270" s="1379"/>
      <c r="N270" s="1380"/>
      <c r="O270" s="1380"/>
      <c r="P270" s="1379"/>
      <c r="Q270" s="1110"/>
      <c r="R270" s="1110"/>
      <c r="S270" s="1110"/>
      <c r="T270" s="1110"/>
      <c r="U270" s="1110"/>
      <c r="V270" s="1110"/>
      <c r="W270" s="1110"/>
      <c r="X270" s="1110"/>
      <c r="Y270" s="1110">
        <v>-16031194</v>
      </c>
      <c r="Z270" s="1110"/>
      <c r="AA270" s="1110"/>
      <c r="AB270" s="1110"/>
      <c r="AC270" s="1110"/>
      <c r="AD270" s="1110"/>
      <c r="AE270" s="1110"/>
      <c r="AF270" s="1110"/>
      <c r="AG270" s="1110"/>
      <c r="AH270" s="1110"/>
      <c r="AI270" s="1110"/>
      <c r="AJ270" s="1110"/>
      <c r="AK270" s="1110"/>
      <c r="AL270" s="1110"/>
      <c r="AM270" s="1110"/>
      <c r="AN270" s="1110"/>
      <c r="AO270" s="1110"/>
      <c r="AP270" s="1110"/>
      <c r="AQ270" s="1110"/>
      <c r="AR270" s="1110"/>
      <c r="AS270" s="1110"/>
      <c r="AT270" s="1110"/>
      <c r="AU270" s="1110"/>
      <c r="AV270" s="1110"/>
      <c r="AW270" s="1110"/>
      <c r="AX270" s="1111"/>
    </row>
    <row r="271" spans="1:50" ht="38.25" customHeight="1" x14ac:dyDescent="0.2">
      <c r="A271" s="1410" t="s">
        <v>2987</v>
      </c>
      <c r="B271" s="1411" t="s">
        <v>3262</v>
      </c>
      <c r="C271" s="1259" t="s">
        <v>2700</v>
      </c>
      <c r="D271" s="1110"/>
      <c r="E271" s="1110"/>
      <c r="F271" s="1110"/>
      <c r="G271" s="1110"/>
      <c r="H271" s="1110"/>
      <c r="I271" s="1379"/>
      <c r="J271" s="1379"/>
      <c r="K271" s="1379"/>
      <c r="L271" s="1379"/>
      <c r="M271" s="1379">
        <v>100000</v>
      </c>
      <c r="N271" s="1380"/>
      <c r="O271" s="1380"/>
      <c r="P271" s="1379"/>
      <c r="Q271" s="1110"/>
      <c r="R271" s="1110"/>
      <c r="S271" s="1110"/>
      <c r="T271" s="1110"/>
      <c r="U271" s="1110"/>
      <c r="V271" s="1110"/>
      <c r="W271" s="1110"/>
      <c r="X271" s="1110"/>
      <c r="Y271" s="1110"/>
      <c r="Z271" s="1110"/>
      <c r="AA271" s="1110"/>
      <c r="AB271" s="1110"/>
      <c r="AC271" s="1110"/>
      <c r="AD271" s="1110"/>
      <c r="AE271" s="1110"/>
      <c r="AF271" s="1110"/>
      <c r="AG271" s="1110"/>
      <c r="AH271" s="1110"/>
      <c r="AI271" s="1110"/>
      <c r="AJ271" s="1110"/>
      <c r="AK271" s="1110"/>
      <c r="AL271" s="1110"/>
      <c r="AM271" s="1110"/>
      <c r="AN271" s="1110"/>
      <c r="AO271" s="1110"/>
      <c r="AP271" s="1110"/>
      <c r="AQ271" s="1110"/>
      <c r="AR271" s="1110"/>
      <c r="AS271" s="1110"/>
      <c r="AT271" s="1110"/>
      <c r="AU271" s="1110"/>
      <c r="AV271" s="1110"/>
      <c r="AW271" s="1110"/>
      <c r="AX271" s="1111"/>
    </row>
    <row r="272" spans="1:50" ht="39.75" customHeight="1" x14ac:dyDescent="0.2">
      <c r="A272" s="1410" t="s">
        <v>2995</v>
      </c>
      <c r="B272" s="1411" t="s">
        <v>3270</v>
      </c>
      <c r="C272" s="1259" t="s">
        <v>3271</v>
      </c>
      <c r="D272" s="1110"/>
      <c r="E272" s="1110"/>
      <c r="F272" s="1110"/>
      <c r="G272" s="1110"/>
      <c r="H272" s="1110"/>
      <c r="I272" s="1379"/>
      <c r="J272" s="1379"/>
      <c r="K272" s="1379"/>
      <c r="L272" s="1379"/>
      <c r="M272" s="1379"/>
      <c r="N272" s="1380"/>
      <c r="O272" s="1380"/>
      <c r="P272" s="1379"/>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v>50018542</v>
      </c>
      <c r="AR272" s="1110"/>
      <c r="AS272" s="1110"/>
      <c r="AT272" s="1110"/>
      <c r="AU272" s="1110"/>
      <c r="AV272" s="1110"/>
      <c r="AW272" s="1110"/>
      <c r="AX272" s="1111"/>
    </row>
    <row r="273" spans="1:50" ht="48" customHeight="1" x14ac:dyDescent="0.2">
      <c r="A273" s="1410" t="s">
        <v>2997</v>
      </c>
      <c r="B273" s="1411" t="s">
        <v>3273</v>
      </c>
      <c r="C273" s="1259" t="s">
        <v>3274</v>
      </c>
      <c r="D273" s="1110"/>
      <c r="E273" s="1110"/>
      <c r="F273" s="1110"/>
      <c r="G273" s="1110"/>
      <c r="H273" s="1110"/>
      <c r="I273" s="1379"/>
      <c r="J273" s="1379"/>
      <c r="K273" s="1379"/>
      <c r="L273" s="1379"/>
      <c r="M273" s="1379"/>
      <c r="N273" s="1380"/>
      <c r="O273" s="1380"/>
      <c r="P273" s="1379"/>
      <c r="Q273" s="1110"/>
      <c r="R273" s="1110"/>
      <c r="S273" s="1110"/>
      <c r="T273" s="1110"/>
      <c r="U273" s="1110"/>
      <c r="V273" s="1110"/>
      <c r="W273" s="1110"/>
      <c r="X273" s="1110"/>
      <c r="Y273" s="1110"/>
      <c r="Z273" s="1110"/>
      <c r="AA273" s="1110"/>
      <c r="AB273" s="1110"/>
      <c r="AC273" s="1110"/>
      <c r="AD273" s="1110"/>
      <c r="AE273" s="1110"/>
      <c r="AF273" s="1110"/>
      <c r="AG273" s="1110"/>
      <c r="AH273" s="1110"/>
      <c r="AI273" s="1110"/>
      <c r="AJ273" s="1110"/>
      <c r="AK273" s="1110"/>
      <c r="AL273" s="1110"/>
      <c r="AM273" s="1110"/>
      <c r="AN273" s="1110"/>
      <c r="AO273" s="1110"/>
      <c r="AP273" s="1110"/>
      <c r="AQ273" s="1110">
        <v>454000</v>
      </c>
      <c r="AR273" s="1110"/>
      <c r="AS273" s="1110"/>
      <c r="AT273" s="1110"/>
      <c r="AU273" s="1110"/>
      <c r="AV273" s="1110"/>
      <c r="AW273" s="1110"/>
      <c r="AX273" s="1111"/>
    </row>
    <row r="274" spans="1:50" ht="63.75" customHeight="1" x14ac:dyDescent="0.2">
      <c r="A274" s="1410" t="s">
        <v>3000</v>
      </c>
      <c r="B274" s="1411" t="s">
        <v>3276</v>
      </c>
      <c r="C274" s="1259" t="s">
        <v>3277</v>
      </c>
      <c r="D274" s="1110"/>
      <c r="E274" s="1110"/>
      <c r="F274" s="1110"/>
      <c r="G274" s="1110"/>
      <c r="H274" s="1110"/>
      <c r="I274" s="1379"/>
      <c r="J274" s="1379"/>
      <c r="K274" s="1379"/>
      <c r="L274" s="1379"/>
      <c r="M274" s="1379"/>
      <c r="N274" s="1380"/>
      <c r="O274" s="1380"/>
      <c r="P274" s="1379"/>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1">
        <v>-87452</v>
      </c>
    </row>
    <row r="275" spans="1:50" ht="48" customHeight="1" x14ac:dyDescent="0.2">
      <c r="A275" s="1410" t="s">
        <v>3006</v>
      </c>
      <c r="B275" s="1411" t="s">
        <v>3287</v>
      </c>
      <c r="C275" s="1259" t="s">
        <v>3288</v>
      </c>
      <c r="D275" s="1110"/>
      <c r="E275" s="1110"/>
      <c r="F275" s="1110"/>
      <c r="G275" s="1110"/>
      <c r="H275" s="1110"/>
      <c r="I275" s="1379"/>
      <c r="J275" s="1379"/>
      <c r="K275" s="1379"/>
      <c r="L275" s="1379"/>
      <c r="M275" s="1379"/>
      <c r="N275" s="1380"/>
      <c r="O275" s="1380"/>
      <c r="P275" s="1379"/>
      <c r="Q275" s="1110"/>
      <c r="R275" s="1110"/>
      <c r="S275" s="1110"/>
      <c r="T275" s="1110"/>
      <c r="U275" s="1110"/>
      <c r="V275" s="1110"/>
      <c r="W275" s="1110"/>
      <c r="X275" s="1110"/>
      <c r="Y275" s="1110"/>
      <c r="Z275" s="1110"/>
      <c r="AA275" s="1110"/>
      <c r="AB275" s="1110"/>
      <c r="AC275" s="1110"/>
      <c r="AD275" s="1110"/>
      <c r="AE275" s="1110"/>
      <c r="AF275" s="1110"/>
      <c r="AG275" s="1110"/>
      <c r="AH275" s="1110"/>
      <c r="AI275" s="1110"/>
      <c r="AJ275" s="1110"/>
      <c r="AK275" s="1110"/>
      <c r="AL275" s="1110"/>
      <c r="AM275" s="1110"/>
      <c r="AN275" s="1110"/>
      <c r="AO275" s="1110"/>
      <c r="AP275" s="1110"/>
      <c r="AQ275" s="1110"/>
      <c r="AR275" s="1110"/>
      <c r="AS275" s="1110"/>
      <c r="AT275" s="1110">
        <v>-889000</v>
      </c>
      <c r="AU275" s="1110"/>
      <c r="AV275" s="1110"/>
      <c r="AW275" s="1110"/>
      <c r="AX275" s="1111"/>
    </row>
    <row r="276" spans="1:50" ht="48" customHeight="1" x14ac:dyDescent="0.2">
      <c r="A276" s="1410" t="s">
        <v>3012</v>
      </c>
      <c r="B276" s="1411" t="s">
        <v>3302</v>
      </c>
      <c r="C276" s="1259" t="s">
        <v>3303</v>
      </c>
      <c r="D276" s="1110"/>
      <c r="E276" s="1110"/>
      <c r="F276" s="1110"/>
      <c r="G276" s="1110"/>
      <c r="H276" s="1110"/>
      <c r="I276" s="1379"/>
      <c r="J276" s="1379"/>
      <c r="K276" s="1379"/>
      <c r="L276" s="1379"/>
      <c r="M276" s="1379"/>
      <c r="N276" s="1380"/>
      <c r="O276" s="1380"/>
      <c r="P276" s="1379"/>
      <c r="Q276" s="1110"/>
      <c r="R276" s="1110"/>
      <c r="S276" s="1110"/>
      <c r="T276" s="1110"/>
      <c r="U276" s="1110"/>
      <c r="V276" s="1110"/>
      <c r="W276" s="1110"/>
      <c r="X276" s="1110"/>
      <c r="Y276" s="1110"/>
      <c r="Z276" s="1110"/>
      <c r="AA276" s="1110"/>
      <c r="AB276" s="1110"/>
      <c r="AC276" s="1110"/>
      <c r="AD276" s="1110"/>
      <c r="AE276" s="1110"/>
      <c r="AF276" s="1110"/>
      <c r="AG276" s="1110"/>
      <c r="AH276" s="1110"/>
      <c r="AI276" s="1110"/>
      <c r="AJ276" s="1110"/>
      <c r="AK276" s="1110"/>
      <c r="AL276" s="1110"/>
      <c r="AM276" s="1110"/>
      <c r="AN276" s="1110"/>
      <c r="AO276" s="1110"/>
      <c r="AP276" s="1110"/>
      <c r="AQ276" s="1110">
        <v>4747000</v>
      </c>
      <c r="AR276" s="1110"/>
      <c r="AS276" s="1110"/>
      <c r="AT276" s="1110"/>
      <c r="AU276" s="1110"/>
      <c r="AV276" s="1110"/>
      <c r="AW276" s="1110"/>
      <c r="AX276" s="1111"/>
    </row>
    <row r="277" spans="1:50" ht="48" customHeight="1" x14ac:dyDescent="0.2">
      <c r="A277" s="1410" t="s">
        <v>3027</v>
      </c>
      <c r="B277" s="1411" t="s">
        <v>3305</v>
      </c>
      <c r="C277" s="1259" t="s">
        <v>3306</v>
      </c>
      <c r="D277" s="1110"/>
      <c r="E277" s="1110"/>
      <c r="F277" s="1110"/>
      <c r="G277" s="1110"/>
      <c r="H277" s="1110"/>
      <c r="I277" s="1379"/>
      <c r="J277" s="1379"/>
      <c r="K277" s="1379"/>
      <c r="L277" s="1379"/>
      <c r="M277" s="1379"/>
      <c r="N277" s="1380"/>
      <c r="O277" s="1380"/>
      <c r="P277" s="1379"/>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v>522522</v>
      </c>
      <c r="AS277" s="1110"/>
      <c r="AT277" s="1110"/>
      <c r="AU277" s="1110"/>
      <c r="AV277" s="1110"/>
      <c r="AW277" s="1110"/>
      <c r="AX277" s="1111"/>
    </row>
    <row r="278" spans="1:50" ht="64.5" customHeight="1" x14ac:dyDescent="0.2">
      <c r="A278" s="1410" t="s">
        <v>3029</v>
      </c>
      <c r="B278" s="1411" t="s">
        <v>3308</v>
      </c>
      <c r="C278" s="1259" t="s">
        <v>3310</v>
      </c>
      <c r="D278" s="1110"/>
      <c r="E278" s="1110"/>
      <c r="F278" s="1110"/>
      <c r="G278" s="1110"/>
      <c r="H278" s="1110"/>
      <c r="I278" s="1379"/>
      <c r="J278" s="1379"/>
      <c r="K278" s="1379"/>
      <c r="L278" s="1379"/>
      <c r="M278" s="1379"/>
      <c r="N278" s="1380"/>
      <c r="O278" s="1380"/>
      <c r="P278" s="1379"/>
      <c r="Q278" s="1110">
        <v>-22000000</v>
      </c>
      <c r="R278" s="1110"/>
      <c r="S278" s="1110"/>
      <c r="T278" s="1110"/>
      <c r="U278" s="1110"/>
      <c r="V278" s="1110"/>
      <c r="W278" s="1110"/>
      <c r="X278" s="1110"/>
      <c r="Y278" s="1110"/>
      <c r="Z278" s="1110"/>
      <c r="AA278" s="1110"/>
      <c r="AB278" s="1110"/>
      <c r="AC278" s="1110"/>
      <c r="AD278" s="1110"/>
      <c r="AE278" s="1110"/>
      <c r="AF278" s="1110"/>
      <c r="AG278" s="1110"/>
      <c r="AH278" s="1110"/>
      <c r="AI278" s="1110"/>
      <c r="AJ278" s="1110"/>
      <c r="AK278" s="1110"/>
      <c r="AL278" s="1110"/>
      <c r="AM278" s="1110"/>
      <c r="AN278" s="1110"/>
      <c r="AO278" s="1110"/>
      <c r="AP278" s="1110"/>
      <c r="AQ278" s="1110"/>
      <c r="AR278" s="1110"/>
      <c r="AS278" s="1110"/>
      <c r="AT278" s="1110"/>
      <c r="AU278" s="1110"/>
      <c r="AV278" s="1110"/>
      <c r="AW278" s="1110"/>
      <c r="AX278" s="1111"/>
    </row>
    <row r="279" spans="1:50" ht="64.5" customHeight="1" x14ac:dyDescent="0.2">
      <c r="A279" s="1410" t="s">
        <v>3031</v>
      </c>
      <c r="B279" s="1411" t="s">
        <v>3309</v>
      </c>
      <c r="C279" s="1259" t="s">
        <v>3311</v>
      </c>
      <c r="D279" s="1110"/>
      <c r="E279" s="1110"/>
      <c r="F279" s="1110"/>
      <c r="G279" s="1110"/>
      <c r="H279" s="1110"/>
      <c r="I279" s="1379"/>
      <c r="J279" s="1379"/>
      <c r="K279" s="1379"/>
      <c r="L279" s="1379"/>
      <c r="M279" s="1379"/>
      <c r="N279" s="1380"/>
      <c r="O279" s="1380"/>
      <c r="P279" s="1379"/>
      <c r="Q279" s="1110"/>
      <c r="R279" s="1110"/>
      <c r="S279" s="1110"/>
      <c r="T279" s="1110"/>
      <c r="U279" s="1110"/>
      <c r="V279" s="1110"/>
      <c r="W279" s="1110"/>
      <c r="X279" s="1110"/>
      <c r="Y279" s="1110"/>
      <c r="Z279" s="1110"/>
      <c r="AA279" s="1110"/>
      <c r="AB279" s="1110"/>
      <c r="AC279" s="1110"/>
      <c r="AD279" s="1110"/>
      <c r="AE279" s="1110"/>
      <c r="AF279" s="1110"/>
      <c r="AG279" s="1110">
        <v>-6000000</v>
      </c>
      <c r="AH279" s="1110"/>
      <c r="AI279" s="1110"/>
      <c r="AJ279" s="1110"/>
      <c r="AK279" s="1110"/>
      <c r="AL279" s="1110"/>
      <c r="AM279" s="1110"/>
      <c r="AN279" s="1110"/>
      <c r="AO279" s="1110"/>
      <c r="AP279" s="1110"/>
      <c r="AQ279" s="1110"/>
      <c r="AR279" s="1110"/>
      <c r="AS279" s="1110"/>
      <c r="AT279" s="1110"/>
      <c r="AU279" s="1110"/>
      <c r="AV279" s="1110"/>
      <c r="AW279" s="1110"/>
      <c r="AX279" s="1111"/>
    </row>
    <row r="280" spans="1:50" ht="64.5" customHeight="1" x14ac:dyDescent="0.2">
      <c r="A280" s="1410" t="s">
        <v>3033</v>
      </c>
      <c r="B280" s="1411" t="s">
        <v>3313</v>
      </c>
      <c r="C280" s="1259" t="s">
        <v>3314</v>
      </c>
      <c r="D280" s="1110"/>
      <c r="E280" s="1110"/>
      <c r="F280" s="1110"/>
      <c r="G280" s="1110"/>
      <c r="H280" s="1110"/>
      <c r="I280" s="1379"/>
      <c r="J280" s="1379"/>
      <c r="K280" s="1379"/>
      <c r="L280" s="1379"/>
      <c r="M280" s="1379"/>
      <c r="N280" s="1380"/>
      <c r="O280" s="1380"/>
      <c r="P280" s="1379"/>
      <c r="Q280" s="1110"/>
      <c r="R280" s="1110"/>
      <c r="S280" s="1110"/>
      <c r="T280" s="1110"/>
      <c r="U280" s="1110"/>
      <c r="V280" s="1110"/>
      <c r="W280" s="1110"/>
      <c r="X280" s="1110"/>
      <c r="Y280" s="1110"/>
      <c r="Z280" s="1110"/>
      <c r="AA280" s="1110"/>
      <c r="AB280" s="1110"/>
      <c r="AC280" s="1110"/>
      <c r="AD280" s="1110"/>
      <c r="AE280" s="1110"/>
      <c r="AF280" s="1110"/>
      <c r="AG280" s="1110">
        <v>-28000000</v>
      </c>
      <c r="AH280" s="1110"/>
      <c r="AI280" s="1110"/>
      <c r="AJ280" s="1110"/>
      <c r="AK280" s="1110"/>
      <c r="AL280" s="1110"/>
      <c r="AM280" s="1110"/>
      <c r="AN280" s="1110"/>
      <c r="AO280" s="1110"/>
      <c r="AP280" s="1110"/>
      <c r="AQ280" s="1110"/>
      <c r="AR280" s="1110"/>
      <c r="AS280" s="1110"/>
      <c r="AT280" s="1110"/>
      <c r="AU280" s="1110"/>
      <c r="AV280" s="1110"/>
      <c r="AW280" s="1110"/>
      <c r="AX280" s="1111"/>
    </row>
    <row r="281" spans="1:50" ht="60.75" customHeight="1" x14ac:dyDescent="0.2">
      <c r="A281" s="1410" t="s">
        <v>3042</v>
      </c>
      <c r="B281" s="1411" t="s">
        <v>3320</v>
      </c>
      <c r="C281" s="1584" t="s">
        <v>3321</v>
      </c>
      <c r="D281" s="1110"/>
      <c r="E281" s="1110"/>
      <c r="F281" s="1110"/>
      <c r="G281" s="1110"/>
      <c r="H281" s="1110"/>
      <c r="I281" s="1379"/>
      <c r="J281" s="1379"/>
      <c r="K281" s="1379"/>
      <c r="L281" s="1379"/>
      <c r="M281" s="1379"/>
      <c r="N281" s="1380"/>
      <c r="O281" s="1380"/>
      <c r="P281" s="1379"/>
      <c r="Q281" s="1110">
        <v>-868680</v>
      </c>
      <c r="R281" s="1110"/>
      <c r="S281" s="1110"/>
      <c r="T281" s="1110"/>
      <c r="U281" s="1110"/>
      <c r="V281" s="1110"/>
      <c r="W281" s="1110"/>
      <c r="X281" s="1110"/>
      <c r="Y281" s="1110"/>
      <c r="Z281" s="1110"/>
      <c r="AA281" s="1110"/>
      <c r="AB281" s="1110"/>
      <c r="AC281" s="1110"/>
      <c r="AD281" s="1110"/>
      <c r="AE281" s="1110"/>
      <c r="AF281" s="1110"/>
      <c r="AG281" s="1110"/>
      <c r="AH281" s="1110"/>
      <c r="AI281" s="1110"/>
      <c r="AJ281" s="1110"/>
      <c r="AK281" s="1110"/>
      <c r="AL281" s="1110"/>
      <c r="AM281" s="1110"/>
      <c r="AN281" s="1110"/>
      <c r="AO281" s="1110"/>
      <c r="AP281" s="1110"/>
      <c r="AQ281" s="1110"/>
      <c r="AR281" s="1110"/>
      <c r="AS281" s="1110"/>
      <c r="AT281" s="1110"/>
      <c r="AU281" s="1110"/>
      <c r="AV281" s="1110"/>
      <c r="AW281" s="1110"/>
      <c r="AX281" s="1111"/>
    </row>
    <row r="282" spans="1:50" ht="48" customHeight="1" x14ac:dyDescent="0.2">
      <c r="A282" s="1410" t="s">
        <v>3046</v>
      </c>
      <c r="B282" s="1411" t="s">
        <v>3324</v>
      </c>
      <c r="C282" s="1259" t="s">
        <v>3325</v>
      </c>
      <c r="D282" s="1110"/>
      <c r="E282" s="1110"/>
      <c r="F282" s="1110"/>
      <c r="G282" s="1110"/>
      <c r="H282" s="1110"/>
      <c r="I282" s="1379"/>
      <c r="J282" s="1379"/>
      <c r="K282" s="1379"/>
      <c r="L282" s="1379"/>
      <c r="M282" s="1379"/>
      <c r="N282" s="1380"/>
      <c r="O282" s="1380"/>
      <c r="P282" s="1379"/>
      <c r="Q282" s="1110">
        <v>-381000</v>
      </c>
      <c r="R282" s="1110"/>
      <c r="S282" s="1110"/>
      <c r="T282" s="1110"/>
      <c r="U282" s="1110"/>
      <c r="V282" s="1110"/>
      <c r="W282" s="1110"/>
      <c r="X282" s="1110"/>
      <c r="Y282" s="1110"/>
      <c r="Z282" s="1110"/>
      <c r="AA282" s="1110"/>
      <c r="AB282" s="1110"/>
      <c r="AC282" s="1110"/>
      <c r="AD282" s="1110"/>
      <c r="AE282" s="1110"/>
      <c r="AF282" s="1110"/>
      <c r="AG282" s="1110"/>
      <c r="AH282" s="1110"/>
      <c r="AI282" s="1110"/>
      <c r="AJ282" s="1110"/>
      <c r="AK282" s="1110"/>
      <c r="AL282" s="1110"/>
      <c r="AM282" s="1110"/>
      <c r="AN282" s="1110"/>
      <c r="AO282" s="1110"/>
      <c r="AP282" s="1110"/>
      <c r="AQ282" s="1110"/>
      <c r="AR282" s="1110"/>
      <c r="AS282" s="1110"/>
      <c r="AT282" s="1110"/>
      <c r="AU282" s="1110"/>
      <c r="AV282" s="1110"/>
      <c r="AW282" s="1110"/>
      <c r="AX282" s="1111"/>
    </row>
    <row r="283" spans="1:50" ht="39" customHeight="1" x14ac:dyDescent="0.2">
      <c r="A283" s="1410" t="s">
        <v>3050</v>
      </c>
      <c r="B283" s="1411" t="s">
        <v>3328</v>
      </c>
      <c r="C283" s="1259" t="s">
        <v>3152</v>
      </c>
      <c r="D283" s="1110"/>
      <c r="E283" s="1110"/>
      <c r="F283" s="1110"/>
      <c r="G283" s="1110"/>
      <c r="H283" s="1110"/>
      <c r="I283" s="1379"/>
      <c r="J283" s="1379"/>
      <c r="K283" s="1379"/>
      <c r="L283" s="1379"/>
      <c r="M283" s="1379"/>
      <c r="N283" s="1380"/>
      <c r="O283" s="1380"/>
      <c r="P283" s="1379"/>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v>103000000</v>
      </c>
      <c r="AR283" s="1110"/>
      <c r="AS283" s="1110"/>
      <c r="AT283" s="1110"/>
      <c r="AU283" s="1110"/>
      <c r="AV283" s="1110"/>
      <c r="AW283" s="1110"/>
      <c r="AX283" s="1111"/>
    </row>
    <row r="284" spans="1:50" ht="77.25" customHeight="1" x14ac:dyDescent="0.2">
      <c r="A284" s="1410" t="s">
        <v>3052</v>
      </c>
      <c r="B284" s="1411" t="s">
        <v>3329</v>
      </c>
      <c r="C284" s="1259" t="s">
        <v>3330</v>
      </c>
      <c r="D284" s="1110"/>
      <c r="E284" s="1110"/>
      <c r="F284" s="1110"/>
      <c r="G284" s="1110"/>
      <c r="H284" s="1110"/>
      <c r="I284" s="1379"/>
      <c r="J284" s="1379"/>
      <c r="K284" s="1379"/>
      <c r="L284" s="1379"/>
      <c r="M284" s="1379"/>
      <c r="N284" s="1380"/>
      <c r="O284" s="1380"/>
      <c r="P284" s="1379"/>
      <c r="Q284" s="1110"/>
      <c r="R284" s="1110"/>
      <c r="S284" s="1110"/>
      <c r="T284" s="1110"/>
      <c r="U284" s="1110"/>
      <c r="V284" s="1110"/>
      <c r="W284" s="1110"/>
      <c r="X284" s="1110"/>
      <c r="Y284" s="1110"/>
      <c r="Z284" s="1110"/>
      <c r="AA284" s="1110"/>
      <c r="AB284" s="1110"/>
      <c r="AC284" s="1110"/>
      <c r="AD284" s="1110"/>
      <c r="AE284" s="1110"/>
      <c r="AF284" s="1110"/>
      <c r="AG284" s="1110"/>
      <c r="AH284" s="1110"/>
      <c r="AI284" s="1110">
        <v>-100000</v>
      </c>
      <c r="AJ284" s="1110"/>
      <c r="AK284" s="1110"/>
      <c r="AL284" s="1110"/>
      <c r="AM284" s="1110"/>
      <c r="AN284" s="1110"/>
      <c r="AO284" s="1110"/>
      <c r="AP284" s="1110"/>
      <c r="AQ284" s="1110"/>
      <c r="AR284" s="1110"/>
      <c r="AS284" s="1110"/>
      <c r="AT284" s="1110"/>
      <c r="AU284" s="1110"/>
      <c r="AV284" s="1110"/>
      <c r="AW284" s="1110"/>
      <c r="AX284" s="1111"/>
    </row>
    <row r="285" spans="1:50" ht="33.75" customHeight="1" x14ac:dyDescent="0.2">
      <c r="A285" s="1410" t="s">
        <v>3058</v>
      </c>
      <c r="B285" s="1411" t="s">
        <v>3341</v>
      </c>
      <c r="C285" s="1259" t="s">
        <v>2815</v>
      </c>
      <c r="D285" s="1110"/>
      <c r="E285" s="1110"/>
      <c r="F285" s="1110"/>
      <c r="G285" s="1110"/>
      <c r="H285" s="1110"/>
      <c r="I285" s="1379"/>
      <c r="J285" s="1379"/>
      <c r="K285" s="1379"/>
      <c r="L285" s="1379"/>
      <c r="M285" s="1379"/>
      <c r="N285" s="1380"/>
      <c r="O285" s="1380"/>
      <c r="P285" s="1379"/>
      <c r="Q285" s="1110"/>
      <c r="R285" s="1110"/>
      <c r="S285" s="1110"/>
      <c r="T285" s="1110"/>
      <c r="U285" s="1110"/>
      <c r="V285" s="1110"/>
      <c r="W285" s="1110"/>
      <c r="X285" s="1110"/>
      <c r="Y285" s="1110"/>
      <c r="Z285" s="1110"/>
      <c r="AA285" s="1110"/>
      <c r="AB285" s="1110"/>
      <c r="AC285" s="1110"/>
      <c r="AD285" s="1110"/>
      <c r="AE285" s="1110"/>
      <c r="AF285" s="1110"/>
      <c r="AG285" s="1110"/>
      <c r="AH285" s="1110"/>
      <c r="AI285" s="1110"/>
      <c r="AJ285" s="1110"/>
      <c r="AK285" s="1110"/>
      <c r="AL285" s="1110"/>
      <c r="AM285" s="1110"/>
      <c r="AN285" s="1110"/>
      <c r="AO285" s="1110"/>
      <c r="AP285" s="1110"/>
      <c r="AQ285" s="1110"/>
      <c r="AR285" s="1110"/>
      <c r="AS285" s="1110"/>
      <c r="AT285" s="1110">
        <v>2198356</v>
      </c>
      <c r="AU285" s="1110"/>
      <c r="AV285" s="1110"/>
      <c r="AW285" s="1110"/>
      <c r="AX285" s="1111"/>
    </row>
    <row r="286" spans="1:50" ht="48" customHeight="1" x14ac:dyDescent="0.2">
      <c r="A286" s="1410" t="s">
        <v>3064</v>
      </c>
      <c r="B286" s="1411" t="s">
        <v>3344</v>
      </c>
      <c r="C286" s="1259" t="s">
        <v>3345</v>
      </c>
      <c r="D286" s="1110"/>
      <c r="E286" s="1110"/>
      <c r="F286" s="1110"/>
      <c r="G286" s="1110"/>
      <c r="H286" s="1110"/>
      <c r="I286" s="1379"/>
      <c r="J286" s="1379"/>
      <c r="K286" s="1379"/>
      <c r="L286" s="1379"/>
      <c r="M286" s="1379"/>
      <c r="N286" s="1380"/>
      <c r="O286" s="1380"/>
      <c r="P286" s="1379"/>
      <c r="Q286" s="1110">
        <v>-348099</v>
      </c>
      <c r="R286" s="1110"/>
      <c r="S286" s="1110"/>
      <c r="T286" s="1110"/>
      <c r="U286" s="1110"/>
      <c r="V286" s="1110"/>
      <c r="W286" s="1110"/>
      <c r="X286" s="1110"/>
      <c r="Y286" s="1110"/>
      <c r="Z286" s="1110"/>
      <c r="AA286" s="1110"/>
      <c r="AB286" s="1110"/>
      <c r="AC286" s="1110"/>
      <c r="AD286" s="1110"/>
      <c r="AE286" s="1110"/>
      <c r="AF286" s="1110"/>
      <c r="AG286" s="1110"/>
      <c r="AH286" s="1110"/>
      <c r="AI286" s="1110"/>
      <c r="AJ286" s="1110"/>
      <c r="AK286" s="1110"/>
      <c r="AL286" s="1110"/>
      <c r="AM286" s="1110"/>
      <c r="AN286" s="1110"/>
      <c r="AO286" s="1110"/>
      <c r="AP286" s="1110"/>
      <c r="AQ286" s="1110"/>
      <c r="AR286" s="1110"/>
      <c r="AS286" s="1110"/>
      <c r="AT286" s="1110"/>
      <c r="AU286" s="1110"/>
      <c r="AV286" s="1110"/>
      <c r="AW286" s="1110"/>
      <c r="AX286" s="1111"/>
    </row>
    <row r="287" spans="1:50" ht="48" customHeight="1" x14ac:dyDescent="0.2">
      <c r="A287" s="1410" t="s">
        <v>3066</v>
      </c>
      <c r="B287" s="1411" t="s">
        <v>3348</v>
      </c>
      <c r="C287" s="1259" t="s">
        <v>3349</v>
      </c>
      <c r="D287" s="1110"/>
      <c r="E287" s="1110"/>
      <c r="F287" s="1110"/>
      <c r="G287" s="1110"/>
      <c r="H287" s="1110"/>
      <c r="I287" s="1379"/>
      <c r="J287" s="1379"/>
      <c r="K287" s="1379"/>
      <c r="L287" s="1379"/>
      <c r="M287" s="1379"/>
      <c r="N287" s="1380"/>
      <c r="O287" s="1380"/>
      <c r="P287" s="1379"/>
      <c r="Q287" s="1110">
        <v>-138400</v>
      </c>
      <c r="R287" s="1110"/>
      <c r="S287" s="1110"/>
      <c r="T287" s="1110"/>
      <c r="U287" s="1110"/>
      <c r="V287" s="1110"/>
      <c r="W287" s="1110"/>
      <c r="X287" s="1110"/>
      <c r="Y287" s="1110"/>
      <c r="Z287" s="1110"/>
      <c r="AA287" s="1110"/>
      <c r="AB287" s="1110"/>
      <c r="AC287" s="1110"/>
      <c r="AD287" s="1110"/>
      <c r="AE287" s="1110"/>
      <c r="AF287" s="1110"/>
      <c r="AG287" s="1110"/>
      <c r="AH287" s="1110"/>
      <c r="AI287" s="1110"/>
      <c r="AJ287" s="1110"/>
      <c r="AK287" s="1110"/>
      <c r="AL287" s="1110"/>
      <c r="AM287" s="1110"/>
      <c r="AN287" s="1110"/>
      <c r="AO287" s="1110"/>
      <c r="AP287" s="1110"/>
      <c r="AQ287" s="1110"/>
      <c r="AR287" s="1110"/>
      <c r="AS287" s="1110"/>
      <c r="AT287" s="1110"/>
      <c r="AU287" s="1110"/>
      <c r="AV287" s="1110"/>
      <c r="AW287" s="1110"/>
      <c r="AX287" s="1111"/>
    </row>
    <row r="288" spans="1:50" ht="60.75" customHeight="1" x14ac:dyDescent="0.2">
      <c r="A288" s="1410" t="s">
        <v>3069</v>
      </c>
      <c r="B288" s="1411" t="s">
        <v>3350</v>
      </c>
      <c r="C288" s="1259" t="s">
        <v>3351</v>
      </c>
      <c r="D288" s="1110"/>
      <c r="E288" s="1110"/>
      <c r="F288" s="1110"/>
      <c r="G288" s="1110"/>
      <c r="H288" s="1110"/>
      <c r="I288" s="1379"/>
      <c r="J288" s="1379"/>
      <c r="K288" s="1379"/>
      <c r="L288" s="1379"/>
      <c r="M288" s="1379"/>
      <c r="N288" s="1380"/>
      <c r="O288" s="1380"/>
      <c r="P288" s="1379"/>
      <c r="Q288" s="1110">
        <v>-427500</v>
      </c>
      <c r="R288" s="1110"/>
      <c r="S288" s="1110"/>
      <c r="T288" s="1110"/>
      <c r="U288" s="1110"/>
      <c r="V288" s="1110"/>
      <c r="W288" s="1110"/>
      <c r="X288" s="1110"/>
      <c r="Y288" s="1110"/>
      <c r="Z288" s="1110"/>
      <c r="AA288" s="1110"/>
      <c r="AB288" s="1110"/>
      <c r="AC288" s="1110"/>
      <c r="AD288" s="1110"/>
      <c r="AE288" s="1110"/>
      <c r="AF288" s="1110"/>
      <c r="AG288" s="1110"/>
      <c r="AH288" s="1110"/>
      <c r="AI288" s="1110"/>
      <c r="AJ288" s="1110"/>
      <c r="AK288" s="1110"/>
      <c r="AL288" s="1110"/>
      <c r="AM288" s="1110"/>
      <c r="AN288" s="1110"/>
      <c r="AO288" s="1110"/>
      <c r="AP288" s="1110"/>
      <c r="AQ288" s="1110"/>
      <c r="AR288" s="1110"/>
      <c r="AS288" s="1110"/>
      <c r="AT288" s="1110"/>
      <c r="AU288" s="1110"/>
      <c r="AV288" s="1110"/>
      <c r="AW288" s="1110"/>
      <c r="AX288" s="1111"/>
    </row>
    <row r="289" spans="1:50" ht="48" customHeight="1" x14ac:dyDescent="0.2">
      <c r="A289" s="1410" t="s">
        <v>3071</v>
      </c>
      <c r="B289" s="1411" t="s">
        <v>3353</v>
      </c>
      <c r="C289" s="1259" t="s">
        <v>3354</v>
      </c>
      <c r="D289" s="1110"/>
      <c r="E289" s="1110"/>
      <c r="F289" s="1110"/>
      <c r="G289" s="1110"/>
      <c r="H289" s="1110"/>
      <c r="I289" s="1379"/>
      <c r="J289" s="1379"/>
      <c r="K289" s="1379"/>
      <c r="L289" s="1379"/>
      <c r="M289" s="1379"/>
      <c r="N289" s="1380"/>
      <c r="O289" s="1380"/>
      <c r="P289" s="1379"/>
      <c r="Q289" s="1110">
        <v>-65000</v>
      </c>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1"/>
    </row>
    <row r="290" spans="1:50" ht="42" customHeight="1" x14ac:dyDescent="0.2">
      <c r="A290" s="1410" t="s">
        <v>3073</v>
      </c>
      <c r="B290" s="1411" t="s">
        <v>3355</v>
      </c>
      <c r="C290" s="1259" t="s">
        <v>3356</v>
      </c>
      <c r="D290" s="1110"/>
      <c r="E290" s="1110"/>
      <c r="F290" s="1110"/>
      <c r="G290" s="1110"/>
      <c r="H290" s="1110"/>
      <c r="I290" s="1379"/>
      <c r="J290" s="1379"/>
      <c r="K290" s="1379"/>
      <c r="L290" s="1379"/>
      <c r="M290" s="1379"/>
      <c r="N290" s="1380"/>
      <c r="O290" s="1380"/>
      <c r="P290" s="1379"/>
      <c r="Q290" s="1110"/>
      <c r="R290" s="1110"/>
      <c r="S290" s="1110"/>
      <c r="T290" s="1110"/>
      <c r="U290" s="1110"/>
      <c r="V290" s="1110"/>
      <c r="W290" s="1110"/>
      <c r="X290" s="1110"/>
      <c r="Y290" s="1110"/>
      <c r="Z290" s="1110"/>
      <c r="AA290" s="1110"/>
      <c r="AB290" s="1110"/>
      <c r="AC290" s="1110"/>
      <c r="AD290" s="1110"/>
      <c r="AE290" s="1110"/>
      <c r="AF290" s="1110"/>
      <c r="AG290" s="1110"/>
      <c r="AH290" s="1110"/>
      <c r="AI290" s="1110"/>
      <c r="AJ290" s="1110"/>
      <c r="AK290" s="1110"/>
      <c r="AL290" s="1110"/>
      <c r="AM290" s="1110"/>
      <c r="AN290" s="1110"/>
      <c r="AO290" s="1110"/>
      <c r="AP290" s="1110"/>
      <c r="AQ290" s="1110"/>
      <c r="AR290" s="1110"/>
      <c r="AS290" s="1110"/>
      <c r="AT290" s="1110">
        <v>173321</v>
      </c>
      <c r="AU290" s="1110"/>
      <c r="AV290" s="1110"/>
      <c r="AW290" s="1110"/>
      <c r="AX290" s="1111"/>
    </row>
    <row r="291" spans="1:50" ht="63" customHeight="1" x14ac:dyDescent="0.2">
      <c r="A291" s="1410" t="s">
        <v>3075</v>
      </c>
      <c r="B291" s="1411" t="s">
        <v>3362</v>
      </c>
      <c r="C291" s="1259" t="s">
        <v>3363</v>
      </c>
      <c r="D291" s="1110"/>
      <c r="E291" s="1110"/>
      <c r="F291" s="1110"/>
      <c r="G291" s="1110"/>
      <c r="H291" s="1110"/>
      <c r="I291" s="1379"/>
      <c r="J291" s="1379"/>
      <c r="K291" s="1379"/>
      <c r="L291" s="1379"/>
      <c r="M291" s="1379"/>
      <c r="N291" s="1380"/>
      <c r="O291" s="1380"/>
      <c r="P291" s="1379"/>
      <c r="Q291" s="1110"/>
      <c r="R291" s="1110"/>
      <c r="S291" s="1110"/>
      <c r="T291" s="1110"/>
      <c r="U291" s="1110"/>
      <c r="V291" s="1110"/>
      <c r="W291" s="1110"/>
      <c r="X291" s="1110"/>
      <c r="Y291" s="1110">
        <v>2325296</v>
      </c>
      <c r="Z291" s="1110"/>
      <c r="AA291" s="1110"/>
      <c r="AB291" s="1110"/>
      <c r="AC291" s="1110"/>
      <c r="AD291" s="1110"/>
      <c r="AE291" s="1110"/>
      <c r="AF291" s="1110"/>
      <c r="AG291" s="1110"/>
      <c r="AH291" s="1110"/>
      <c r="AI291" s="1110"/>
      <c r="AJ291" s="1110"/>
      <c r="AK291" s="1110"/>
      <c r="AL291" s="1110"/>
      <c r="AM291" s="1110"/>
      <c r="AN291" s="1110"/>
      <c r="AO291" s="1110"/>
      <c r="AP291" s="1110"/>
      <c r="AQ291" s="1110"/>
      <c r="AR291" s="1110"/>
      <c r="AS291" s="1110"/>
      <c r="AT291" s="1110"/>
      <c r="AU291" s="1110"/>
      <c r="AV291" s="1110"/>
      <c r="AW291" s="1110"/>
      <c r="AX291" s="1111"/>
    </row>
    <row r="292" spans="1:50" ht="53.25" customHeight="1" x14ac:dyDescent="0.2">
      <c r="A292" s="1410" t="s">
        <v>3084</v>
      </c>
      <c r="B292" s="1411" t="s">
        <v>3378</v>
      </c>
      <c r="C292" s="1259" t="s">
        <v>3379</v>
      </c>
      <c r="D292" s="1110"/>
      <c r="E292" s="1110"/>
      <c r="F292" s="1110"/>
      <c r="G292" s="1110"/>
      <c r="H292" s="1110"/>
      <c r="I292" s="1379"/>
      <c r="J292" s="1379"/>
      <c r="K292" s="1379"/>
      <c r="L292" s="1379"/>
      <c r="M292" s="1379"/>
      <c r="N292" s="1380"/>
      <c r="O292" s="1380"/>
      <c r="P292" s="1379"/>
      <c r="Q292" s="1110">
        <v>-396875</v>
      </c>
      <c r="R292" s="1110"/>
      <c r="S292" s="1110"/>
      <c r="T292" s="1110"/>
      <c r="U292" s="1110"/>
      <c r="V292" s="1110"/>
      <c r="W292" s="1110"/>
      <c r="X292" s="1110"/>
      <c r="Y292" s="1110"/>
      <c r="Z292" s="1110"/>
      <c r="AA292" s="1110"/>
      <c r="AB292" s="1110"/>
      <c r="AC292" s="1110"/>
      <c r="AD292" s="1110"/>
      <c r="AE292" s="1110"/>
      <c r="AF292" s="1110"/>
      <c r="AG292" s="1110"/>
      <c r="AH292" s="1110"/>
      <c r="AI292" s="1110"/>
      <c r="AJ292" s="1110"/>
      <c r="AK292" s="1110"/>
      <c r="AL292" s="1110"/>
      <c r="AM292" s="1110"/>
      <c r="AN292" s="1110"/>
      <c r="AO292" s="1110"/>
      <c r="AP292" s="1110"/>
      <c r="AQ292" s="1110"/>
      <c r="AR292" s="1110"/>
      <c r="AS292" s="1110"/>
      <c r="AT292" s="1110"/>
      <c r="AU292" s="1110"/>
      <c r="AV292" s="1110"/>
      <c r="AW292" s="1110"/>
      <c r="AX292" s="1111"/>
    </row>
    <row r="293" spans="1:50" ht="51" customHeight="1" x14ac:dyDescent="0.2">
      <c r="A293" s="1410" t="s">
        <v>3087</v>
      </c>
      <c r="B293" s="1537" t="s">
        <v>3384</v>
      </c>
      <c r="C293" s="1259" t="s">
        <v>3383</v>
      </c>
      <c r="D293" s="1110"/>
      <c r="E293" s="1110"/>
      <c r="F293" s="1110"/>
      <c r="G293" s="1110"/>
      <c r="H293" s="1110"/>
      <c r="I293" s="1379"/>
      <c r="J293" s="1379"/>
      <c r="K293" s="1379"/>
      <c r="L293" s="1379"/>
      <c r="M293" s="1379"/>
      <c r="N293" s="1380"/>
      <c r="O293" s="1380"/>
      <c r="P293" s="1379"/>
      <c r="Q293" s="1110">
        <v>-300000</v>
      </c>
      <c r="R293" s="1110"/>
      <c r="S293" s="1110"/>
      <c r="T293" s="1110"/>
      <c r="U293" s="1110"/>
      <c r="V293" s="1110"/>
      <c r="W293" s="1110"/>
      <c r="X293" s="1110"/>
      <c r="Y293" s="1110"/>
      <c r="Z293" s="1110"/>
      <c r="AA293" s="1110"/>
      <c r="AB293" s="1110"/>
      <c r="AC293" s="1110"/>
      <c r="AD293" s="1110"/>
      <c r="AE293" s="1110"/>
      <c r="AF293" s="1110"/>
      <c r="AG293" s="1110"/>
      <c r="AH293" s="1110"/>
      <c r="AI293" s="1110"/>
      <c r="AJ293" s="1110"/>
      <c r="AK293" s="1110"/>
      <c r="AL293" s="1110"/>
      <c r="AM293" s="1110"/>
      <c r="AN293" s="1110"/>
      <c r="AO293" s="1110"/>
      <c r="AP293" s="1110"/>
      <c r="AQ293" s="1110"/>
      <c r="AR293" s="1110"/>
      <c r="AS293" s="1110"/>
      <c r="AT293" s="1110"/>
      <c r="AU293" s="1110"/>
      <c r="AV293" s="1110"/>
      <c r="AW293" s="1110"/>
      <c r="AX293" s="1111"/>
    </row>
    <row r="294" spans="1:50" ht="49.5" customHeight="1" x14ac:dyDescent="0.2">
      <c r="A294" s="1410" t="s">
        <v>3089</v>
      </c>
      <c r="B294" s="1411" t="s">
        <v>3385</v>
      </c>
      <c r="C294" s="1259" t="s">
        <v>3386</v>
      </c>
      <c r="D294" s="1110"/>
      <c r="E294" s="1110"/>
      <c r="F294" s="1110"/>
      <c r="G294" s="1110"/>
      <c r="H294" s="1110"/>
      <c r="I294" s="1379"/>
      <c r="J294" s="1379"/>
      <c r="K294" s="1379"/>
      <c r="L294" s="1379"/>
      <c r="M294" s="1379"/>
      <c r="N294" s="1380"/>
      <c r="O294" s="1380"/>
      <c r="P294" s="1379"/>
      <c r="Q294" s="1110">
        <v>-2286000</v>
      </c>
      <c r="R294" s="1110"/>
      <c r="S294" s="1110"/>
      <c r="T294" s="1110"/>
      <c r="U294" s="1110"/>
      <c r="V294" s="1110"/>
      <c r="W294" s="1110"/>
      <c r="X294" s="1110"/>
      <c r="Y294" s="1110"/>
      <c r="Z294" s="1110"/>
      <c r="AA294" s="1110"/>
      <c r="AB294" s="1110"/>
      <c r="AC294" s="1110"/>
      <c r="AD294" s="1110"/>
      <c r="AE294" s="1110"/>
      <c r="AF294" s="1110"/>
      <c r="AG294" s="1110"/>
      <c r="AH294" s="1110"/>
      <c r="AI294" s="1110"/>
      <c r="AJ294" s="1110"/>
      <c r="AK294" s="1110"/>
      <c r="AL294" s="1110"/>
      <c r="AM294" s="1110"/>
      <c r="AN294" s="1110"/>
      <c r="AO294" s="1110"/>
      <c r="AP294" s="1110"/>
      <c r="AQ294" s="1110"/>
      <c r="AR294" s="1110"/>
      <c r="AS294" s="1110"/>
      <c r="AT294" s="1110"/>
      <c r="AU294" s="1110"/>
      <c r="AV294" s="1110"/>
      <c r="AW294" s="1110"/>
      <c r="AX294" s="1111"/>
    </row>
    <row r="295" spans="1:50" ht="60" customHeight="1" x14ac:dyDescent="0.2">
      <c r="A295" s="1410" t="s">
        <v>3091</v>
      </c>
      <c r="B295" s="1411" t="s">
        <v>194</v>
      </c>
      <c r="C295" s="1259" t="s">
        <v>3387</v>
      </c>
      <c r="D295" s="1110"/>
      <c r="E295" s="1110"/>
      <c r="F295" s="1110"/>
      <c r="G295" s="1110"/>
      <c r="H295" s="1110"/>
      <c r="I295" s="1379"/>
      <c r="J295" s="1379"/>
      <c r="K295" s="1379"/>
      <c r="L295" s="1379"/>
      <c r="M295" s="1379"/>
      <c r="N295" s="1380"/>
      <c r="O295" s="1380"/>
      <c r="P295" s="1379"/>
      <c r="Q295" s="1110">
        <v>-100000</v>
      </c>
      <c r="R295" s="1110"/>
      <c r="S295" s="1110"/>
      <c r="T295" s="1110"/>
      <c r="U295" s="1110"/>
      <c r="V295" s="1110"/>
      <c r="W295" s="1110"/>
      <c r="X295" s="1110"/>
      <c r="Y295" s="1110"/>
      <c r="Z295" s="1110"/>
      <c r="AA295" s="1110"/>
      <c r="AB295" s="1110"/>
      <c r="AC295" s="1110"/>
      <c r="AD295" s="1110"/>
      <c r="AE295" s="1110"/>
      <c r="AF295" s="1110"/>
      <c r="AG295" s="1110"/>
      <c r="AH295" s="1110"/>
      <c r="AI295" s="1110"/>
      <c r="AJ295" s="1110"/>
      <c r="AK295" s="1110"/>
      <c r="AL295" s="1110"/>
      <c r="AM295" s="1110"/>
      <c r="AN295" s="1110"/>
      <c r="AO295" s="1110"/>
      <c r="AP295" s="1110"/>
      <c r="AQ295" s="1110"/>
      <c r="AR295" s="1110"/>
      <c r="AS295" s="1110"/>
      <c r="AT295" s="1110"/>
      <c r="AU295" s="1110"/>
      <c r="AV295" s="1110"/>
      <c r="AW295" s="1110"/>
      <c r="AX295" s="1111"/>
    </row>
    <row r="296" spans="1:50" ht="48" customHeight="1" x14ac:dyDescent="0.2">
      <c r="A296" s="1410" t="s">
        <v>3093</v>
      </c>
      <c r="B296" s="1411" t="s">
        <v>195</v>
      </c>
      <c r="C296" s="1259" t="s">
        <v>3388</v>
      </c>
      <c r="D296" s="1110"/>
      <c r="E296" s="1110"/>
      <c r="F296" s="1110"/>
      <c r="G296" s="1110"/>
      <c r="H296" s="1110"/>
      <c r="I296" s="1379"/>
      <c r="J296" s="1379"/>
      <c r="K296" s="1379"/>
      <c r="L296" s="1379"/>
      <c r="M296" s="1379"/>
      <c r="N296" s="1380"/>
      <c r="O296" s="1380"/>
      <c r="P296" s="1379"/>
      <c r="Q296" s="1110"/>
      <c r="R296" s="1110"/>
      <c r="S296" s="1110"/>
      <c r="T296" s="1110"/>
      <c r="U296" s="1110"/>
      <c r="V296" s="1110"/>
      <c r="W296" s="1110"/>
      <c r="X296" s="1110"/>
      <c r="Y296" s="1110"/>
      <c r="Z296" s="1110"/>
      <c r="AA296" s="1110"/>
      <c r="AB296" s="1110"/>
      <c r="AC296" s="1110"/>
      <c r="AD296" s="1110"/>
      <c r="AE296" s="1110"/>
      <c r="AF296" s="1110"/>
      <c r="AG296" s="1110"/>
      <c r="AH296" s="1110"/>
      <c r="AI296" s="1110"/>
      <c r="AJ296" s="1110"/>
      <c r="AK296" s="1110"/>
      <c r="AL296" s="1110"/>
      <c r="AM296" s="1110"/>
      <c r="AN296" s="1110"/>
      <c r="AO296" s="1110"/>
      <c r="AP296" s="1110"/>
      <c r="AQ296" s="1110">
        <v>-1879600</v>
      </c>
      <c r="AR296" s="1110"/>
      <c r="AS296" s="1110"/>
      <c r="AT296" s="1110"/>
      <c r="AU296" s="1110"/>
      <c r="AV296" s="1110"/>
      <c r="AW296" s="1110"/>
      <c r="AX296" s="1111"/>
    </row>
    <row r="297" spans="1:50" ht="62.25" customHeight="1" x14ac:dyDescent="0.2">
      <c r="A297" s="1410" t="s">
        <v>3095</v>
      </c>
      <c r="B297" s="1411" t="s">
        <v>196</v>
      </c>
      <c r="C297" s="1259" t="s">
        <v>3390</v>
      </c>
      <c r="D297" s="1110"/>
      <c r="E297" s="1110"/>
      <c r="F297" s="1110"/>
      <c r="G297" s="1110"/>
      <c r="H297" s="1110"/>
      <c r="I297" s="1379"/>
      <c r="J297" s="1379"/>
      <c r="K297" s="1379"/>
      <c r="L297" s="1379"/>
      <c r="M297" s="1379"/>
      <c r="N297" s="1380"/>
      <c r="O297" s="1380"/>
      <c r="P297" s="1379"/>
      <c r="Q297" s="1110">
        <v>-844550</v>
      </c>
      <c r="R297" s="1110"/>
      <c r="S297" s="1110"/>
      <c r="T297" s="1110"/>
      <c r="U297" s="1110"/>
      <c r="V297" s="1110"/>
      <c r="W297" s="1110"/>
      <c r="X297" s="1110"/>
      <c r="Y297" s="1110"/>
      <c r="Z297" s="1110"/>
      <c r="AA297" s="1110"/>
      <c r="AB297" s="1110"/>
      <c r="AC297" s="1110"/>
      <c r="AD297" s="1110"/>
      <c r="AE297" s="1110"/>
      <c r="AF297" s="1110"/>
      <c r="AG297" s="1110"/>
      <c r="AH297" s="1110"/>
      <c r="AI297" s="1110"/>
      <c r="AJ297" s="1110"/>
      <c r="AK297" s="1110"/>
      <c r="AL297" s="1110"/>
      <c r="AM297" s="1110"/>
      <c r="AN297" s="1110"/>
      <c r="AO297" s="1110"/>
      <c r="AP297" s="1110"/>
      <c r="AQ297" s="1110"/>
      <c r="AR297" s="1110"/>
      <c r="AS297" s="1110"/>
      <c r="AT297" s="1110"/>
      <c r="AU297" s="1110"/>
      <c r="AV297" s="1110"/>
      <c r="AW297" s="1110"/>
      <c r="AX297" s="1111"/>
    </row>
    <row r="298" spans="1:50" ht="42" customHeight="1" x14ac:dyDescent="0.2">
      <c r="A298" s="1410" t="s">
        <v>3098</v>
      </c>
      <c r="B298" s="1411">
        <v>4</v>
      </c>
      <c r="C298" s="1259" t="s">
        <v>3392</v>
      </c>
      <c r="D298" s="1110"/>
      <c r="E298" s="1110"/>
      <c r="F298" s="1110"/>
      <c r="G298" s="1110"/>
      <c r="H298" s="1110"/>
      <c r="I298" s="1379"/>
      <c r="J298" s="1379"/>
      <c r="K298" s="1379"/>
      <c r="L298" s="1379"/>
      <c r="M298" s="1379"/>
      <c r="N298" s="1380"/>
      <c r="O298" s="1380"/>
      <c r="P298" s="1379"/>
      <c r="Q298" s="1110"/>
      <c r="R298" s="1110"/>
      <c r="S298" s="1110"/>
      <c r="T298" s="1110"/>
      <c r="U298" s="1110"/>
      <c r="V298" s="1110"/>
      <c r="W298" s="1110"/>
      <c r="X298" s="1110"/>
      <c r="Y298" s="1110"/>
      <c r="Z298" s="1110"/>
      <c r="AA298" s="1110"/>
      <c r="AB298" s="1110"/>
      <c r="AC298" s="1110"/>
      <c r="AD298" s="1110"/>
      <c r="AE298" s="1110"/>
      <c r="AF298" s="1110"/>
      <c r="AG298" s="1110"/>
      <c r="AH298" s="1110"/>
      <c r="AI298" s="1110"/>
      <c r="AJ298" s="1110"/>
      <c r="AK298" s="1110"/>
      <c r="AL298" s="1110"/>
      <c r="AM298" s="1110"/>
      <c r="AN298" s="1110"/>
      <c r="AO298" s="1110"/>
      <c r="AP298" s="1110"/>
      <c r="AQ298" s="1110">
        <v>-450000</v>
      </c>
      <c r="AR298" s="1110"/>
      <c r="AS298" s="1110"/>
      <c r="AT298" s="1110"/>
      <c r="AU298" s="1110"/>
      <c r="AV298" s="1110"/>
      <c r="AW298" s="1110"/>
      <c r="AX298" s="1111"/>
    </row>
    <row r="299" spans="1:50" ht="48" customHeight="1" x14ac:dyDescent="0.2">
      <c r="A299" s="1410" t="s">
        <v>3100</v>
      </c>
      <c r="B299" s="1411" t="s">
        <v>198</v>
      </c>
      <c r="C299" s="1259" t="s">
        <v>2606</v>
      </c>
      <c r="D299" s="1110"/>
      <c r="E299" s="1110"/>
      <c r="F299" s="1110"/>
      <c r="G299" s="1110"/>
      <c r="H299" s="1110"/>
      <c r="I299" s="1379"/>
      <c r="J299" s="1379"/>
      <c r="K299" s="1379"/>
      <c r="L299" s="1379"/>
      <c r="M299" s="1379"/>
      <c r="N299" s="1380"/>
      <c r="O299" s="1380"/>
      <c r="P299" s="1379"/>
      <c r="Q299" s="1110">
        <v>-904875</v>
      </c>
      <c r="R299" s="1110"/>
      <c r="S299" s="1110"/>
      <c r="T299" s="1110"/>
      <c r="U299" s="1110"/>
      <c r="V299" s="1110"/>
      <c r="W299" s="1110"/>
      <c r="X299" s="1110"/>
      <c r="Y299" s="1110"/>
      <c r="Z299" s="1110"/>
      <c r="AA299" s="1110"/>
      <c r="AB299" s="1110"/>
      <c r="AC299" s="1110"/>
      <c r="AD299" s="1110"/>
      <c r="AE299" s="1110"/>
      <c r="AF299" s="1110"/>
      <c r="AG299" s="1110"/>
      <c r="AH299" s="1110"/>
      <c r="AI299" s="1110"/>
      <c r="AJ299" s="1110"/>
      <c r="AK299" s="1110"/>
      <c r="AL299" s="1110"/>
      <c r="AM299" s="1110"/>
      <c r="AN299" s="1110"/>
      <c r="AO299" s="1110"/>
      <c r="AP299" s="1110"/>
      <c r="AQ299" s="1110"/>
      <c r="AR299" s="1110"/>
      <c r="AS299" s="1110"/>
      <c r="AT299" s="1110"/>
      <c r="AU299" s="1110"/>
      <c r="AV299" s="1110"/>
      <c r="AW299" s="1110"/>
      <c r="AX299" s="1111"/>
    </row>
    <row r="300" spans="1:50" ht="48" customHeight="1" x14ac:dyDescent="0.2">
      <c r="A300" s="1410" t="s">
        <v>3102</v>
      </c>
      <c r="B300" s="1538" t="s">
        <v>3399</v>
      </c>
      <c r="C300" s="1259" t="s">
        <v>3394</v>
      </c>
      <c r="D300" s="1110"/>
      <c r="E300" s="1110"/>
      <c r="F300" s="1110"/>
      <c r="G300" s="1110"/>
      <c r="H300" s="1110"/>
      <c r="I300" s="1379"/>
      <c r="J300" s="1379"/>
      <c r="K300" s="1379"/>
      <c r="L300" s="1379"/>
      <c r="M300" s="1379"/>
      <c r="N300" s="1380"/>
      <c r="O300" s="1380"/>
      <c r="P300" s="1379"/>
      <c r="Q300" s="1110">
        <v>-603250</v>
      </c>
      <c r="R300" s="1110"/>
      <c r="S300" s="1110"/>
      <c r="T300" s="1110"/>
      <c r="U300" s="1110"/>
      <c r="V300" s="1110"/>
      <c r="W300" s="1110"/>
      <c r="X300" s="1110"/>
      <c r="Y300" s="1110"/>
      <c r="Z300" s="1110"/>
      <c r="AA300" s="1110"/>
      <c r="AB300" s="1110"/>
      <c r="AC300" s="1110"/>
      <c r="AD300" s="1110"/>
      <c r="AE300" s="1110"/>
      <c r="AF300" s="1110"/>
      <c r="AG300" s="1110"/>
      <c r="AH300" s="1110"/>
      <c r="AI300" s="1110"/>
      <c r="AJ300" s="1110"/>
      <c r="AK300" s="1110"/>
      <c r="AL300" s="1110"/>
      <c r="AM300" s="1110"/>
      <c r="AN300" s="1110"/>
      <c r="AO300" s="1110"/>
      <c r="AP300" s="1110"/>
      <c r="AQ300" s="1110"/>
      <c r="AR300" s="1110"/>
      <c r="AS300" s="1110"/>
      <c r="AT300" s="1110"/>
      <c r="AU300" s="1110"/>
      <c r="AV300" s="1110"/>
      <c r="AW300" s="1110"/>
      <c r="AX300" s="1111"/>
    </row>
    <row r="301" spans="1:50" ht="48" customHeight="1" x14ac:dyDescent="0.2">
      <c r="A301" s="1410" t="s">
        <v>3111</v>
      </c>
      <c r="B301" s="1538" t="s">
        <v>3398</v>
      </c>
      <c r="C301" s="1259" t="s">
        <v>3397</v>
      </c>
      <c r="D301" s="1110"/>
      <c r="E301" s="1110"/>
      <c r="F301" s="1110"/>
      <c r="G301" s="1110"/>
      <c r="H301" s="1110"/>
      <c r="I301" s="1379"/>
      <c r="J301" s="1379"/>
      <c r="K301" s="1379"/>
      <c r="L301" s="1379"/>
      <c r="M301" s="1379"/>
      <c r="N301" s="1380"/>
      <c r="O301" s="1380"/>
      <c r="P301" s="1379"/>
      <c r="Q301" s="1110">
        <v>-941070</v>
      </c>
      <c r="R301" s="1110"/>
      <c r="S301" s="1110"/>
      <c r="T301" s="1110"/>
      <c r="U301" s="1110"/>
      <c r="V301" s="1110"/>
      <c r="W301" s="1110"/>
      <c r="X301" s="1110"/>
      <c r="Y301" s="1110"/>
      <c r="Z301" s="1110"/>
      <c r="AA301" s="1110"/>
      <c r="AB301" s="1110"/>
      <c r="AC301" s="1110"/>
      <c r="AD301" s="1110"/>
      <c r="AE301" s="1110"/>
      <c r="AF301" s="1110"/>
      <c r="AG301" s="1110"/>
      <c r="AH301" s="1110"/>
      <c r="AI301" s="1110"/>
      <c r="AJ301" s="1110"/>
      <c r="AK301" s="1110"/>
      <c r="AL301" s="1110"/>
      <c r="AM301" s="1110"/>
      <c r="AN301" s="1110"/>
      <c r="AO301" s="1110"/>
      <c r="AP301" s="1110"/>
      <c r="AQ301" s="1110"/>
      <c r="AR301" s="1110"/>
      <c r="AS301" s="1110"/>
      <c r="AT301" s="1110"/>
      <c r="AU301" s="1110"/>
      <c r="AV301" s="1110"/>
      <c r="AW301" s="1110"/>
      <c r="AX301" s="1111"/>
    </row>
    <row r="302" spans="1:50" ht="48" customHeight="1" x14ac:dyDescent="0.2">
      <c r="A302" s="1410" t="s">
        <v>3113</v>
      </c>
      <c r="B302" s="1411" t="s">
        <v>202</v>
      </c>
      <c r="C302" s="1259" t="s">
        <v>3401</v>
      </c>
      <c r="D302" s="1110"/>
      <c r="E302" s="1110"/>
      <c r="F302" s="1110"/>
      <c r="G302" s="1110"/>
      <c r="H302" s="1110"/>
      <c r="I302" s="1379"/>
      <c r="J302" s="1379"/>
      <c r="K302" s="1379"/>
      <c r="L302" s="1379"/>
      <c r="M302" s="1379"/>
      <c r="N302" s="1380"/>
      <c r="O302" s="1380"/>
      <c r="P302" s="1379"/>
      <c r="Q302" s="1110">
        <v>-1930400</v>
      </c>
      <c r="R302" s="1110"/>
      <c r="S302" s="1110"/>
      <c r="T302" s="1110"/>
      <c r="U302" s="1110"/>
      <c r="V302" s="1110"/>
      <c r="W302" s="1110"/>
      <c r="X302" s="1110"/>
      <c r="Y302" s="1110"/>
      <c r="Z302" s="1110"/>
      <c r="AA302" s="1110"/>
      <c r="AB302" s="1110"/>
      <c r="AC302" s="1110"/>
      <c r="AD302" s="1110"/>
      <c r="AE302" s="1110"/>
      <c r="AF302" s="1110"/>
      <c r="AG302" s="1110"/>
      <c r="AH302" s="1110"/>
      <c r="AI302" s="1110"/>
      <c r="AJ302" s="1110"/>
      <c r="AK302" s="1110"/>
      <c r="AL302" s="1110"/>
      <c r="AM302" s="1110"/>
      <c r="AN302" s="1110"/>
      <c r="AO302" s="1110"/>
      <c r="AP302" s="1110"/>
      <c r="AQ302" s="1110"/>
      <c r="AR302" s="1110"/>
      <c r="AS302" s="1110"/>
      <c r="AT302" s="1110"/>
      <c r="AU302" s="1110"/>
      <c r="AV302" s="1110"/>
      <c r="AW302" s="1110"/>
      <c r="AX302" s="1111"/>
    </row>
    <row r="303" spans="1:50" ht="48" customHeight="1" x14ac:dyDescent="0.2">
      <c r="A303" s="1410" t="s">
        <v>3121</v>
      </c>
      <c r="B303" s="1411" t="s">
        <v>204</v>
      </c>
      <c r="C303" s="1259" t="s">
        <v>3403</v>
      </c>
      <c r="D303" s="1110"/>
      <c r="E303" s="1110"/>
      <c r="F303" s="1110"/>
      <c r="G303" s="1110"/>
      <c r="H303" s="1110"/>
      <c r="I303" s="1379"/>
      <c r="J303" s="1379"/>
      <c r="K303" s="1379"/>
      <c r="L303" s="1379"/>
      <c r="M303" s="1379"/>
      <c r="N303" s="1380"/>
      <c r="O303" s="1380"/>
      <c r="P303" s="1379"/>
      <c r="Q303" s="1110">
        <v>-1689100</v>
      </c>
      <c r="R303" s="1110"/>
      <c r="S303" s="1110"/>
      <c r="T303" s="1110"/>
      <c r="U303" s="1110"/>
      <c r="V303" s="1110"/>
      <c r="W303" s="1110"/>
      <c r="X303" s="1110"/>
      <c r="Y303" s="1110"/>
      <c r="Z303" s="1110"/>
      <c r="AA303" s="1110"/>
      <c r="AB303" s="1110"/>
      <c r="AC303" s="1110"/>
      <c r="AD303" s="1110"/>
      <c r="AE303" s="1110"/>
      <c r="AF303" s="1110"/>
      <c r="AG303" s="1110"/>
      <c r="AH303" s="1110"/>
      <c r="AI303" s="1110"/>
      <c r="AJ303" s="1110"/>
      <c r="AK303" s="1110"/>
      <c r="AL303" s="1110"/>
      <c r="AM303" s="1110"/>
      <c r="AN303" s="1110"/>
      <c r="AO303" s="1110"/>
      <c r="AP303" s="1110"/>
      <c r="AQ303" s="1110"/>
      <c r="AR303" s="1110"/>
      <c r="AS303" s="1110"/>
      <c r="AT303" s="1110"/>
      <c r="AU303" s="1110"/>
      <c r="AV303" s="1110"/>
      <c r="AW303" s="1110"/>
      <c r="AX303" s="1111"/>
    </row>
    <row r="304" spans="1:50" ht="39.75" customHeight="1" x14ac:dyDescent="0.2">
      <c r="A304" s="1410" t="s">
        <v>3123</v>
      </c>
      <c r="B304" s="1411" t="s">
        <v>231</v>
      </c>
      <c r="C304" s="1259" t="s">
        <v>3405</v>
      </c>
      <c r="D304" s="1110"/>
      <c r="E304" s="1110"/>
      <c r="F304" s="1110"/>
      <c r="G304" s="1110"/>
      <c r="H304" s="1110"/>
      <c r="I304" s="1379"/>
      <c r="J304" s="1379"/>
      <c r="K304" s="1379"/>
      <c r="L304" s="1379"/>
      <c r="M304" s="1379"/>
      <c r="N304" s="1380"/>
      <c r="O304" s="1380"/>
      <c r="P304" s="1379"/>
      <c r="Q304" s="1110"/>
      <c r="R304" s="1110"/>
      <c r="S304" s="1110"/>
      <c r="T304" s="1110"/>
      <c r="U304" s="1110"/>
      <c r="V304" s="1110"/>
      <c r="W304" s="1110"/>
      <c r="X304" s="1110"/>
      <c r="Y304" s="1110"/>
      <c r="Z304" s="1110"/>
      <c r="AA304" s="1110"/>
      <c r="AB304" s="1110"/>
      <c r="AC304" s="1110"/>
      <c r="AD304" s="1110"/>
      <c r="AE304" s="1110"/>
      <c r="AF304" s="1110"/>
      <c r="AG304" s="1110"/>
      <c r="AH304" s="1110"/>
      <c r="AI304" s="1110"/>
      <c r="AJ304" s="1110"/>
      <c r="AK304" s="1110"/>
      <c r="AL304" s="1110">
        <v>-2500000</v>
      </c>
      <c r="AM304" s="1110"/>
      <c r="AN304" s="1110"/>
      <c r="AO304" s="1110"/>
      <c r="AP304" s="1110"/>
      <c r="AQ304" s="1110"/>
      <c r="AR304" s="1110"/>
      <c r="AS304" s="1110"/>
      <c r="AT304" s="1110"/>
      <c r="AU304" s="1110"/>
      <c r="AV304" s="1110"/>
      <c r="AW304" s="1110"/>
      <c r="AX304" s="1111"/>
    </row>
    <row r="305" spans="1:50" ht="48" customHeight="1" x14ac:dyDescent="0.2">
      <c r="A305" s="1410" t="s">
        <v>3128</v>
      </c>
      <c r="B305" s="1411" t="s">
        <v>232</v>
      </c>
      <c r="C305" s="1259" t="s">
        <v>3406</v>
      </c>
      <c r="D305" s="1110">
        <v>-118804</v>
      </c>
      <c r="E305" s="1110"/>
      <c r="F305" s="1110"/>
      <c r="G305" s="1110"/>
      <c r="H305" s="1110"/>
      <c r="I305" s="1379"/>
      <c r="J305" s="1379"/>
      <c r="K305" s="1379"/>
      <c r="L305" s="1379"/>
      <c r="M305" s="1379"/>
      <c r="N305" s="1380"/>
      <c r="O305" s="1380"/>
      <c r="P305" s="1379"/>
      <c r="Q305" s="1110"/>
      <c r="R305" s="1110"/>
      <c r="S305" s="1110"/>
      <c r="T305" s="1110"/>
      <c r="U305" s="1110"/>
      <c r="V305" s="1110"/>
      <c r="W305" s="1110"/>
      <c r="X305" s="1110"/>
      <c r="Y305" s="1110"/>
      <c r="Z305" s="1110"/>
      <c r="AA305" s="1110"/>
      <c r="AB305" s="1110"/>
      <c r="AC305" s="1110"/>
      <c r="AD305" s="1110"/>
      <c r="AE305" s="1110"/>
      <c r="AF305" s="1110"/>
      <c r="AG305" s="1110"/>
      <c r="AH305" s="1110"/>
      <c r="AI305" s="1110"/>
      <c r="AJ305" s="1110"/>
      <c r="AK305" s="1110"/>
      <c r="AL305" s="1110"/>
      <c r="AM305" s="1110"/>
      <c r="AN305" s="1110"/>
      <c r="AO305" s="1110"/>
      <c r="AP305" s="1110"/>
      <c r="AQ305" s="1110"/>
      <c r="AR305" s="1110"/>
      <c r="AS305" s="1110"/>
      <c r="AT305" s="1110"/>
      <c r="AU305" s="1110"/>
      <c r="AV305" s="1110"/>
      <c r="AW305" s="1110"/>
      <c r="AX305" s="1111"/>
    </row>
    <row r="306" spans="1:50" ht="48" customHeight="1" x14ac:dyDescent="0.2">
      <c r="A306" s="1410" t="s">
        <v>3147</v>
      </c>
      <c r="B306" s="1411" t="s">
        <v>238</v>
      </c>
      <c r="C306" s="1259" t="s">
        <v>3413</v>
      </c>
      <c r="D306" s="1110"/>
      <c r="E306" s="1110"/>
      <c r="F306" s="1110"/>
      <c r="G306" s="1110"/>
      <c r="H306" s="1110"/>
      <c r="I306" s="1379"/>
      <c r="J306" s="1379"/>
      <c r="K306" s="1379"/>
      <c r="L306" s="1379"/>
      <c r="M306" s="1379"/>
      <c r="N306" s="1380"/>
      <c r="O306" s="1380"/>
      <c r="P306" s="1379"/>
      <c r="Q306" s="1110">
        <v>-2535300</v>
      </c>
      <c r="R306" s="1110"/>
      <c r="S306" s="1110"/>
      <c r="T306" s="1110"/>
      <c r="U306" s="1110"/>
      <c r="V306" s="1110"/>
      <c r="W306" s="1110"/>
      <c r="X306" s="1110"/>
      <c r="Y306" s="1110"/>
      <c r="Z306" s="1110"/>
      <c r="AA306" s="1110"/>
      <c r="AB306" s="1110"/>
      <c r="AC306" s="1110"/>
      <c r="AD306" s="1110"/>
      <c r="AE306" s="1110"/>
      <c r="AF306" s="1110"/>
      <c r="AG306" s="1110"/>
      <c r="AH306" s="1110"/>
      <c r="AI306" s="1110"/>
      <c r="AJ306" s="1110"/>
      <c r="AK306" s="1110"/>
      <c r="AL306" s="1110"/>
      <c r="AM306" s="1110"/>
      <c r="AN306" s="1110"/>
      <c r="AO306" s="1110"/>
      <c r="AP306" s="1110"/>
      <c r="AQ306" s="1110"/>
      <c r="AR306" s="1110"/>
      <c r="AS306" s="1110"/>
      <c r="AT306" s="1110"/>
      <c r="AU306" s="1110"/>
      <c r="AV306" s="1110"/>
      <c r="AW306" s="1110"/>
      <c r="AX306" s="1111"/>
    </row>
    <row r="307" spans="1:50" ht="63" customHeight="1" x14ac:dyDescent="0.2">
      <c r="A307" s="1410" t="s">
        <v>3151</v>
      </c>
      <c r="B307" s="1411" t="s">
        <v>239</v>
      </c>
      <c r="C307" s="1259" t="s">
        <v>3419</v>
      </c>
      <c r="D307" s="1110"/>
      <c r="E307" s="1110"/>
      <c r="F307" s="1110"/>
      <c r="G307" s="1110"/>
      <c r="H307" s="1110"/>
      <c r="I307" s="1379"/>
      <c r="J307" s="1379"/>
      <c r="K307" s="1379"/>
      <c r="L307" s="1379"/>
      <c r="M307" s="1379"/>
      <c r="N307" s="1380"/>
      <c r="O307" s="1380"/>
      <c r="P307" s="1379"/>
      <c r="Q307" s="1110">
        <v>-2468032</v>
      </c>
      <c r="R307" s="1110"/>
      <c r="S307" s="1110"/>
      <c r="T307" s="1110"/>
      <c r="U307" s="1110"/>
      <c r="V307" s="1110"/>
      <c r="W307" s="1110"/>
      <c r="X307" s="1110"/>
      <c r="Y307" s="1110"/>
      <c r="Z307" s="1110"/>
      <c r="AA307" s="1110"/>
      <c r="AB307" s="1110"/>
      <c r="AC307" s="1110"/>
      <c r="AD307" s="1110"/>
      <c r="AE307" s="1110"/>
      <c r="AF307" s="1110"/>
      <c r="AG307" s="1110"/>
      <c r="AH307" s="1110"/>
      <c r="AI307" s="1110"/>
      <c r="AJ307" s="1110"/>
      <c r="AK307" s="1110"/>
      <c r="AL307" s="1110"/>
      <c r="AM307" s="1110"/>
      <c r="AN307" s="1110"/>
      <c r="AO307" s="1110"/>
      <c r="AP307" s="1110"/>
      <c r="AQ307" s="1110"/>
      <c r="AR307" s="1110"/>
      <c r="AS307" s="1110"/>
      <c r="AT307" s="1110"/>
      <c r="AU307" s="1110"/>
      <c r="AV307" s="1110"/>
      <c r="AW307" s="1110"/>
      <c r="AX307" s="1111"/>
    </row>
    <row r="308" spans="1:50" ht="64.5" customHeight="1" x14ac:dyDescent="0.2">
      <c r="A308" s="1410" t="s">
        <v>3157</v>
      </c>
      <c r="B308" s="1411" t="s">
        <v>266</v>
      </c>
      <c r="C308" s="1259" t="s">
        <v>3421</v>
      </c>
      <c r="D308" s="1110"/>
      <c r="E308" s="1110"/>
      <c r="F308" s="1110"/>
      <c r="G308" s="1110"/>
      <c r="H308" s="1110"/>
      <c r="I308" s="1379"/>
      <c r="J308" s="1379"/>
      <c r="K308" s="1379"/>
      <c r="L308" s="1379"/>
      <c r="M308" s="1379"/>
      <c r="N308" s="1380"/>
      <c r="O308" s="1380"/>
      <c r="P308" s="1379"/>
      <c r="Q308" s="1110">
        <v>-627399</v>
      </c>
      <c r="R308" s="1110"/>
      <c r="S308" s="1110"/>
      <c r="T308" s="1110"/>
      <c r="U308" s="1110"/>
      <c r="V308" s="1110"/>
      <c r="W308" s="1110"/>
      <c r="X308" s="1110"/>
      <c r="Y308" s="1110"/>
      <c r="Z308" s="1110"/>
      <c r="AA308" s="1110"/>
      <c r="AB308" s="1110"/>
      <c r="AC308" s="1110"/>
      <c r="AD308" s="1110"/>
      <c r="AE308" s="1110"/>
      <c r="AF308" s="1110"/>
      <c r="AG308" s="1110"/>
      <c r="AH308" s="1110"/>
      <c r="AI308" s="1110"/>
      <c r="AJ308" s="1110"/>
      <c r="AK308" s="1110"/>
      <c r="AL308" s="1110"/>
      <c r="AM308" s="1110"/>
      <c r="AN308" s="1110"/>
      <c r="AO308" s="1110"/>
      <c r="AP308" s="1110"/>
      <c r="AQ308" s="1110"/>
      <c r="AR308" s="1110"/>
      <c r="AS308" s="1110"/>
      <c r="AT308" s="1110"/>
      <c r="AU308" s="1110"/>
      <c r="AV308" s="1110"/>
      <c r="AW308" s="1110"/>
      <c r="AX308" s="1111"/>
    </row>
    <row r="309" spans="1:50" ht="48" customHeight="1" x14ac:dyDescent="0.2">
      <c r="A309" s="1410" t="s">
        <v>3176</v>
      </c>
      <c r="B309" s="1411" t="s">
        <v>267</v>
      </c>
      <c r="C309" s="1259" t="s">
        <v>3423</v>
      </c>
      <c r="D309" s="1110"/>
      <c r="E309" s="1110"/>
      <c r="F309" s="1110"/>
      <c r="G309" s="1110"/>
      <c r="H309" s="1110"/>
      <c r="I309" s="1379"/>
      <c r="J309" s="1379"/>
      <c r="K309" s="1379"/>
      <c r="L309" s="1379"/>
      <c r="M309" s="1379"/>
      <c r="N309" s="1380"/>
      <c r="O309" s="1380"/>
      <c r="P309" s="1379"/>
      <c r="Q309" s="1110"/>
      <c r="R309" s="1110"/>
      <c r="S309" s="1110"/>
      <c r="T309" s="1110"/>
      <c r="U309" s="1110"/>
      <c r="V309" s="1110"/>
      <c r="W309" s="1110"/>
      <c r="X309" s="1110"/>
      <c r="Y309" s="1110"/>
      <c r="Z309" s="1110"/>
      <c r="AA309" s="1110"/>
      <c r="AB309" s="1110"/>
      <c r="AC309" s="1110">
        <v>-200000</v>
      </c>
      <c r="AD309" s="1110"/>
      <c r="AE309" s="1110"/>
      <c r="AF309" s="1110"/>
      <c r="AG309" s="1110"/>
      <c r="AH309" s="1110"/>
      <c r="AI309" s="1110"/>
      <c r="AJ309" s="1110"/>
      <c r="AK309" s="1110"/>
      <c r="AL309" s="1110"/>
      <c r="AM309" s="1110"/>
      <c r="AN309" s="1110"/>
      <c r="AO309" s="1110"/>
      <c r="AP309" s="1110"/>
      <c r="AQ309" s="1110"/>
      <c r="AR309" s="1110"/>
      <c r="AS309" s="1110"/>
      <c r="AT309" s="1110"/>
      <c r="AU309" s="1110"/>
      <c r="AV309" s="1110"/>
      <c r="AW309" s="1110"/>
      <c r="AX309" s="1111"/>
    </row>
    <row r="310" spans="1:50" ht="49.5" customHeight="1" x14ac:dyDescent="0.2">
      <c r="A310" s="1410" t="s">
        <v>3179</v>
      </c>
      <c r="B310" s="1411" t="s">
        <v>268</v>
      </c>
      <c r="C310" s="1259" t="s">
        <v>3425</v>
      </c>
      <c r="D310" s="1110"/>
      <c r="E310" s="1110"/>
      <c r="F310" s="1110"/>
      <c r="G310" s="1110"/>
      <c r="H310" s="1110"/>
      <c r="I310" s="1379"/>
      <c r="J310" s="1379"/>
      <c r="K310" s="1379"/>
      <c r="L310" s="1379"/>
      <c r="M310" s="1379"/>
      <c r="N310" s="1380"/>
      <c r="O310" s="1380"/>
      <c r="P310" s="1379"/>
      <c r="Q310" s="1110">
        <v>-2508213</v>
      </c>
      <c r="R310" s="1110"/>
      <c r="S310" s="1110"/>
      <c r="T310" s="1110"/>
      <c r="U310" s="1110"/>
      <c r="V310" s="1110"/>
      <c r="W310" s="1110"/>
      <c r="X310" s="1110"/>
      <c r="Y310" s="1110"/>
      <c r="Z310" s="1110"/>
      <c r="AA310" s="1110"/>
      <c r="AB310" s="1110"/>
      <c r="AC310" s="1110"/>
      <c r="AD310" s="1110"/>
      <c r="AE310" s="1110"/>
      <c r="AF310" s="1110"/>
      <c r="AG310" s="1110"/>
      <c r="AH310" s="1110"/>
      <c r="AI310" s="1110"/>
      <c r="AJ310" s="1110"/>
      <c r="AK310" s="1110"/>
      <c r="AL310" s="1110"/>
      <c r="AM310" s="1110"/>
      <c r="AN310" s="1110"/>
      <c r="AO310" s="1110"/>
      <c r="AP310" s="1110"/>
      <c r="AQ310" s="1110"/>
      <c r="AR310" s="1110"/>
      <c r="AS310" s="1110"/>
      <c r="AT310" s="1110"/>
      <c r="AU310" s="1110"/>
      <c r="AV310" s="1110"/>
      <c r="AW310" s="1110"/>
      <c r="AX310" s="1111"/>
    </row>
    <row r="311" spans="1:50" ht="48" customHeight="1" x14ac:dyDescent="0.2">
      <c r="A311" s="1410" t="s">
        <v>3182</v>
      </c>
      <c r="B311" s="1411" t="s">
        <v>269</v>
      </c>
      <c r="C311" s="1259" t="s">
        <v>3429</v>
      </c>
      <c r="D311" s="1110"/>
      <c r="E311" s="1110"/>
      <c r="F311" s="1110"/>
      <c r="G311" s="1110"/>
      <c r="H311" s="1110"/>
      <c r="I311" s="1379"/>
      <c r="J311" s="1379"/>
      <c r="K311" s="1379"/>
      <c r="L311" s="1379"/>
      <c r="M311" s="1379"/>
      <c r="N311" s="1380"/>
      <c r="O311" s="1380"/>
      <c r="P311" s="1379"/>
      <c r="Q311" s="1110">
        <v>-698500</v>
      </c>
      <c r="R311" s="1110"/>
      <c r="S311" s="1110"/>
      <c r="T311" s="1110"/>
      <c r="U311" s="1110"/>
      <c r="V311" s="1110"/>
      <c r="W311" s="1110"/>
      <c r="X311" s="1110"/>
      <c r="Y311" s="1110"/>
      <c r="Z311" s="1110"/>
      <c r="AA311" s="1110"/>
      <c r="AB311" s="1110"/>
      <c r="AC311" s="1110"/>
      <c r="AD311" s="1110"/>
      <c r="AE311" s="1110"/>
      <c r="AF311" s="1110"/>
      <c r="AG311" s="1110"/>
      <c r="AH311" s="1110"/>
      <c r="AI311" s="1110"/>
      <c r="AJ311" s="1110"/>
      <c r="AK311" s="1110"/>
      <c r="AL311" s="1110"/>
      <c r="AM311" s="1110"/>
      <c r="AN311" s="1110"/>
      <c r="AO311" s="1110"/>
      <c r="AP311" s="1110"/>
      <c r="AQ311" s="1110"/>
      <c r="AR311" s="1110"/>
      <c r="AS311" s="1110"/>
      <c r="AT311" s="1110"/>
      <c r="AU311" s="1110"/>
      <c r="AV311" s="1110"/>
      <c r="AW311" s="1110"/>
      <c r="AX311" s="1111"/>
    </row>
    <row r="312" spans="1:50" ht="90.75" customHeight="1" x14ac:dyDescent="0.2">
      <c r="A312" s="1410" t="s">
        <v>3184</v>
      </c>
      <c r="B312" s="1411" t="s">
        <v>270</v>
      </c>
      <c r="C312" s="1259" t="s">
        <v>3430</v>
      </c>
      <c r="D312" s="1110"/>
      <c r="E312" s="1110"/>
      <c r="F312" s="1110"/>
      <c r="G312" s="1110"/>
      <c r="H312" s="1110"/>
      <c r="I312" s="1379"/>
      <c r="J312" s="1379"/>
      <c r="K312" s="1379"/>
      <c r="L312" s="1379"/>
      <c r="M312" s="1379"/>
      <c r="N312" s="1380"/>
      <c r="O312" s="1380"/>
      <c r="P312" s="1379"/>
      <c r="Q312" s="1110"/>
      <c r="R312" s="1110"/>
      <c r="S312" s="1110"/>
      <c r="T312" s="1110"/>
      <c r="U312" s="1110"/>
      <c r="V312" s="1110"/>
      <c r="W312" s="1110"/>
      <c r="X312" s="1110"/>
      <c r="Y312" s="1110"/>
      <c r="Z312" s="1110"/>
      <c r="AA312" s="1110"/>
      <c r="AB312" s="1110"/>
      <c r="AC312" s="1110"/>
      <c r="AD312" s="1110"/>
      <c r="AE312" s="1110"/>
      <c r="AF312" s="1110"/>
      <c r="AG312" s="1110"/>
      <c r="AH312" s="1110"/>
      <c r="AI312" s="1110"/>
      <c r="AJ312" s="1110"/>
      <c r="AK312" s="1110"/>
      <c r="AL312" s="1110"/>
      <c r="AM312" s="1110"/>
      <c r="AN312" s="1110"/>
      <c r="AO312" s="1110"/>
      <c r="AP312" s="1110"/>
      <c r="AQ312" s="1110">
        <v>-51619369</v>
      </c>
      <c r="AR312" s="1110"/>
      <c r="AS312" s="1110"/>
      <c r="AT312" s="1110"/>
      <c r="AU312" s="1110"/>
      <c r="AV312" s="1110"/>
      <c r="AW312" s="1110"/>
      <c r="AX312" s="1111"/>
    </row>
    <row r="313" spans="1:50" ht="41.25" customHeight="1" x14ac:dyDescent="0.2">
      <c r="A313" s="1410" t="s">
        <v>3186</v>
      </c>
      <c r="B313" s="1411" t="s">
        <v>271</v>
      </c>
      <c r="C313" s="1259" t="s">
        <v>3437</v>
      </c>
      <c r="D313" s="1110"/>
      <c r="E313" s="1110"/>
      <c r="F313" s="1110"/>
      <c r="G313" s="1110"/>
      <c r="H313" s="1110"/>
      <c r="I313" s="1379"/>
      <c r="J313" s="1379"/>
      <c r="K313" s="1379"/>
      <c r="L313" s="1379"/>
      <c r="M313" s="1379"/>
      <c r="N313" s="1380"/>
      <c r="O313" s="1380"/>
      <c r="P313" s="1379"/>
      <c r="Q313" s="1110"/>
      <c r="R313" s="1110"/>
      <c r="S313" s="1110"/>
      <c r="T313" s="1110"/>
      <c r="U313" s="1110"/>
      <c r="V313" s="1110"/>
      <c r="W313" s="1110"/>
      <c r="X313" s="1110"/>
      <c r="Y313" s="1110"/>
      <c r="Z313" s="1110"/>
      <c r="AA313" s="1110"/>
      <c r="AB313" s="1110"/>
      <c r="AC313" s="1110"/>
      <c r="AD313" s="1110"/>
      <c r="AE313" s="1110"/>
      <c r="AF313" s="1110"/>
      <c r="AG313" s="1110"/>
      <c r="AH313" s="1110"/>
      <c r="AI313" s="1110"/>
      <c r="AJ313" s="1110"/>
      <c r="AK313" s="1110"/>
      <c r="AL313" s="1110"/>
      <c r="AM313" s="1110"/>
      <c r="AN313" s="1110"/>
      <c r="AO313" s="1110"/>
      <c r="AP313" s="1110"/>
      <c r="AQ313" s="1110">
        <v>-320000</v>
      </c>
      <c r="AR313" s="1110"/>
      <c r="AS313" s="1110"/>
      <c r="AT313" s="1110"/>
      <c r="AU313" s="1110"/>
      <c r="AV313" s="1110"/>
      <c r="AW313" s="1110"/>
      <c r="AX313" s="1111"/>
    </row>
    <row r="314" spans="1:50" ht="60.75" customHeight="1" x14ac:dyDescent="0.2">
      <c r="A314" s="1410" t="s">
        <v>3188</v>
      </c>
      <c r="B314" s="1411" t="s">
        <v>272</v>
      </c>
      <c r="C314" s="1259" t="s">
        <v>3438</v>
      </c>
      <c r="D314" s="1110"/>
      <c r="E314" s="1110"/>
      <c r="F314" s="1110"/>
      <c r="G314" s="1110"/>
      <c r="H314" s="1110"/>
      <c r="I314" s="1379"/>
      <c r="J314" s="1379"/>
      <c r="K314" s="1379"/>
      <c r="L314" s="1379"/>
      <c r="M314" s="1379"/>
      <c r="N314" s="1380"/>
      <c r="O314" s="1380"/>
      <c r="P314" s="1379"/>
      <c r="Q314" s="1110">
        <v>-4096092</v>
      </c>
      <c r="R314" s="1110"/>
      <c r="S314" s="1110"/>
      <c r="T314" s="1110"/>
      <c r="U314" s="1110"/>
      <c r="V314" s="1110"/>
      <c r="W314" s="1110"/>
      <c r="X314" s="1110"/>
      <c r="Y314" s="1110"/>
      <c r="Z314" s="1110"/>
      <c r="AA314" s="1110"/>
      <c r="AB314" s="1110"/>
      <c r="AC314" s="1110"/>
      <c r="AD314" s="1110"/>
      <c r="AE314" s="1110"/>
      <c r="AF314" s="1110"/>
      <c r="AG314" s="1110"/>
      <c r="AH314" s="1110"/>
      <c r="AI314" s="1110"/>
      <c r="AJ314" s="1110"/>
      <c r="AK314" s="1110"/>
      <c r="AL314" s="1110"/>
      <c r="AM314" s="1110"/>
      <c r="AN314" s="1110"/>
      <c r="AO314" s="1110"/>
      <c r="AP314" s="1110"/>
      <c r="AQ314" s="1110"/>
      <c r="AR314" s="1110"/>
      <c r="AS314" s="1110"/>
      <c r="AT314" s="1110"/>
      <c r="AU314" s="1110"/>
      <c r="AV314" s="1110"/>
      <c r="AW314" s="1110"/>
      <c r="AX314" s="1111"/>
    </row>
    <row r="315" spans="1:50" ht="64.5" customHeight="1" x14ac:dyDescent="0.2">
      <c r="A315" s="1410" t="s">
        <v>3192</v>
      </c>
      <c r="B315" s="1411" t="s">
        <v>273</v>
      </c>
      <c r="C315" s="1259" t="s">
        <v>3439</v>
      </c>
      <c r="D315" s="1110"/>
      <c r="E315" s="1110"/>
      <c r="F315" s="1110"/>
      <c r="G315" s="1110"/>
      <c r="H315" s="1110"/>
      <c r="I315" s="1379"/>
      <c r="J315" s="1379"/>
      <c r="K315" s="1379"/>
      <c r="L315" s="1379"/>
      <c r="M315" s="1379"/>
      <c r="N315" s="1380"/>
      <c r="O315" s="1380"/>
      <c r="P315" s="1379"/>
      <c r="Q315" s="1110">
        <v>-4983436</v>
      </c>
      <c r="R315" s="1110"/>
      <c r="S315" s="1110"/>
      <c r="T315" s="1110"/>
      <c r="U315" s="1110"/>
      <c r="V315" s="1110"/>
      <c r="W315" s="1110"/>
      <c r="X315" s="1110"/>
      <c r="Y315" s="1110"/>
      <c r="Z315" s="1110"/>
      <c r="AA315" s="1110"/>
      <c r="AB315" s="1110"/>
      <c r="AC315" s="1110"/>
      <c r="AD315" s="1110"/>
      <c r="AE315" s="1110"/>
      <c r="AF315" s="1110"/>
      <c r="AG315" s="1110"/>
      <c r="AH315" s="1110"/>
      <c r="AI315" s="1110"/>
      <c r="AJ315" s="1110"/>
      <c r="AK315" s="1110"/>
      <c r="AL315" s="1110"/>
      <c r="AM315" s="1110"/>
      <c r="AN315" s="1110"/>
      <c r="AO315" s="1110"/>
      <c r="AP315" s="1110"/>
      <c r="AQ315" s="1110"/>
      <c r="AR315" s="1110"/>
      <c r="AS315" s="1110"/>
      <c r="AT315" s="1110"/>
      <c r="AU315" s="1110"/>
      <c r="AV315" s="1110"/>
      <c r="AW315" s="1110"/>
      <c r="AX315" s="1111"/>
    </row>
    <row r="316" spans="1:50" ht="65.25" customHeight="1" x14ac:dyDescent="0.2">
      <c r="A316" s="1410" t="s">
        <v>3195</v>
      </c>
      <c r="B316" s="1411" t="s">
        <v>274</v>
      </c>
      <c r="C316" s="1259" t="s">
        <v>3441</v>
      </c>
      <c r="D316" s="1110"/>
      <c r="E316" s="1110"/>
      <c r="F316" s="1110"/>
      <c r="G316" s="1110"/>
      <c r="H316" s="1110"/>
      <c r="I316" s="1379"/>
      <c r="J316" s="1379"/>
      <c r="K316" s="1379"/>
      <c r="L316" s="1379"/>
      <c r="M316" s="1379"/>
      <c r="N316" s="1380"/>
      <c r="O316" s="1380"/>
      <c r="P316" s="1379"/>
      <c r="Q316" s="1110"/>
      <c r="R316" s="1110"/>
      <c r="S316" s="1110"/>
      <c r="T316" s="1110"/>
      <c r="U316" s="1110"/>
      <c r="V316" s="1110"/>
      <c r="W316" s="1110"/>
      <c r="X316" s="1110"/>
      <c r="Y316" s="1110"/>
      <c r="Z316" s="1110"/>
      <c r="AA316" s="1110"/>
      <c r="AB316" s="1110"/>
      <c r="AC316" s="1110"/>
      <c r="AD316" s="1110"/>
      <c r="AE316" s="1110"/>
      <c r="AF316" s="1110"/>
      <c r="AG316" s="1110"/>
      <c r="AH316" s="1110"/>
      <c r="AI316" s="1110"/>
      <c r="AJ316" s="1110"/>
      <c r="AK316" s="1110"/>
      <c r="AL316" s="1110"/>
      <c r="AM316" s="1110"/>
      <c r="AN316" s="1110"/>
      <c r="AO316" s="1110"/>
      <c r="AP316" s="1110"/>
      <c r="AQ316" s="1110">
        <v>14103350</v>
      </c>
      <c r="AR316" s="1110"/>
      <c r="AS316" s="1110"/>
      <c r="AT316" s="1110"/>
      <c r="AU316" s="1110"/>
      <c r="AV316" s="1110"/>
      <c r="AW316" s="1110"/>
      <c r="AX316" s="1111"/>
    </row>
    <row r="317" spans="1:50" ht="48" customHeight="1" x14ac:dyDescent="0.2">
      <c r="A317" s="1410" t="s">
        <v>3197</v>
      </c>
      <c r="B317" s="1411" t="s">
        <v>275</v>
      </c>
      <c r="C317" s="1259" t="s">
        <v>3443</v>
      </c>
      <c r="D317" s="1110"/>
      <c r="E317" s="1110"/>
      <c r="F317" s="1110"/>
      <c r="G317" s="1110"/>
      <c r="H317" s="1110"/>
      <c r="I317" s="1379"/>
      <c r="J317" s="1379"/>
      <c r="K317" s="1379"/>
      <c r="L317" s="1379"/>
      <c r="M317" s="1379"/>
      <c r="N317" s="1380"/>
      <c r="O317" s="1380"/>
      <c r="P317" s="1379"/>
      <c r="Q317" s="1110">
        <v>-297612</v>
      </c>
      <c r="R317" s="1110"/>
      <c r="S317" s="1110"/>
      <c r="T317" s="1110"/>
      <c r="U317" s="1110"/>
      <c r="V317" s="1110"/>
      <c r="W317" s="1110"/>
      <c r="X317" s="1110"/>
      <c r="Y317" s="1110"/>
      <c r="Z317" s="1110"/>
      <c r="AA317" s="1110"/>
      <c r="AB317" s="1110"/>
      <c r="AC317" s="1110"/>
      <c r="AD317" s="1110"/>
      <c r="AE317" s="1110"/>
      <c r="AF317" s="1110"/>
      <c r="AG317" s="1110"/>
      <c r="AH317" s="1110"/>
      <c r="AI317" s="1110"/>
      <c r="AJ317" s="1110"/>
      <c r="AK317" s="1110"/>
      <c r="AL317" s="1110"/>
      <c r="AM317" s="1110"/>
      <c r="AN317" s="1110"/>
      <c r="AO317" s="1110"/>
      <c r="AP317" s="1110"/>
      <c r="AQ317" s="1110"/>
      <c r="AR317" s="1110"/>
      <c r="AS317" s="1110"/>
      <c r="AT317" s="1110"/>
      <c r="AU317" s="1110"/>
      <c r="AV317" s="1110"/>
      <c r="AW317" s="1110"/>
      <c r="AX317" s="1111"/>
    </row>
    <row r="318" spans="1:50" ht="64.5" customHeight="1" x14ac:dyDescent="0.2">
      <c r="A318" s="1410" t="s">
        <v>3201</v>
      </c>
      <c r="B318" s="1411" t="s">
        <v>276</v>
      </c>
      <c r="C318" s="1259" t="s">
        <v>3444</v>
      </c>
      <c r="D318" s="1110"/>
      <c r="E318" s="1110"/>
      <c r="F318" s="1110"/>
      <c r="G318" s="1110"/>
      <c r="H318" s="1110"/>
      <c r="I318" s="1379"/>
      <c r="J318" s="1379"/>
      <c r="K318" s="1379"/>
      <c r="L318" s="1379"/>
      <c r="M318" s="1379"/>
      <c r="N318" s="1380"/>
      <c r="O318" s="1380"/>
      <c r="P318" s="1379"/>
      <c r="Q318" s="1110">
        <v>-1920000</v>
      </c>
      <c r="R318" s="1110"/>
      <c r="S318" s="1110"/>
      <c r="T318" s="1110"/>
      <c r="U318" s="1110"/>
      <c r="V318" s="1110"/>
      <c r="W318" s="1110"/>
      <c r="X318" s="1110"/>
      <c r="Y318" s="1110"/>
      <c r="Z318" s="1110"/>
      <c r="AA318" s="1110"/>
      <c r="AB318" s="1110"/>
      <c r="AC318" s="1110"/>
      <c r="AD318" s="1110"/>
      <c r="AE318" s="1110"/>
      <c r="AF318" s="1110"/>
      <c r="AG318" s="1110"/>
      <c r="AH318" s="1110"/>
      <c r="AI318" s="1110"/>
      <c r="AJ318" s="1110"/>
      <c r="AK318" s="1110"/>
      <c r="AL318" s="1110"/>
      <c r="AM318" s="1110"/>
      <c r="AN318" s="1110"/>
      <c r="AO318" s="1110"/>
      <c r="AP318" s="1110"/>
      <c r="AQ318" s="1110"/>
      <c r="AR318" s="1110"/>
      <c r="AS318" s="1110"/>
      <c r="AT318" s="1110"/>
      <c r="AU318" s="1110"/>
      <c r="AV318" s="1110"/>
      <c r="AW318" s="1110"/>
      <c r="AX318" s="1111"/>
    </row>
    <row r="319" spans="1:50" ht="38.25" customHeight="1" x14ac:dyDescent="0.2">
      <c r="A319" s="1410" t="s">
        <v>3203</v>
      </c>
      <c r="B319" s="1411" t="s">
        <v>277</v>
      </c>
      <c r="C319" s="1259" t="s">
        <v>2700</v>
      </c>
      <c r="D319" s="1110"/>
      <c r="E319" s="1110"/>
      <c r="F319" s="1110"/>
      <c r="G319" s="1110"/>
      <c r="H319" s="1110"/>
      <c r="I319" s="1379"/>
      <c r="J319" s="1379"/>
      <c r="K319" s="1379"/>
      <c r="L319" s="1379"/>
      <c r="M319" s="1379">
        <v>100000</v>
      </c>
      <c r="N319" s="1380"/>
      <c r="O319" s="1380"/>
      <c r="P319" s="1379"/>
      <c r="Q319" s="1110"/>
      <c r="R319" s="1110"/>
      <c r="S319" s="1110"/>
      <c r="T319" s="1110"/>
      <c r="U319" s="1110"/>
      <c r="V319" s="1110"/>
      <c r="W319" s="1110"/>
      <c r="X319" s="1110"/>
      <c r="Y319" s="1110"/>
      <c r="Z319" s="1110"/>
      <c r="AA319" s="1110"/>
      <c r="AB319" s="1110"/>
      <c r="AC319" s="1110"/>
      <c r="AD319" s="1110"/>
      <c r="AE319" s="1110"/>
      <c r="AF319" s="1110"/>
      <c r="AG319" s="1110"/>
      <c r="AH319" s="1110"/>
      <c r="AI319" s="1110"/>
      <c r="AJ319" s="1110"/>
      <c r="AK319" s="1110"/>
      <c r="AL319" s="1110"/>
      <c r="AM319" s="1110"/>
      <c r="AN319" s="1110"/>
      <c r="AO319" s="1110"/>
      <c r="AP319" s="1110"/>
      <c r="AQ319" s="1110"/>
      <c r="AR319" s="1110"/>
      <c r="AS319" s="1110"/>
      <c r="AT319" s="1110"/>
      <c r="AU319" s="1110"/>
      <c r="AV319" s="1110"/>
      <c r="AW319" s="1110"/>
      <c r="AX319" s="1111"/>
    </row>
    <row r="320" spans="1:50" ht="48" customHeight="1" x14ac:dyDescent="0.2">
      <c r="A320" s="1410" t="s">
        <v>3209</v>
      </c>
      <c r="B320" s="1411" t="s">
        <v>283</v>
      </c>
      <c r="C320" s="1259" t="s">
        <v>3458</v>
      </c>
      <c r="D320" s="1110"/>
      <c r="E320" s="1110"/>
      <c r="F320" s="1110"/>
      <c r="G320" s="1110"/>
      <c r="H320" s="1110"/>
      <c r="I320" s="1379"/>
      <c r="J320" s="1379"/>
      <c r="K320" s="1379"/>
      <c r="L320" s="1379"/>
      <c r="M320" s="1379"/>
      <c r="N320" s="1380"/>
      <c r="O320" s="1380"/>
      <c r="P320" s="1379"/>
      <c r="Q320" s="1110"/>
      <c r="R320" s="1110"/>
      <c r="S320" s="1110"/>
      <c r="T320" s="1110"/>
      <c r="U320" s="1110"/>
      <c r="V320" s="1110"/>
      <c r="W320" s="1110"/>
      <c r="X320" s="1110"/>
      <c r="Y320" s="1110"/>
      <c r="Z320" s="1110"/>
      <c r="AA320" s="1110"/>
      <c r="AB320" s="1110"/>
      <c r="AC320" s="1110"/>
      <c r="AD320" s="1110"/>
      <c r="AE320" s="1110"/>
      <c r="AF320" s="1110"/>
      <c r="AG320" s="1110"/>
      <c r="AH320" s="1110"/>
      <c r="AI320" s="1110"/>
      <c r="AJ320" s="1110"/>
      <c r="AK320" s="1110"/>
      <c r="AL320" s="1110"/>
      <c r="AM320" s="1110"/>
      <c r="AN320" s="1110"/>
      <c r="AO320" s="1110"/>
      <c r="AP320" s="1110"/>
      <c r="AQ320" s="1110"/>
      <c r="AR320" s="1110"/>
      <c r="AS320" s="1110"/>
      <c r="AT320" s="1110">
        <v>-1270000</v>
      </c>
      <c r="AU320" s="1110"/>
      <c r="AV320" s="1110"/>
      <c r="AW320" s="1110"/>
      <c r="AX320" s="1111"/>
    </row>
    <row r="321" spans="1:50" ht="48" customHeight="1" x14ac:dyDescent="0.2">
      <c r="A321" s="1410" t="s">
        <v>3210</v>
      </c>
      <c r="B321" s="1411" t="s">
        <v>284</v>
      </c>
      <c r="C321" s="1259" t="s">
        <v>3459</v>
      </c>
      <c r="D321" s="1110"/>
      <c r="E321" s="1110"/>
      <c r="F321" s="1110"/>
      <c r="G321" s="1110"/>
      <c r="H321" s="1110"/>
      <c r="I321" s="1379"/>
      <c r="J321" s="1379"/>
      <c r="K321" s="1379"/>
      <c r="L321" s="1379"/>
      <c r="M321" s="1379"/>
      <c r="N321" s="1380"/>
      <c r="O321" s="1380"/>
      <c r="P321" s="1379"/>
      <c r="Q321" s="1110"/>
      <c r="R321" s="1110"/>
      <c r="S321" s="1110"/>
      <c r="T321" s="1110"/>
      <c r="U321" s="1110"/>
      <c r="V321" s="1110"/>
      <c r="W321" s="1110"/>
      <c r="X321" s="1110"/>
      <c r="Y321" s="1110"/>
      <c r="Z321" s="1110"/>
      <c r="AA321" s="1110"/>
      <c r="AB321" s="1110"/>
      <c r="AC321" s="1110"/>
      <c r="AD321" s="1110"/>
      <c r="AE321" s="1110"/>
      <c r="AF321" s="1110"/>
      <c r="AG321" s="1110"/>
      <c r="AH321" s="1110"/>
      <c r="AI321" s="1110"/>
      <c r="AJ321" s="1110"/>
      <c r="AK321" s="1110"/>
      <c r="AL321" s="1110"/>
      <c r="AM321" s="1110"/>
      <c r="AN321" s="1110"/>
      <c r="AO321" s="1110"/>
      <c r="AP321" s="1110"/>
      <c r="AQ321" s="1110">
        <v>1585600</v>
      </c>
      <c r="AR321" s="1110"/>
      <c r="AS321" s="1110"/>
      <c r="AT321" s="1110"/>
      <c r="AU321" s="1110"/>
      <c r="AV321" s="1110"/>
      <c r="AW321" s="1110"/>
      <c r="AX321" s="1111"/>
    </row>
    <row r="322" spans="1:50" ht="37.5" customHeight="1" x14ac:dyDescent="0.2">
      <c r="A322" s="1410" t="s">
        <v>3214</v>
      </c>
      <c r="B322" s="1411" t="s">
        <v>285</v>
      </c>
      <c r="C322" s="1259" t="s">
        <v>3461</v>
      </c>
      <c r="D322" s="1110"/>
      <c r="E322" s="1110"/>
      <c r="F322" s="1110"/>
      <c r="G322" s="1110"/>
      <c r="H322" s="1110"/>
      <c r="I322" s="1379"/>
      <c r="J322" s="1379"/>
      <c r="K322" s="1379"/>
      <c r="L322" s="1379"/>
      <c r="M322" s="1379"/>
      <c r="N322" s="1380"/>
      <c r="O322" s="1380"/>
      <c r="P322" s="1379"/>
      <c r="Q322" s="1110"/>
      <c r="R322" s="1110"/>
      <c r="S322" s="1110"/>
      <c r="T322" s="1110"/>
      <c r="U322" s="1110"/>
      <c r="V322" s="1110"/>
      <c r="W322" s="1110"/>
      <c r="X322" s="1110"/>
      <c r="Y322" s="1110"/>
      <c r="Z322" s="1110"/>
      <c r="AA322" s="1110"/>
      <c r="AB322" s="1110"/>
      <c r="AC322" s="1110"/>
      <c r="AD322" s="1110"/>
      <c r="AE322" s="1110"/>
      <c r="AF322" s="1110"/>
      <c r="AG322" s="1110"/>
      <c r="AH322" s="1110"/>
      <c r="AI322" s="1110"/>
      <c r="AJ322" s="1110"/>
      <c r="AK322" s="1110"/>
      <c r="AL322" s="1110"/>
      <c r="AM322" s="1110"/>
      <c r="AN322" s="1110"/>
      <c r="AO322" s="1110"/>
      <c r="AP322" s="1110"/>
      <c r="AQ322" s="1110">
        <v>28146</v>
      </c>
      <c r="AR322" s="1110"/>
      <c r="AS322" s="1110"/>
      <c r="AT322" s="1110"/>
      <c r="AU322" s="1110"/>
      <c r="AV322" s="1110"/>
      <c r="AW322" s="1110"/>
      <c r="AX322" s="1111"/>
    </row>
    <row r="323" spans="1:50" ht="36" customHeight="1" x14ac:dyDescent="0.2">
      <c r="A323" s="1410" t="s">
        <v>3216</v>
      </c>
      <c r="B323" s="1411" t="s">
        <v>286</v>
      </c>
      <c r="C323" s="1259" t="s">
        <v>3463</v>
      </c>
      <c r="D323" s="1110"/>
      <c r="E323" s="1110"/>
      <c r="F323" s="1110"/>
      <c r="G323" s="1110"/>
      <c r="H323" s="1110"/>
      <c r="I323" s="1379"/>
      <c r="J323" s="1379"/>
      <c r="K323" s="1379"/>
      <c r="L323" s="1379"/>
      <c r="M323" s="1379"/>
      <c r="N323" s="1380"/>
      <c r="O323" s="1380"/>
      <c r="P323" s="1379"/>
      <c r="Q323" s="1110"/>
      <c r="R323" s="1110"/>
      <c r="S323" s="1110"/>
      <c r="T323" s="1110"/>
      <c r="U323" s="1110"/>
      <c r="V323" s="1110"/>
      <c r="W323" s="1110"/>
      <c r="X323" s="1110"/>
      <c r="Y323" s="1110"/>
      <c r="Z323" s="1110"/>
      <c r="AA323" s="1110"/>
      <c r="AB323" s="1110"/>
      <c r="AC323" s="1110"/>
      <c r="AD323" s="1110"/>
      <c r="AE323" s="1110"/>
      <c r="AF323" s="1110"/>
      <c r="AG323" s="1110"/>
      <c r="AH323" s="1110"/>
      <c r="AI323" s="1110"/>
      <c r="AJ323" s="1110"/>
      <c r="AK323" s="1110"/>
      <c r="AL323" s="1110"/>
      <c r="AM323" s="1110"/>
      <c r="AN323" s="1110"/>
      <c r="AO323" s="1110"/>
      <c r="AP323" s="1110">
        <v>72036518</v>
      </c>
      <c r="AQ323" s="1110"/>
      <c r="AR323" s="1110"/>
      <c r="AS323" s="1110"/>
      <c r="AT323" s="1110"/>
      <c r="AU323" s="1110"/>
      <c r="AV323" s="1110"/>
      <c r="AW323" s="1110"/>
      <c r="AX323" s="1111"/>
    </row>
    <row r="324" spans="1:50" ht="48" customHeight="1" x14ac:dyDescent="0.2">
      <c r="A324" s="1410" t="s">
        <v>3238</v>
      </c>
      <c r="B324" s="1411" t="s">
        <v>295</v>
      </c>
      <c r="C324" s="1259" t="s">
        <v>3470</v>
      </c>
      <c r="D324" s="1110"/>
      <c r="E324" s="1110"/>
      <c r="F324" s="1110"/>
      <c r="G324" s="1110"/>
      <c r="H324" s="1110"/>
      <c r="I324" s="1379"/>
      <c r="J324" s="1379"/>
      <c r="K324" s="1379"/>
      <c r="L324" s="1379"/>
      <c r="M324" s="1379"/>
      <c r="N324" s="1380"/>
      <c r="O324" s="1380"/>
      <c r="P324" s="1379"/>
      <c r="Q324" s="1110"/>
      <c r="R324" s="1110"/>
      <c r="S324" s="1110"/>
      <c r="T324" s="1110"/>
      <c r="U324" s="1110"/>
      <c r="V324" s="1110"/>
      <c r="W324" s="1110"/>
      <c r="X324" s="1110"/>
      <c r="Y324" s="1110"/>
      <c r="Z324" s="1110"/>
      <c r="AA324" s="1110"/>
      <c r="AB324" s="1110"/>
      <c r="AC324" s="1110"/>
      <c r="AD324" s="1110"/>
      <c r="AE324" s="1110"/>
      <c r="AF324" s="1110"/>
      <c r="AG324" s="1110"/>
      <c r="AH324" s="1110"/>
      <c r="AI324" s="1110"/>
      <c r="AJ324" s="1110"/>
      <c r="AK324" s="1110"/>
      <c r="AL324" s="1110"/>
      <c r="AM324" s="1110"/>
      <c r="AN324" s="1110"/>
      <c r="AO324" s="1110"/>
      <c r="AP324" s="1110"/>
      <c r="AQ324" s="1110">
        <v>-6604000</v>
      </c>
      <c r="AR324" s="1110"/>
      <c r="AS324" s="1110"/>
      <c r="AT324" s="1110"/>
      <c r="AU324" s="1110"/>
      <c r="AV324" s="1110"/>
      <c r="AW324" s="1110"/>
      <c r="AX324" s="1111"/>
    </row>
    <row r="325" spans="1:50" ht="48" customHeight="1" x14ac:dyDescent="0.2">
      <c r="A325" s="1410" t="s">
        <v>3250</v>
      </c>
      <c r="B325" s="1411" t="s">
        <v>300</v>
      </c>
      <c r="C325" s="1259" t="s">
        <v>2817</v>
      </c>
      <c r="D325" s="1110"/>
      <c r="E325" s="1110"/>
      <c r="F325" s="1110"/>
      <c r="G325" s="1110"/>
      <c r="H325" s="1110"/>
      <c r="I325" s="1379"/>
      <c r="J325" s="1379"/>
      <c r="K325" s="1379"/>
      <c r="L325" s="1379"/>
      <c r="M325" s="1379"/>
      <c r="N325" s="1380"/>
      <c r="O325" s="1380"/>
      <c r="P325" s="1379"/>
      <c r="Q325" s="1110"/>
      <c r="R325" s="1110"/>
      <c r="S325" s="1110"/>
      <c r="T325" s="1110"/>
      <c r="U325" s="1110"/>
      <c r="V325" s="1110"/>
      <c r="W325" s="1110"/>
      <c r="X325" s="1110"/>
      <c r="Y325" s="1110"/>
      <c r="Z325" s="1110"/>
      <c r="AA325" s="1110"/>
      <c r="AB325" s="1110"/>
      <c r="AC325" s="1110"/>
      <c r="AD325" s="1110"/>
      <c r="AE325" s="1110"/>
      <c r="AF325" s="1110"/>
      <c r="AG325" s="1110"/>
      <c r="AH325" s="1110"/>
      <c r="AI325" s="1110"/>
      <c r="AJ325" s="1110"/>
      <c r="AK325" s="1110"/>
      <c r="AL325" s="1110"/>
      <c r="AM325" s="1110"/>
      <c r="AN325" s="1110"/>
      <c r="AO325" s="1110"/>
      <c r="AP325" s="1110"/>
      <c r="AQ325" s="1110"/>
      <c r="AR325" s="1110"/>
      <c r="AS325" s="1110"/>
      <c r="AT325" s="1110">
        <v>-5378876</v>
      </c>
      <c r="AU325" s="1110"/>
      <c r="AV325" s="1110"/>
      <c r="AW325" s="1110"/>
      <c r="AX325" s="1111"/>
    </row>
    <row r="326" spans="1:50" ht="37.5" customHeight="1" x14ac:dyDescent="0.2">
      <c r="A326" s="1410" t="s">
        <v>3252</v>
      </c>
      <c r="B326" s="1411" t="s">
        <v>759</v>
      </c>
      <c r="C326" s="1259" t="s">
        <v>2815</v>
      </c>
      <c r="D326" s="1110"/>
      <c r="E326" s="1110"/>
      <c r="F326" s="1110"/>
      <c r="G326" s="1110"/>
      <c r="H326" s="1110"/>
      <c r="I326" s="1379"/>
      <c r="J326" s="1379"/>
      <c r="K326" s="1379"/>
      <c r="L326" s="1379"/>
      <c r="M326" s="1379"/>
      <c r="N326" s="1380"/>
      <c r="O326" s="1380"/>
      <c r="P326" s="1379"/>
      <c r="Q326" s="1110"/>
      <c r="R326" s="1110"/>
      <c r="S326" s="1110"/>
      <c r="T326" s="1110"/>
      <c r="U326" s="1110"/>
      <c r="V326" s="1110"/>
      <c r="W326" s="1110"/>
      <c r="X326" s="1110"/>
      <c r="Y326" s="1110"/>
      <c r="Z326" s="1110"/>
      <c r="AA326" s="1110"/>
      <c r="AB326" s="1110"/>
      <c r="AC326" s="1110"/>
      <c r="AD326" s="1110"/>
      <c r="AE326" s="1110"/>
      <c r="AF326" s="1110"/>
      <c r="AG326" s="1110"/>
      <c r="AH326" s="1110"/>
      <c r="AI326" s="1110"/>
      <c r="AJ326" s="1110"/>
      <c r="AK326" s="1110"/>
      <c r="AL326" s="1110"/>
      <c r="AM326" s="1110"/>
      <c r="AN326" s="1110"/>
      <c r="AO326" s="1110"/>
      <c r="AP326" s="1110"/>
      <c r="AQ326" s="1110"/>
      <c r="AR326" s="1110"/>
      <c r="AS326" s="1110"/>
      <c r="AT326" s="1110">
        <v>39515838</v>
      </c>
      <c r="AU326" s="1110"/>
      <c r="AV326" s="1110"/>
      <c r="AW326" s="1110"/>
      <c r="AX326" s="1111"/>
    </row>
    <row r="327" spans="1:50" ht="62.25" customHeight="1" x14ac:dyDescent="0.2">
      <c r="A327" s="1410" t="s">
        <v>3257</v>
      </c>
      <c r="B327" s="1411" t="s">
        <v>760</v>
      </c>
      <c r="C327" s="1259" t="s">
        <v>3474</v>
      </c>
      <c r="D327" s="1110"/>
      <c r="E327" s="1110"/>
      <c r="F327" s="1110"/>
      <c r="G327" s="1110"/>
      <c r="H327" s="1110"/>
      <c r="I327" s="1379"/>
      <c r="J327" s="1379"/>
      <c r="K327" s="1379"/>
      <c r="L327" s="1379"/>
      <c r="M327" s="1379"/>
      <c r="N327" s="1380"/>
      <c r="O327" s="1380"/>
      <c r="P327" s="1379"/>
      <c r="Q327" s="1110"/>
      <c r="R327" s="1110"/>
      <c r="S327" s="1110"/>
      <c r="T327" s="1110"/>
      <c r="U327" s="1110"/>
      <c r="V327" s="1110"/>
      <c r="W327" s="1110"/>
      <c r="X327" s="1110"/>
      <c r="Y327" s="1110">
        <v>2359553</v>
      </c>
      <c r="Z327" s="1110"/>
      <c r="AA327" s="1110"/>
      <c r="AB327" s="1110"/>
      <c r="AC327" s="1110"/>
      <c r="AD327" s="1110"/>
      <c r="AE327" s="1110"/>
      <c r="AF327" s="1110"/>
      <c r="AG327" s="1110"/>
      <c r="AH327" s="1110"/>
      <c r="AI327" s="1110"/>
      <c r="AJ327" s="1110"/>
      <c r="AK327" s="1110"/>
      <c r="AL327" s="1110"/>
      <c r="AM327" s="1110"/>
      <c r="AN327" s="1110"/>
      <c r="AO327" s="1110"/>
      <c r="AP327" s="1110"/>
      <c r="AQ327" s="1110"/>
      <c r="AR327" s="1110"/>
      <c r="AS327" s="1110"/>
      <c r="AT327" s="1110"/>
      <c r="AU327" s="1110"/>
      <c r="AV327" s="1110"/>
      <c r="AW327" s="1110"/>
      <c r="AX327" s="1111"/>
    </row>
    <row r="328" spans="1:50" ht="48" customHeight="1" x14ac:dyDescent="0.2">
      <c r="A328" s="1410" t="s">
        <v>3260</v>
      </c>
      <c r="B328" s="1411" t="s">
        <v>302</v>
      </c>
      <c r="C328" s="1259" t="s">
        <v>3475</v>
      </c>
      <c r="D328" s="1110"/>
      <c r="E328" s="1110"/>
      <c r="F328" s="1110"/>
      <c r="G328" s="1110"/>
      <c r="H328" s="1110"/>
      <c r="I328" s="1379"/>
      <c r="J328" s="1379"/>
      <c r="K328" s="1379"/>
      <c r="L328" s="1379"/>
      <c r="M328" s="1379"/>
      <c r="N328" s="1380"/>
      <c r="O328" s="1380"/>
      <c r="P328" s="1379"/>
      <c r="Q328" s="1110"/>
      <c r="R328" s="1110"/>
      <c r="S328" s="1110"/>
      <c r="T328" s="1110"/>
      <c r="U328" s="1110"/>
      <c r="V328" s="1110"/>
      <c r="W328" s="1110"/>
      <c r="X328" s="1110"/>
      <c r="Y328" s="1110"/>
      <c r="Z328" s="1110"/>
      <c r="AA328" s="1110"/>
      <c r="AB328" s="1110"/>
      <c r="AC328" s="1110"/>
      <c r="AD328" s="1110"/>
      <c r="AE328" s="1110"/>
      <c r="AF328" s="1110"/>
      <c r="AG328" s="1110"/>
      <c r="AH328" s="1110"/>
      <c r="AI328" s="1110"/>
      <c r="AJ328" s="1110"/>
      <c r="AK328" s="1110"/>
      <c r="AL328" s="1110"/>
      <c r="AM328" s="1110"/>
      <c r="AN328" s="1110"/>
      <c r="AO328" s="1110"/>
      <c r="AP328" s="1110">
        <v>25448730</v>
      </c>
      <c r="AQ328" s="1110"/>
      <c r="AR328" s="1110"/>
      <c r="AS328" s="1110"/>
      <c r="AT328" s="1110"/>
      <c r="AU328" s="1110"/>
      <c r="AV328" s="1110"/>
      <c r="AW328" s="1110"/>
      <c r="AX328" s="1111"/>
    </row>
    <row r="329" spans="1:50" ht="80.25" customHeight="1" x14ac:dyDescent="0.2">
      <c r="A329" s="1410" t="s">
        <v>3262</v>
      </c>
      <c r="B329" s="1411" t="s">
        <v>303</v>
      </c>
      <c r="C329" s="1259" t="s">
        <v>3476</v>
      </c>
      <c r="D329" s="1110"/>
      <c r="E329" s="1110"/>
      <c r="F329" s="1110"/>
      <c r="G329" s="1110"/>
      <c r="H329" s="1110"/>
      <c r="I329" s="1379"/>
      <c r="J329" s="1379"/>
      <c r="K329" s="1379"/>
      <c r="L329" s="1379"/>
      <c r="M329" s="1379"/>
      <c r="N329" s="1380"/>
      <c r="O329" s="1380"/>
      <c r="P329" s="1379"/>
      <c r="Q329" s="1110"/>
      <c r="R329" s="1110"/>
      <c r="S329" s="1110"/>
      <c r="T329" s="1110"/>
      <c r="U329" s="1110"/>
      <c r="V329" s="1110"/>
      <c r="W329" s="1110"/>
      <c r="X329" s="1110"/>
      <c r="Y329" s="1110">
        <v>7904685</v>
      </c>
      <c r="Z329" s="1110"/>
      <c r="AA329" s="1110"/>
      <c r="AB329" s="1110"/>
      <c r="AC329" s="1110"/>
      <c r="AD329" s="1110"/>
      <c r="AE329" s="1110"/>
      <c r="AF329" s="1110"/>
      <c r="AG329" s="1110"/>
      <c r="AH329" s="1110"/>
      <c r="AI329" s="1110"/>
      <c r="AJ329" s="1110"/>
      <c r="AK329" s="1110"/>
      <c r="AL329" s="1110"/>
      <c r="AM329" s="1110"/>
      <c r="AN329" s="1110"/>
      <c r="AO329" s="1110"/>
      <c r="AP329" s="1110"/>
      <c r="AQ329" s="1110"/>
      <c r="AR329" s="1110"/>
      <c r="AS329" s="1110"/>
      <c r="AT329" s="1110"/>
      <c r="AU329" s="1110"/>
      <c r="AV329" s="1110"/>
      <c r="AW329" s="1110"/>
      <c r="AX329" s="1111"/>
    </row>
    <row r="330" spans="1:50" ht="60" customHeight="1" x14ac:dyDescent="0.2">
      <c r="A330" s="1410" t="s">
        <v>3265</v>
      </c>
      <c r="B330" s="1411" t="s">
        <v>306</v>
      </c>
      <c r="C330" s="1259" t="s">
        <v>3480</v>
      </c>
      <c r="D330" s="1110"/>
      <c r="E330" s="1110"/>
      <c r="F330" s="1110"/>
      <c r="G330" s="1110"/>
      <c r="H330" s="1110"/>
      <c r="I330" s="1379"/>
      <c r="J330" s="1379"/>
      <c r="K330" s="1379"/>
      <c r="L330" s="1379"/>
      <c r="M330" s="1379"/>
      <c r="N330" s="1380"/>
      <c r="O330" s="1380"/>
      <c r="P330" s="1379"/>
      <c r="Q330" s="1110"/>
      <c r="R330" s="1110"/>
      <c r="S330" s="1110"/>
      <c r="T330" s="1110"/>
      <c r="U330" s="1110"/>
      <c r="V330" s="1110"/>
      <c r="W330" s="1110"/>
      <c r="X330" s="1110"/>
      <c r="Y330" s="1110"/>
      <c r="Z330" s="1110"/>
      <c r="AA330" s="1110"/>
      <c r="AB330" s="1110"/>
      <c r="AC330" s="1110"/>
      <c r="AD330" s="1110"/>
      <c r="AE330" s="1110"/>
      <c r="AF330" s="1110"/>
      <c r="AG330" s="1110"/>
      <c r="AH330" s="1110"/>
      <c r="AI330" s="1110"/>
      <c r="AJ330" s="1110"/>
      <c r="AK330" s="1110"/>
      <c r="AL330" s="1110"/>
      <c r="AM330" s="1110"/>
      <c r="AN330" s="1110"/>
      <c r="AO330" s="1110"/>
      <c r="AP330" s="1110"/>
      <c r="AQ330" s="1110"/>
      <c r="AR330" s="1110"/>
      <c r="AS330" s="1110"/>
      <c r="AT330" s="1110">
        <v>250000</v>
      </c>
      <c r="AU330" s="1110"/>
      <c r="AV330" s="1110"/>
      <c r="AW330" s="1110"/>
      <c r="AX330" s="1111"/>
    </row>
    <row r="331" spans="1:50" ht="36" customHeight="1" x14ac:dyDescent="0.2">
      <c r="A331" s="1410" t="s">
        <v>3267</v>
      </c>
      <c r="B331" s="1411" t="s">
        <v>308</v>
      </c>
      <c r="C331" s="1259" t="s">
        <v>3487</v>
      </c>
      <c r="D331" s="1110"/>
      <c r="E331" s="1110"/>
      <c r="F331" s="1110"/>
      <c r="G331" s="1110"/>
      <c r="H331" s="1110"/>
      <c r="I331" s="1379"/>
      <c r="J331" s="1379"/>
      <c r="K331" s="1379"/>
      <c r="L331" s="1379"/>
      <c r="M331" s="1379"/>
      <c r="N331" s="1380"/>
      <c r="O331" s="1380"/>
      <c r="P331" s="1379"/>
      <c r="Q331" s="1110"/>
      <c r="R331" s="1110"/>
      <c r="S331" s="1110"/>
      <c r="T331" s="1110"/>
      <c r="U331" s="1110"/>
      <c r="V331" s="1110"/>
      <c r="W331" s="1110"/>
      <c r="X331" s="1110"/>
      <c r="Y331" s="1110"/>
      <c r="Z331" s="1110"/>
      <c r="AA331" s="1110"/>
      <c r="AB331" s="1110"/>
      <c r="AC331" s="1110"/>
      <c r="AD331" s="1110"/>
      <c r="AE331" s="1110"/>
      <c r="AF331" s="1110"/>
      <c r="AG331" s="1110"/>
      <c r="AH331" s="1110"/>
      <c r="AI331" s="1110"/>
      <c r="AJ331" s="1110"/>
      <c r="AK331" s="1110"/>
      <c r="AL331" s="1110"/>
      <c r="AM331" s="1110"/>
      <c r="AN331" s="1110"/>
      <c r="AO331" s="1110"/>
      <c r="AP331" s="1110"/>
      <c r="AQ331" s="1110">
        <v>99838</v>
      </c>
      <c r="AR331" s="1110"/>
      <c r="AS331" s="1110"/>
      <c r="AT331" s="1110"/>
      <c r="AU331" s="1110"/>
      <c r="AV331" s="1110"/>
      <c r="AW331" s="1110"/>
      <c r="AX331" s="1111"/>
    </row>
    <row r="332" spans="1:50" ht="42" customHeight="1" x14ac:dyDescent="0.2">
      <c r="A332" s="1410" t="s">
        <v>3273</v>
      </c>
      <c r="B332" s="1411" t="s">
        <v>310</v>
      </c>
      <c r="C332" s="1259" t="s">
        <v>3496</v>
      </c>
      <c r="D332" s="1110"/>
      <c r="E332" s="1110"/>
      <c r="F332" s="1110"/>
      <c r="G332" s="1110"/>
      <c r="H332" s="1110"/>
      <c r="I332" s="1379"/>
      <c r="J332" s="1379"/>
      <c r="K332" s="1379"/>
      <c r="L332" s="1379"/>
      <c r="M332" s="1379"/>
      <c r="N332" s="1380"/>
      <c r="O332" s="1380"/>
      <c r="P332" s="1379"/>
      <c r="Q332" s="1110"/>
      <c r="R332" s="1110"/>
      <c r="S332" s="1110"/>
      <c r="T332" s="1110"/>
      <c r="U332" s="1110"/>
      <c r="V332" s="1110"/>
      <c r="W332" s="1110"/>
      <c r="X332" s="1110"/>
      <c r="Y332" s="1110"/>
      <c r="Z332" s="1110"/>
      <c r="AA332" s="1110"/>
      <c r="AB332" s="1110"/>
      <c r="AC332" s="1110"/>
      <c r="AD332" s="1110"/>
      <c r="AE332" s="1110"/>
      <c r="AF332" s="1110"/>
      <c r="AG332" s="1110"/>
      <c r="AH332" s="1110"/>
      <c r="AI332" s="1110"/>
      <c r="AJ332" s="1110"/>
      <c r="AK332" s="1110"/>
      <c r="AL332" s="1110"/>
      <c r="AM332" s="1110"/>
      <c r="AN332" s="1110"/>
      <c r="AO332" s="1110"/>
      <c r="AP332" s="1110"/>
      <c r="AQ332" s="1110">
        <v>72549</v>
      </c>
      <c r="AR332" s="1110"/>
      <c r="AS332" s="1110"/>
      <c r="AT332" s="1110"/>
      <c r="AU332" s="1110"/>
      <c r="AV332" s="1110"/>
      <c r="AW332" s="1110"/>
      <c r="AX332" s="1111"/>
    </row>
    <row r="333" spans="1:50" ht="48" customHeight="1" x14ac:dyDescent="0.2">
      <c r="A333" s="1410" t="s">
        <v>3503</v>
      </c>
      <c r="B333" s="1411" t="s">
        <v>312</v>
      </c>
      <c r="C333" s="1259" t="s">
        <v>3504</v>
      </c>
      <c r="D333" s="1110"/>
      <c r="E333" s="1110"/>
      <c r="F333" s="1110"/>
      <c r="G333" s="1110"/>
      <c r="H333" s="1110"/>
      <c r="I333" s="1379"/>
      <c r="J333" s="1379"/>
      <c r="K333" s="1379"/>
      <c r="L333" s="1379"/>
      <c r="M333" s="1379"/>
      <c r="N333" s="1380"/>
      <c r="O333" s="1380"/>
      <c r="P333" s="1379"/>
      <c r="Q333" s="1110">
        <v>-4900000</v>
      </c>
      <c r="R333" s="1110"/>
      <c r="S333" s="1110"/>
      <c r="T333" s="1110"/>
      <c r="U333" s="1110"/>
      <c r="V333" s="1110"/>
      <c r="W333" s="1110"/>
      <c r="X333" s="1110"/>
      <c r="Y333" s="1110"/>
      <c r="Z333" s="1110"/>
      <c r="AA333" s="1110"/>
      <c r="AB333" s="1110"/>
      <c r="AC333" s="1110"/>
      <c r="AD333" s="1110"/>
      <c r="AE333" s="1110"/>
      <c r="AF333" s="1110"/>
      <c r="AG333" s="1110"/>
      <c r="AH333" s="1110"/>
      <c r="AI333" s="1110"/>
      <c r="AJ333" s="1110"/>
      <c r="AK333" s="1110"/>
      <c r="AL333" s="1110"/>
      <c r="AM333" s="1110"/>
      <c r="AN333" s="1110"/>
      <c r="AO333" s="1110"/>
      <c r="AP333" s="1110"/>
      <c r="AQ333" s="1110"/>
      <c r="AR333" s="1110"/>
      <c r="AS333" s="1110"/>
      <c r="AT333" s="1110"/>
      <c r="AU333" s="1110"/>
      <c r="AV333" s="1110"/>
      <c r="AW333" s="1110"/>
      <c r="AX333" s="1111"/>
    </row>
    <row r="334" spans="1:50" ht="70.5" customHeight="1" x14ac:dyDescent="0.2">
      <c r="A334" s="1410" t="s">
        <v>3511</v>
      </c>
      <c r="B334" s="1411" t="s">
        <v>313</v>
      </c>
      <c r="C334" s="1259" t="s">
        <v>3526</v>
      </c>
      <c r="D334" s="1110"/>
      <c r="E334" s="1110"/>
      <c r="F334" s="1110"/>
      <c r="G334" s="1110"/>
      <c r="H334" s="1110"/>
      <c r="I334" s="1379"/>
      <c r="J334" s="1379"/>
      <c r="K334" s="1379"/>
      <c r="L334" s="1379">
        <v>851400</v>
      </c>
      <c r="M334" s="1379"/>
      <c r="N334" s="1380"/>
      <c r="O334" s="1380"/>
      <c r="P334" s="1379"/>
      <c r="Q334" s="1110"/>
      <c r="R334" s="1110"/>
      <c r="S334" s="1110"/>
      <c r="T334" s="1110"/>
      <c r="U334" s="1110"/>
      <c r="V334" s="1110"/>
      <c r="W334" s="1110"/>
      <c r="X334" s="1110"/>
      <c r="Y334" s="1110"/>
      <c r="Z334" s="1110"/>
      <c r="AA334" s="1110"/>
      <c r="AB334" s="1110"/>
      <c r="AC334" s="1110"/>
      <c r="AD334" s="1110"/>
      <c r="AE334" s="1110"/>
      <c r="AF334" s="1110"/>
      <c r="AG334" s="1110"/>
      <c r="AH334" s="1110"/>
      <c r="AI334" s="1110"/>
      <c r="AJ334" s="1110"/>
      <c r="AK334" s="1110"/>
      <c r="AL334" s="1110"/>
      <c r="AM334" s="1110"/>
      <c r="AN334" s="1110"/>
      <c r="AO334" s="1110"/>
      <c r="AP334" s="1110"/>
      <c r="AQ334" s="1110"/>
      <c r="AR334" s="1110">
        <f>16498200-851400</f>
        <v>15646800</v>
      </c>
      <c r="AS334" s="1110"/>
      <c r="AT334" s="1110"/>
      <c r="AU334" s="1110"/>
      <c r="AV334" s="1110"/>
      <c r="AW334" s="1110"/>
      <c r="AX334" s="1111"/>
    </row>
    <row r="335" spans="1:50" ht="48" customHeight="1" x14ac:dyDescent="0.2">
      <c r="A335" s="1410" t="s">
        <v>3287</v>
      </c>
      <c r="B335" s="1411" t="s">
        <v>314</v>
      </c>
      <c r="C335" s="1259" t="s">
        <v>3512</v>
      </c>
      <c r="D335" s="1110"/>
      <c r="E335" s="1110"/>
      <c r="F335" s="1110"/>
      <c r="G335" s="1110"/>
      <c r="H335" s="1110"/>
      <c r="I335" s="1379"/>
      <c r="J335" s="1379"/>
      <c r="K335" s="1379"/>
      <c r="L335" s="1379"/>
      <c r="M335" s="1379"/>
      <c r="N335" s="1380"/>
      <c r="O335" s="1380"/>
      <c r="P335" s="1379"/>
      <c r="Q335" s="1110"/>
      <c r="R335" s="1110"/>
      <c r="S335" s="1110"/>
      <c r="T335" s="1110"/>
      <c r="U335" s="1110"/>
      <c r="V335" s="1110"/>
      <c r="W335" s="1110"/>
      <c r="X335" s="1110"/>
      <c r="Y335" s="1110"/>
      <c r="Z335" s="1110"/>
      <c r="AA335" s="1110"/>
      <c r="AB335" s="1110"/>
      <c r="AC335" s="1110"/>
      <c r="AD335" s="1110"/>
      <c r="AE335" s="1110"/>
      <c r="AF335" s="1110"/>
      <c r="AG335" s="1110"/>
      <c r="AH335" s="1110"/>
      <c r="AI335" s="1110"/>
      <c r="AJ335" s="1110"/>
      <c r="AK335" s="1110"/>
      <c r="AL335" s="1110"/>
      <c r="AM335" s="1110"/>
      <c r="AN335" s="1110"/>
      <c r="AO335" s="1110"/>
      <c r="AP335" s="1110"/>
      <c r="AQ335" s="1110">
        <v>6521</v>
      </c>
      <c r="AR335" s="1110"/>
      <c r="AS335" s="1110"/>
      <c r="AT335" s="1110"/>
      <c r="AU335" s="1110"/>
      <c r="AV335" s="1110"/>
      <c r="AW335" s="1110"/>
      <c r="AX335" s="1111"/>
    </row>
    <row r="336" spans="1:50" ht="40.5" customHeight="1" x14ac:dyDescent="0.2">
      <c r="A336" s="1410" t="s">
        <v>3297</v>
      </c>
      <c r="B336" s="1411" t="s">
        <v>761</v>
      </c>
      <c r="C336" s="1259" t="s">
        <v>3515</v>
      </c>
      <c r="D336" s="1110"/>
      <c r="E336" s="1110"/>
      <c r="F336" s="1110"/>
      <c r="G336" s="1110"/>
      <c r="H336" s="1110"/>
      <c r="I336" s="1379"/>
      <c r="J336" s="1379"/>
      <c r="K336" s="1379"/>
      <c r="L336" s="1379"/>
      <c r="M336" s="1379"/>
      <c r="N336" s="1380"/>
      <c r="O336" s="1380"/>
      <c r="P336" s="1379"/>
      <c r="Q336" s="1110"/>
      <c r="R336" s="1110"/>
      <c r="S336" s="1110"/>
      <c r="T336" s="1110"/>
      <c r="U336" s="1110"/>
      <c r="V336" s="1110"/>
      <c r="W336" s="1110"/>
      <c r="X336" s="1110"/>
      <c r="Y336" s="1110"/>
      <c r="Z336" s="1110"/>
      <c r="AA336" s="1110"/>
      <c r="AB336" s="1110"/>
      <c r="AC336" s="1110"/>
      <c r="AD336" s="1110"/>
      <c r="AE336" s="1110"/>
      <c r="AF336" s="1110"/>
      <c r="AG336" s="1110"/>
      <c r="AH336" s="1110"/>
      <c r="AI336" s="1110"/>
      <c r="AJ336" s="1110"/>
      <c r="AK336" s="1110"/>
      <c r="AL336" s="1110"/>
      <c r="AM336" s="1110"/>
      <c r="AN336" s="1110"/>
      <c r="AO336" s="1110"/>
      <c r="AP336" s="1110"/>
      <c r="AQ336" s="1110">
        <v>-206262</v>
      </c>
      <c r="AR336" s="1110"/>
      <c r="AS336" s="1110"/>
      <c r="AT336" s="1110"/>
      <c r="AU336" s="1110"/>
      <c r="AV336" s="1110"/>
      <c r="AW336" s="1110"/>
      <c r="AX336" s="1111"/>
    </row>
    <row r="337" spans="1:50" ht="48" customHeight="1" x14ac:dyDescent="0.2">
      <c r="A337" s="1410" t="s">
        <v>3302</v>
      </c>
      <c r="B337" s="1411" t="s">
        <v>316</v>
      </c>
      <c r="C337" s="1259" t="s">
        <v>3516</v>
      </c>
      <c r="D337" s="1110"/>
      <c r="E337" s="1110"/>
      <c r="F337" s="1110"/>
      <c r="G337" s="1110"/>
      <c r="H337" s="1110"/>
      <c r="I337" s="1379"/>
      <c r="J337" s="1379"/>
      <c r="K337" s="1379"/>
      <c r="L337" s="1379"/>
      <c r="M337" s="1379"/>
      <c r="N337" s="1380"/>
      <c r="O337" s="1380"/>
      <c r="P337" s="1379"/>
      <c r="Q337" s="1110"/>
      <c r="R337" s="1110"/>
      <c r="S337" s="1110"/>
      <c r="T337" s="1110"/>
      <c r="U337" s="1110"/>
      <c r="V337" s="1110"/>
      <c r="W337" s="1110"/>
      <c r="X337" s="1110"/>
      <c r="Y337" s="1110"/>
      <c r="Z337" s="1110"/>
      <c r="AA337" s="1110"/>
      <c r="AB337" s="1110"/>
      <c r="AC337" s="1110"/>
      <c r="AD337" s="1110"/>
      <c r="AE337" s="1110"/>
      <c r="AF337" s="1110"/>
      <c r="AG337" s="1110"/>
      <c r="AH337" s="1110"/>
      <c r="AI337" s="1110"/>
      <c r="AJ337" s="1110"/>
      <c r="AK337" s="1110"/>
      <c r="AL337" s="1110"/>
      <c r="AM337" s="1110"/>
      <c r="AN337" s="1110"/>
      <c r="AO337" s="1110"/>
      <c r="AP337" s="1110"/>
      <c r="AQ337" s="1110"/>
      <c r="AR337" s="1110"/>
      <c r="AS337" s="1110"/>
      <c r="AT337" s="1110"/>
      <c r="AU337" s="1110"/>
      <c r="AV337" s="1110"/>
      <c r="AW337" s="1110"/>
      <c r="AX337" s="1111">
        <v>-100000</v>
      </c>
    </row>
    <row r="338" spans="1:50" ht="48" customHeight="1" x14ac:dyDescent="0.2">
      <c r="A338" s="1410" t="s">
        <v>3313</v>
      </c>
      <c r="B338" s="1411" t="s">
        <v>155</v>
      </c>
      <c r="C338" s="1259" t="s">
        <v>3521</v>
      </c>
      <c r="D338" s="1110"/>
      <c r="E338" s="1110"/>
      <c r="F338" s="1110"/>
      <c r="G338" s="1110"/>
      <c r="H338" s="1110"/>
      <c r="I338" s="1379"/>
      <c r="J338" s="1379"/>
      <c r="K338" s="1379"/>
      <c r="L338" s="1379"/>
      <c r="M338" s="1379"/>
      <c r="N338" s="1380"/>
      <c r="O338" s="1380"/>
      <c r="P338" s="1379"/>
      <c r="Q338" s="1110"/>
      <c r="R338" s="1110"/>
      <c r="S338" s="1110"/>
      <c r="T338" s="1110"/>
      <c r="U338" s="1110"/>
      <c r="V338" s="1110"/>
      <c r="W338" s="1110"/>
      <c r="X338" s="1110"/>
      <c r="Y338" s="1110"/>
      <c r="Z338" s="1110"/>
      <c r="AA338" s="1110"/>
      <c r="AB338" s="1110"/>
      <c r="AC338" s="1110"/>
      <c r="AD338" s="1110"/>
      <c r="AE338" s="1110"/>
      <c r="AF338" s="1110"/>
      <c r="AG338" s="1110"/>
      <c r="AH338" s="1110"/>
      <c r="AI338" s="1110"/>
      <c r="AJ338" s="1110"/>
      <c r="AK338" s="1110"/>
      <c r="AL338" s="1110"/>
      <c r="AM338" s="1110"/>
      <c r="AN338" s="1110"/>
      <c r="AO338" s="1110"/>
      <c r="AP338" s="1110"/>
      <c r="AQ338" s="1110">
        <v>-27375288</v>
      </c>
      <c r="AR338" s="1110"/>
      <c r="AS338" s="1110"/>
      <c r="AT338" s="1110"/>
      <c r="AU338" s="1110"/>
      <c r="AV338" s="1110"/>
      <c r="AW338" s="1110"/>
      <c r="AX338" s="1111"/>
    </row>
    <row r="339" spans="1:50" ht="41.25" customHeight="1" x14ac:dyDescent="0.2">
      <c r="A339" s="1410" t="s">
        <v>3316</v>
      </c>
      <c r="B339" s="1411" t="s">
        <v>318</v>
      </c>
      <c r="C339" s="1259" t="s">
        <v>3522</v>
      </c>
      <c r="D339" s="1110"/>
      <c r="E339" s="1110"/>
      <c r="F339" s="1110"/>
      <c r="G339" s="1110"/>
      <c r="H339" s="1110"/>
      <c r="I339" s="1379"/>
      <c r="J339" s="1379"/>
      <c r="K339" s="1379"/>
      <c r="L339" s="1379"/>
      <c r="M339" s="1379"/>
      <c r="N339" s="1380"/>
      <c r="O339" s="1380"/>
      <c r="P339" s="1379"/>
      <c r="Q339" s="1110"/>
      <c r="R339" s="1110"/>
      <c r="S339" s="1110"/>
      <c r="T339" s="1110"/>
      <c r="U339" s="1110"/>
      <c r="V339" s="1110"/>
      <c r="W339" s="1110"/>
      <c r="X339" s="1110"/>
      <c r="Y339" s="1110"/>
      <c r="Z339" s="1110"/>
      <c r="AA339" s="1110"/>
      <c r="AB339" s="1110"/>
      <c r="AC339" s="1110"/>
      <c r="AD339" s="1110"/>
      <c r="AE339" s="1110"/>
      <c r="AF339" s="1110"/>
      <c r="AG339" s="1110"/>
      <c r="AH339" s="1110"/>
      <c r="AI339" s="1110"/>
      <c r="AJ339" s="1110"/>
      <c r="AK339" s="1110"/>
      <c r="AL339" s="1110"/>
      <c r="AM339" s="1110"/>
      <c r="AN339" s="1110"/>
      <c r="AO339" s="1110"/>
      <c r="AP339" s="1110"/>
      <c r="AQ339" s="1110">
        <v>-30522522</v>
      </c>
      <c r="AR339" s="1110"/>
      <c r="AS339" s="1110"/>
      <c r="AT339" s="1110"/>
      <c r="AU339" s="1110"/>
      <c r="AV339" s="1110"/>
      <c r="AW339" s="1110"/>
      <c r="AX339" s="1111"/>
    </row>
    <row r="340" spans="1:50" ht="48" customHeight="1" x14ac:dyDescent="0.2">
      <c r="A340" s="1410" t="s">
        <v>3318</v>
      </c>
      <c r="B340" s="1537" t="s">
        <v>3525</v>
      </c>
      <c r="C340" s="1259" t="s">
        <v>3524</v>
      </c>
      <c r="D340" s="1110"/>
      <c r="E340" s="1110"/>
      <c r="F340" s="1110"/>
      <c r="G340" s="1110"/>
      <c r="H340" s="1110"/>
      <c r="I340" s="1379"/>
      <c r="J340" s="1379"/>
      <c r="K340" s="1379"/>
      <c r="L340" s="1379"/>
      <c r="M340" s="1379"/>
      <c r="N340" s="1380"/>
      <c r="O340" s="1380"/>
      <c r="P340" s="1379"/>
      <c r="Q340" s="1110"/>
      <c r="R340" s="1110"/>
      <c r="S340" s="1110"/>
      <c r="T340" s="1110"/>
      <c r="U340" s="1110"/>
      <c r="V340" s="1110"/>
      <c r="W340" s="1110"/>
      <c r="X340" s="1110"/>
      <c r="Y340" s="1110"/>
      <c r="Z340" s="1110"/>
      <c r="AA340" s="1110"/>
      <c r="AB340" s="1110"/>
      <c r="AC340" s="1110"/>
      <c r="AD340" s="1110"/>
      <c r="AE340" s="1110"/>
      <c r="AF340" s="1110"/>
      <c r="AG340" s="1110"/>
      <c r="AH340" s="1110"/>
      <c r="AI340" s="1110"/>
      <c r="AJ340" s="1110"/>
      <c r="AK340" s="1110"/>
      <c r="AL340" s="1110"/>
      <c r="AM340" s="1110"/>
      <c r="AN340" s="1110"/>
      <c r="AO340" s="1110"/>
      <c r="AP340" s="1110"/>
      <c r="AQ340" s="1110">
        <v>-280506</v>
      </c>
      <c r="AR340" s="1110"/>
      <c r="AS340" s="1110"/>
      <c r="AT340" s="1110"/>
      <c r="AU340" s="1110"/>
      <c r="AV340" s="1110"/>
      <c r="AW340" s="1110"/>
      <c r="AX340" s="1111"/>
    </row>
    <row r="341" spans="1:50" ht="39" customHeight="1" x14ac:dyDescent="0.2">
      <c r="A341" s="1410" t="s">
        <v>3324</v>
      </c>
      <c r="B341" s="1537" t="s">
        <v>321</v>
      </c>
      <c r="C341" s="1259" t="s">
        <v>3532</v>
      </c>
      <c r="D341" s="1110"/>
      <c r="E341" s="1110"/>
      <c r="F341" s="1110"/>
      <c r="G341" s="1110"/>
      <c r="H341" s="1110"/>
      <c r="I341" s="1379"/>
      <c r="J341" s="1379"/>
      <c r="K341" s="1379"/>
      <c r="L341" s="1379"/>
      <c r="M341" s="1379"/>
      <c r="N341" s="1380"/>
      <c r="O341" s="1380"/>
      <c r="P341" s="1379"/>
      <c r="Q341" s="1110"/>
      <c r="R341" s="1110"/>
      <c r="S341" s="1110"/>
      <c r="T341" s="1110"/>
      <c r="U341" s="1110"/>
      <c r="V341" s="1110"/>
      <c r="W341" s="1110"/>
      <c r="X341" s="1110"/>
      <c r="Y341" s="1110"/>
      <c r="Z341" s="1110"/>
      <c r="AA341" s="1110"/>
      <c r="AB341" s="1110"/>
      <c r="AC341" s="1110"/>
      <c r="AD341" s="1110"/>
      <c r="AE341" s="1110"/>
      <c r="AF341" s="1110"/>
      <c r="AG341" s="1110"/>
      <c r="AH341" s="1110"/>
      <c r="AI341" s="1110"/>
      <c r="AJ341" s="1110"/>
      <c r="AK341" s="1110"/>
      <c r="AL341" s="1110"/>
      <c r="AM341" s="1110"/>
      <c r="AN341" s="1110"/>
      <c r="AO341" s="1110"/>
      <c r="AP341" s="1110"/>
      <c r="AQ341" s="1110">
        <v>804000</v>
      </c>
      <c r="AR341" s="1110"/>
      <c r="AS341" s="1110"/>
      <c r="AT341" s="1110"/>
      <c r="AU341" s="1110"/>
      <c r="AV341" s="1110"/>
      <c r="AW341" s="1110"/>
      <c r="AX341" s="1111"/>
    </row>
    <row r="342" spans="1:50" ht="41.25" customHeight="1" x14ac:dyDescent="0.2">
      <c r="A342" s="1410" t="s">
        <v>3326</v>
      </c>
      <c r="B342" s="1537" t="s">
        <v>322</v>
      </c>
      <c r="C342" s="1259" t="s">
        <v>3533</v>
      </c>
      <c r="D342" s="1110"/>
      <c r="E342" s="1110"/>
      <c r="F342" s="1110"/>
      <c r="G342" s="1110"/>
      <c r="H342" s="1110"/>
      <c r="I342" s="1379"/>
      <c r="J342" s="1379"/>
      <c r="K342" s="1379"/>
      <c r="L342" s="1379"/>
      <c r="M342" s="1379"/>
      <c r="N342" s="1380"/>
      <c r="O342" s="1380"/>
      <c r="P342" s="1379"/>
      <c r="Q342" s="1110"/>
      <c r="R342" s="1110"/>
      <c r="S342" s="1110"/>
      <c r="T342" s="1110"/>
      <c r="U342" s="1110"/>
      <c r="V342" s="1110"/>
      <c r="W342" s="1110"/>
      <c r="X342" s="1110"/>
      <c r="Y342" s="1110"/>
      <c r="Z342" s="1110"/>
      <c r="AA342" s="1110"/>
      <c r="AB342" s="1110"/>
      <c r="AC342" s="1110"/>
      <c r="AD342" s="1110"/>
      <c r="AE342" s="1110"/>
      <c r="AF342" s="1110"/>
      <c r="AG342" s="1110"/>
      <c r="AH342" s="1110"/>
      <c r="AI342" s="1110"/>
      <c r="AJ342" s="1110"/>
      <c r="AK342" s="1110"/>
      <c r="AL342" s="1110"/>
      <c r="AM342" s="1110"/>
      <c r="AN342" s="1110"/>
      <c r="AO342" s="1110"/>
      <c r="AP342" s="1110"/>
      <c r="AQ342" s="1110">
        <v>9090</v>
      </c>
      <c r="AR342" s="1110"/>
      <c r="AS342" s="1110"/>
      <c r="AT342" s="1110"/>
      <c r="AU342" s="1110"/>
      <c r="AV342" s="1110"/>
      <c r="AW342" s="1110"/>
      <c r="AX342" s="1111"/>
    </row>
    <row r="343" spans="1:50" ht="21" customHeight="1" x14ac:dyDescent="0.2">
      <c r="A343" s="1208"/>
      <c r="B343" s="1209"/>
      <c r="C343" s="1584"/>
      <c r="D343" s="1361"/>
      <c r="E343" s="1361"/>
      <c r="F343" s="1361"/>
      <c r="G343" s="1361"/>
      <c r="H343" s="1361"/>
      <c r="I343" s="1364"/>
      <c r="J343" s="1364"/>
      <c r="K343" s="1364"/>
      <c r="L343" s="1364"/>
      <c r="M343" s="1364"/>
      <c r="N343" s="1365"/>
      <c r="O343" s="1365"/>
      <c r="P343" s="1364"/>
      <c r="Q343" s="1361"/>
      <c r="R343" s="1361"/>
      <c r="S343" s="1361"/>
      <c r="T343" s="1361"/>
      <c r="U343" s="1361"/>
      <c r="V343" s="1361"/>
      <c r="W343" s="1361"/>
      <c r="X343" s="1361"/>
      <c r="Y343" s="1361"/>
      <c r="Z343" s="1361"/>
      <c r="AA343" s="1361"/>
      <c r="AB343" s="1361"/>
      <c r="AC343" s="1361"/>
      <c r="AD343" s="1361"/>
      <c r="AE343" s="1361"/>
      <c r="AF343" s="1361"/>
      <c r="AG343" s="1361"/>
      <c r="AH343" s="1361"/>
      <c r="AI343" s="1361"/>
      <c r="AJ343" s="1361"/>
      <c r="AK343" s="1361"/>
      <c r="AL343" s="1361"/>
      <c r="AM343" s="1361"/>
      <c r="AN343" s="1361"/>
      <c r="AO343" s="1361"/>
      <c r="AP343" s="1361"/>
      <c r="AQ343" s="1361"/>
      <c r="AR343" s="1361"/>
      <c r="AS343" s="1361"/>
      <c r="AT343" s="1361"/>
      <c r="AU343" s="1361"/>
      <c r="AV343" s="1361"/>
      <c r="AW343" s="1361"/>
      <c r="AX343" s="1363"/>
    </row>
    <row r="344" spans="1:50" ht="28.5" customHeight="1" x14ac:dyDescent="0.2">
      <c r="A344" s="2141" t="s">
        <v>1512</v>
      </c>
      <c r="B344" s="2142"/>
      <c r="C344" s="2143"/>
      <c r="D344" s="1112">
        <f t="shared" ref="D344:AX344" si="0">SUM(D3:D343)</f>
        <v>0</v>
      </c>
      <c r="E344" s="1112">
        <f t="shared" si="0"/>
        <v>0</v>
      </c>
      <c r="F344" s="1112">
        <f t="shared" si="0"/>
        <v>0</v>
      </c>
      <c r="G344" s="1112">
        <f t="shared" si="0"/>
        <v>9561700</v>
      </c>
      <c r="H344" s="1112">
        <f t="shared" si="0"/>
        <v>3830</v>
      </c>
      <c r="I344" s="1112">
        <f t="shared" si="0"/>
        <v>2044893</v>
      </c>
      <c r="J344" s="1112">
        <f t="shared" si="0"/>
        <v>659324</v>
      </c>
      <c r="K344" s="1112">
        <f t="shared" si="0"/>
        <v>4074055</v>
      </c>
      <c r="L344" s="1112">
        <f t="shared" si="0"/>
        <v>2373132</v>
      </c>
      <c r="M344" s="1112">
        <f t="shared" si="0"/>
        <v>10494228</v>
      </c>
      <c r="N344" s="1112">
        <f t="shared" si="0"/>
        <v>18146313</v>
      </c>
      <c r="O344" s="1112">
        <f t="shared" si="0"/>
        <v>308324</v>
      </c>
      <c r="P344" s="1112">
        <f t="shared" si="0"/>
        <v>0</v>
      </c>
      <c r="Q344" s="1112">
        <f t="shared" si="0"/>
        <v>6048465</v>
      </c>
      <c r="R344" s="1112">
        <f t="shared" si="0"/>
        <v>0</v>
      </c>
      <c r="S344" s="1112">
        <f t="shared" si="0"/>
        <v>0</v>
      </c>
      <c r="T344" s="1112">
        <f t="shared" si="0"/>
        <v>0</v>
      </c>
      <c r="U344" s="1112">
        <f t="shared" si="0"/>
        <v>0</v>
      </c>
      <c r="V344" s="1112">
        <f t="shared" si="0"/>
        <v>0</v>
      </c>
      <c r="W344" s="1112">
        <f t="shared" si="0"/>
        <v>3390000</v>
      </c>
      <c r="X344" s="1112">
        <f t="shared" si="0"/>
        <v>1300000</v>
      </c>
      <c r="Y344" s="1112">
        <f t="shared" si="0"/>
        <v>12589534</v>
      </c>
      <c r="Z344" s="1112">
        <f t="shared" si="0"/>
        <v>10000000</v>
      </c>
      <c r="AA344" s="1112">
        <f t="shared" si="0"/>
        <v>0</v>
      </c>
      <c r="AB344" s="1112">
        <f t="shared" si="0"/>
        <v>35368600</v>
      </c>
      <c r="AC344" s="1112">
        <f t="shared" si="0"/>
        <v>1460000</v>
      </c>
      <c r="AD344" s="1112">
        <f t="shared" si="0"/>
        <v>0</v>
      </c>
      <c r="AE344" s="1112">
        <f t="shared" si="0"/>
        <v>0</v>
      </c>
      <c r="AF344" s="1112">
        <f t="shared" si="0"/>
        <v>50000000</v>
      </c>
      <c r="AG344" s="1112">
        <f t="shared" si="0"/>
        <v>2908541</v>
      </c>
      <c r="AH344" s="1112">
        <f t="shared" si="0"/>
        <v>0</v>
      </c>
      <c r="AI344" s="1112">
        <f t="shared" si="0"/>
        <v>415000</v>
      </c>
      <c r="AJ344" s="1112">
        <f t="shared" si="0"/>
        <v>0</v>
      </c>
      <c r="AK344" s="1112">
        <f t="shared" si="0"/>
        <v>0</v>
      </c>
      <c r="AL344" s="1112">
        <f t="shared" si="0"/>
        <v>10689866</v>
      </c>
      <c r="AM344" s="1112">
        <f t="shared" si="0"/>
        <v>54647442</v>
      </c>
      <c r="AN344" s="1112">
        <f t="shared" si="0"/>
        <v>0</v>
      </c>
      <c r="AO344" s="1112">
        <f t="shared" si="0"/>
        <v>20000000</v>
      </c>
      <c r="AP344" s="1112">
        <f t="shared" si="0"/>
        <v>220740380</v>
      </c>
      <c r="AQ344" s="1112">
        <f t="shared" si="0"/>
        <v>583643458</v>
      </c>
      <c r="AR344" s="1112">
        <f t="shared" si="0"/>
        <v>214553830</v>
      </c>
      <c r="AS344" s="1112">
        <f t="shared" si="0"/>
        <v>126077</v>
      </c>
      <c r="AT344" s="1112">
        <f t="shared" si="0"/>
        <v>60274571</v>
      </c>
      <c r="AU344" s="1112">
        <f t="shared" si="0"/>
        <v>379812552</v>
      </c>
      <c r="AV344" s="1112">
        <f t="shared" si="0"/>
        <v>123753075</v>
      </c>
      <c r="AW344" s="1112">
        <f t="shared" si="0"/>
        <v>31825000</v>
      </c>
      <c r="AX344" s="1221">
        <f t="shared" si="0"/>
        <v>1642548</v>
      </c>
    </row>
    <row r="345" spans="1:50" ht="15.75" x14ac:dyDescent="0.2">
      <c r="AF345" s="1118"/>
    </row>
    <row r="346" spans="1:50" ht="15" x14ac:dyDescent="0.2">
      <c r="AX346" s="1113">
        <f>SUM(D344:AX344)</f>
        <v>1872854738</v>
      </c>
    </row>
    <row r="351" spans="1:50" ht="12.6" customHeight="1" x14ac:dyDescent="0.2"/>
  </sheetData>
  <mergeCells count="5">
    <mergeCell ref="A1:O1"/>
    <mergeCell ref="P1:AA1"/>
    <mergeCell ref="AB1:AM1"/>
    <mergeCell ref="AN1:AX1"/>
    <mergeCell ref="A344:C344"/>
  </mergeCells>
  <printOptions horizontalCentered="1" verticalCentered="1"/>
  <pageMargins left="0.31496062992125984" right="0.31496062992125984" top="0.35433070866141736" bottom="0.35433070866141736" header="0.31496062992125984" footer="0.31496062992125984"/>
  <pageSetup paperSize="9" scale="49" orientation="landscape" r:id="rId1"/>
  <headerFooter>
    <oddHeader>&amp;C2022. évi költségvetés&amp;R&amp;A</oddHeader>
    <oddFooter>&amp;C&amp;P/&amp;N</oddFooter>
  </headerFooter>
  <rowBreaks count="19" manualBreakCount="19">
    <brk id="16" max="47" man="1"/>
    <brk id="37" max="47" man="1"/>
    <brk id="56" max="47" man="1"/>
    <brk id="73" max="47" man="1"/>
    <brk id="89" max="47" man="1"/>
    <brk id="100" max="47" man="1"/>
    <brk id="115" max="47" man="1"/>
    <brk id="130" max="48" man="1"/>
    <brk id="144" max="48" man="1"/>
    <brk id="161" max="48" man="1"/>
    <brk id="181" max="48" man="1"/>
    <brk id="198" max="48" man="1"/>
    <brk id="216" max="48" man="1"/>
    <brk id="235" max="48" man="1"/>
    <brk id="254" max="48" man="1"/>
    <brk id="271" max="49" man="1"/>
    <brk id="292" max="49" man="1"/>
    <brk id="314" max="49" man="1"/>
    <brk id="330" max="49" man="1"/>
  </rowBreaks>
  <colBreaks count="3" manualBreakCount="3">
    <brk id="15" max="335" man="1"/>
    <brk id="27" max="335" man="1"/>
    <brk id="39" max="33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1"/>
  <sheetViews>
    <sheetView view="pageBreakPreview" zoomScale="80" zoomScaleNormal="70" zoomScaleSheetLayoutView="80" workbookViewId="0">
      <pane xSplit="3" ySplit="8" topLeftCell="G30" activePane="bottomRight" state="frozen"/>
      <selection pane="topRight" activeCell="D1" sqref="D1"/>
      <selection pane="bottomLeft" activeCell="A8" sqref="A8"/>
      <selection pane="bottomRight" activeCell="G34" sqref="G34"/>
    </sheetView>
  </sheetViews>
  <sheetFormatPr defaultColWidth="9.140625" defaultRowHeight="12.75" x14ac:dyDescent="0.2"/>
  <cols>
    <col min="1" max="1" width="7" style="21" customWidth="1"/>
    <col min="2" max="2" width="64.85546875" style="21" customWidth="1"/>
    <col min="3" max="3" width="7" style="133" customWidth="1"/>
    <col min="4" max="5" width="19.5703125" style="22" customWidth="1"/>
    <col min="6" max="7" width="21" style="22" customWidth="1"/>
    <col min="8" max="9" width="19.42578125" style="22" customWidth="1"/>
    <col min="10" max="11" width="23.5703125" style="22" customWidth="1"/>
    <col min="12" max="15" width="18.42578125" style="22" customWidth="1"/>
    <col min="16" max="16" width="21.85546875" style="22" customWidth="1"/>
    <col min="17" max="17" width="22.28515625" style="21" customWidth="1"/>
    <col min="18" max="18" width="14.28515625" style="21" customWidth="1"/>
    <col min="19" max="16384" width="9.140625" style="21"/>
  </cols>
  <sheetData>
    <row r="1" spans="1:19" ht="15.75" x14ac:dyDescent="0.25">
      <c r="G1" s="177" t="s">
        <v>444</v>
      </c>
      <c r="K1" s="177" t="s">
        <v>444</v>
      </c>
      <c r="O1" s="177" t="s">
        <v>444</v>
      </c>
      <c r="Q1" s="177" t="s">
        <v>444</v>
      </c>
    </row>
    <row r="2" spans="1:19" ht="30.75" customHeight="1" x14ac:dyDescent="0.25">
      <c r="A2" s="736"/>
      <c r="B2" s="737"/>
      <c r="C2" s="740"/>
      <c r="D2" s="1674" t="s">
        <v>1617</v>
      </c>
      <c r="E2" s="1675"/>
      <c r="F2" s="1675"/>
      <c r="G2" s="1676"/>
      <c r="H2" s="1657" t="s">
        <v>1617</v>
      </c>
      <c r="I2" s="1657"/>
      <c r="J2" s="1657"/>
      <c r="K2" s="1657"/>
      <c r="L2" s="1657" t="s">
        <v>1617</v>
      </c>
      <c r="M2" s="1657"/>
      <c r="N2" s="1657"/>
      <c r="O2" s="1657"/>
      <c r="P2" s="1657" t="s">
        <v>1617</v>
      </c>
      <c r="Q2" s="1657"/>
      <c r="R2" s="739"/>
      <c r="S2" s="739"/>
    </row>
    <row r="3" spans="1:19" ht="39.75" customHeight="1" x14ac:dyDescent="0.2">
      <c r="A3" s="1658" t="s">
        <v>136</v>
      </c>
      <c r="B3" s="1659"/>
      <c r="C3" s="166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row>
    <row r="4" spans="1:19" ht="102" customHeight="1" x14ac:dyDescent="0.2">
      <c r="A4" s="1666" t="s">
        <v>192</v>
      </c>
      <c r="B4" s="1667" t="s">
        <v>250</v>
      </c>
      <c r="C4" s="1667"/>
      <c r="D4" s="1552" t="s">
        <v>493</v>
      </c>
      <c r="E4" s="1552" t="s">
        <v>493</v>
      </c>
      <c r="F4" s="1549" t="s">
        <v>494</v>
      </c>
      <c r="G4" s="1549" t="s">
        <v>494</v>
      </c>
      <c r="H4" s="1549" t="s">
        <v>495</v>
      </c>
      <c r="I4" s="1549" t="s">
        <v>495</v>
      </c>
      <c r="J4" s="1549" t="s">
        <v>343</v>
      </c>
      <c r="K4" s="1549" t="s">
        <v>343</v>
      </c>
      <c r="L4" s="1549" t="s">
        <v>494</v>
      </c>
      <c r="M4" s="1549" t="s">
        <v>494</v>
      </c>
      <c r="N4" s="1549" t="s">
        <v>494</v>
      </c>
      <c r="O4" s="1549" t="s">
        <v>494</v>
      </c>
      <c r="P4" s="1654" t="s">
        <v>138</v>
      </c>
      <c r="Q4" s="1654" t="s">
        <v>138</v>
      </c>
    </row>
    <row r="5" spans="1:19" ht="25.5" customHeight="1" x14ac:dyDescent="0.2">
      <c r="A5" s="1666"/>
      <c r="B5" s="1667" t="s">
        <v>11</v>
      </c>
      <c r="C5" s="1667"/>
      <c r="D5" s="1552" t="s">
        <v>228</v>
      </c>
      <c r="E5" s="1552" t="s">
        <v>228</v>
      </c>
      <c r="F5" s="1552" t="s">
        <v>228</v>
      </c>
      <c r="G5" s="1552" t="s">
        <v>228</v>
      </c>
      <c r="H5" s="1552" t="s">
        <v>228</v>
      </c>
      <c r="I5" s="1552" t="s">
        <v>228</v>
      </c>
      <c r="J5" s="1552" t="s">
        <v>228</v>
      </c>
      <c r="K5" s="1552" t="s">
        <v>228</v>
      </c>
      <c r="L5" s="1552" t="s">
        <v>228</v>
      </c>
      <c r="M5" s="1552" t="s">
        <v>228</v>
      </c>
      <c r="N5" s="1552" t="s">
        <v>228</v>
      </c>
      <c r="O5" s="1552" t="s">
        <v>228</v>
      </c>
      <c r="P5" s="1654"/>
      <c r="Q5" s="1654"/>
    </row>
    <row r="6" spans="1:19" ht="15.75" customHeight="1" x14ac:dyDescent="0.2">
      <c r="A6" s="1666"/>
      <c r="B6" s="1634" t="s">
        <v>741</v>
      </c>
      <c r="C6" s="1634"/>
      <c r="D6" s="1657" t="s">
        <v>405</v>
      </c>
      <c r="E6" s="1657" t="s">
        <v>1594</v>
      </c>
      <c r="F6" s="1657" t="s">
        <v>406</v>
      </c>
      <c r="G6" s="1657" t="s">
        <v>406</v>
      </c>
      <c r="H6" s="1657" t="s">
        <v>407</v>
      </c>
      <c r="I6" s="1657" t="s">
        <v>1595</v>
      </c>
      <c r="J6" s="1657" t="s">
        <v>416</v>
      </c>
      <c r="K6" s="1657" t="s">
        <v>416</v>
      </c>
      <c r="L6" s="1657" t="s">
        <v>644</v>
      </c>
      <c r="M6" s="1657" t="s">
        <v>1596</v>
      </c>
      <c r="N6" s="1657" t="s">
        <v>868</v>
      </c>
      <c r="O6" s="1657" t="s">
        <v>1597</v>
      </c>
      <c r="P6" s="1654"/>
      <c r="Q6" s="1654"/>
    </row>
    <row r="7" spans="1:19" ht="66" customHeight="1" x14ac:dyDescent="0.2">
      <c r="A7" s="1666"/>
      <c r="B7" s="1551" t="s">
        <v>193</v>
      </c>
      <c r="C7" s="134" t="s">
        <v>251</v>
      </c>
      <c r="D7" s="1657"/>
      <c r="E7" s="1657"/>
      <c r="F7" s="1657"/>
      <c r="G7" s="1657"/>
      <c r="H7" s="1657"/>
      <c r="I7" s="1657"/>
      <c r="J7" s="1657"/>
      <c r="K7" s="1657"/>
      <c r="L7" s="1657"/>
      <c r="M7" s="1657"/>
      <c r="N7" s="1657"/>
      <c r="O7" s="1657"/>
      <c r="P7" s="1654"/>
      <c r="Q7" s="1654"/>
    </row>
    <row r="8" spans="1:19"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c r="P8" s="385" t="s">
        <v>235</v>
      </c>
      <c r="Q8" s="385" t="s">
        <v>236</v>
      </c>
    </row>
    <row r="9" spans="1:19" ht="21.75" customHeight="1" x14ac:dyDescent="0.25">
      <c r="A9" s="26" t="s">
        <v>194</v>
      </c>
      <c r="B9" s="23" t="s">
        <v>335</v>
      </c>
      <c r="C9" s="27" t="s">
        <v>205</v>
      </c>
      <c r="D9" s="179"/>
      <c r="E9" s="179"/>
      <c r="F9" s="179">
        <v>281838703</v>
      </c>
      <c r="G9" s="179">
        <f>281838703+375000+5200000-21534587+20905000+629587-37500-46875</f>
        <v>287329328</v>
      </c>
      <c r="H9" s="179">
        <v>117677354</v>
      </c>
      <c r="I9" s="179">
        <f>117677354+2200000-9020000+9020000-115066+115066</f>
        <v>119877354</v>
      </c>
      <c r="J9" s="179"/>
      <c r="K9" s="179">
        <f>37500+46875</f>
        <v>84375</v>
      </c>
      <c r="L9" s="179"/>
      <c r="M9" s="179"/>
      <c r="N9" s="179"/>
      <c r="O9" s="179"/>
      <c r="P9" s="179">
        <f>D9+F9+H9+J9+L9+N9</f>
        <v>399516057</v>
      </c>
      <c r="Q9" s="179">
        <f>E9+G9+I9+K9+M9+O9</f>
        <v>407291057</v>
      </c>
      <c r="R9" s="84"/>
    </row>
    <row r="10" spans="1:19" ht="21.75" customHeight="1" x14ac:dyDescent="0.25">
      <c r="A10" s="26" t="s">
        <v>195</v>
      </c>
      <c r="B10" s="28" t="s">
        <v>206</v>
      </c>
      <c r="C10" s="27" t="s">
        <v>207</v>
      </c>
      <c r="D10" s="179"/>
      <c r="E10" s="179"/>
      <c r="F10" s="179">
        <f>38686531+6660000+200000</f>
        <v>45546531</v>
      </c>
      <c r="G10" s="179">
        <f>38686531+6660000+200000+48750+676000-4388-5484</f>
        <v>46261409</v>
      </c>
      <c r="H10" s="179">
        <v>16138056</v>
      </c>
      <c r="I10" s="179">
        <f>16138056+286000</f>
        <v>16424056</v>
      </c>
      <c r="J10" s="179"/>
      <c r="K10" s="179">
        <f>4388+5484</f>
        <v>9872</v>
      </c>
      <c r="L10" s="179"/>
      <c r="M10" s="179"/>
      <c r="N10" s="179"/>
      <c r="O10" s="179"/>
      <c r="P10" s="179">
        <f t="shared" ref="P10:Q51" si="0">D10+F10+H10+J10+L10+N10</f>
        <v>61684587</v>
      </c>
      <c r="Q10" s="179">
        <f t="shared" si="0"/>
        <v>62695337</v>
      </c>
      <c r="R10" s="84"/>
    </row>
    <row r="11" spans="1:19" ht="21.75" customHeight="1" x14ac:dyDescent="0.25">
      <c r="A11" s="26" t="s">
        <v>196</v>
      </c>
      <c r="B11" s="28" t="s">
        <v>336</v>
      </c>
      <c r="C11" s="27" t="s">
        <v>208</v>
      </c>
      <c r="D11" s="179">
        <v>49000</v>
      </c>
      <c r="E11" s="179">
        <f>49000-49000</f>
        <v>0</v>
      </c>
      <c r="F11" s="179">
        <f>+(37486250)+15318+173409</f>
        <v>37674977</v>
      </c>
      <c r="G11" s="179">
        <f>+(37486250)+15318+173409+49000+984499+265815-360000+5500000+1485000-150000+150000+262200+70794+316800+85536+400000-690000+690000-120000+120000+380000-200000+200000+1996299+539001-20000+20000-74513</f>
        <v>49575408</v>
      </c>
      <c r="H11" s="179">
        <f>+(14735396)+7542+553023</f>
        <v>15295961</v>
      </c>
      <c r="I11" s="179">
        <f>+(14735396)+7542+553023+264000+71280+376000+101520+577500+155925+376000+101520-280559-16351+558000+150660+409055+110445-118921-32109+850276+229575-96163-25964+108976+29424</f>
        <v>19196050</v>
      </c>
      <c r="J11" s="179">
        <v>523200</v>
      </c>
      <c r="K11" s="179">
        <f>523200-5000+5000</f>
        <v>523200</v>
      </c>
      <c r="L11" s="179"/>
      <c r="M11" s="179"/>
      <c r="N11" s="179"/>
      <c r="O11" s="179">
        <f>196850+53150+275591+74409-106924+106885+39-67974+67974-99214+99214+196850+53150-1617+1617</f>
        <v>850000</v>
      </c>
      <c r="P11" s="179">
        <f t="shared" si="0"/>
        <v>53543138</v>
      </c>
      <c r="Q11" s="179">
        <f t="shared" si="0"/>
        <v>70144658</v>
      </c>
      <c r="R11" s="84"/>
    </row>
    <row r="12" spans="1:19" ht="21.75" customHeight="1" x14ac:dyDescent="0.25">
      <c r="A12" s="26" t="s">
        <v>197</v>
      </c>
      <c r="B12" s="29" t="s">
        <v>337</v>
      </c>
      <c r="C12" s="27" t="s">
        <v>209</v>
      </c>
      <c r="D12" s="179"/>
      <c r="E12" s="179"/>
      <c r="F12" s="179"/>
      <c r="G12" s="179"/>
      <c r="H12" s="179"/>
      <c r="I12" s="179"/>
      <c r="J12" s="179"/>
      <c r="K12" s="179"/>
      <c r="L12" s="179"/>
      <c r="M12" s="179"/>
      <c r="N12" s="179"/>
      <c r="O12" s="179"/>
      <c r="P12" s="179">
        <f t="shared" si="0"/>
        <v>0</v>
      </c>
      <c r="Q12" s="179">
        <f t="shared" si="0"/>
        <v>0</v>
      </c>
    </row>
    <row r="13" spans="1:19" ht="21.75" customHeight="1" x14ac:dyDescent="0.25">
      <c r="A13" s="26" t="s">
        <v>198</v>
      </c>
      <c r="B13" s="29" t="s">
        <v>240</v>
      </c>
      <c r="C13" s="27" t="s">
        <v>210</v>
      </c>
      <c r="D13" s="179">
        <f t="shared" ref="D13:O13" si="1">SUM(D14:D16)</f>
        <v>0</v>
      </c>
      <c r="E13" s="179">
        <f t="shared" si="1"/>
        <v>5540351</v>
      </c>
      <c r="F13" s="179">
        <f t="shared" si="1"/>
        <v>0</v>
      </c>
      <c r="G13" s="179">
        <f t="shared" si="1"/>
        <v>0</v>
      </c>
      <c r="H13" s="179">
        <f t="shared" si="1"/>
        <v>0</v>
      </c>
      <c r="I13" s="179">
        <f t="shared" si="1"/>
        <v>0</v>
      </c>
      <c r="J13" s="179">
        <f t="shared" si="1"/>
        <v>0</v>
      </c>
      <c r="K13" s="179">
        <f t="shared" si="1"/>
        <v>0</v>
      </c>
      <c r="L13" s="179">
        <f t="shared" si="1"/>
        <v>0</v>
      </c>
      <c r="M13" s="179">
        <f t="shared" si="1"/>
        <v>0</v>
      </c>
      <c r="N13" s="179">
        <f t="shared" si="1"/>
        <v>0</v>
      </c>
      <c r="O13" s="179">
        <f t="shared" si="1"/>
        <v>0</v>
      </c>
      <c r="P13" s="179">
        <f t="shared" si="0"/>
        <v>0</v>
      </c>
      <c r="Q13" s="179">
        <f t="shared" si="0"/>
        <v>5540351</v>
      </c>
    </row>
    <row r="14" spans="1:19" ht="21.75" customHeight="1" x14ac:dyDescent="0.25">
      <c r="A14" s="26" t="s">
        <v>199</v>
      </c>
      <c r="B14" s="30" t="s">
        <v>578</v>
      </c>
      <c r="C14" s="27"/>
      <c r="D14" s="179"/>
      <c r="E14" s="179"/>
      <c r="F14" s="179"/>
      <c r="G14" s="179"/>
      <c r="H14" s="179"/>
      <c r="I14" s="179"/>
      <c r="J14" s="179"/>
      <c r="K14" s="179"/>
      <c r="L14" s="179"/>
      <c r="M14" s="179"/>
      <c r="N14" s="179"/>
      <c r="O14" s="179"/>
      <c r="P14" s="179">
        <f t="shared" si="0"/>
        <v>0</v>
      </c>
      <c r="Q14" s="179">
        <f t="shared" si="0"/>
        <v>0</v>
      </c>
    </row>
    <row r="15" spans="1:19" ht="21.75" customHeight="1" x14ac:dyDescent="0.25">
      <c r="A15" s="26" t="s">
        <v>200</v>
      </c>
      <c r="B15" s="30" t="s">
        <v>579</v>
      </c>
      <c r="C15" s="31"/>
      <c r="D15" s="179"/>
      <c r="E15" s="179"/>
      <c r="F15" s="179"/>
      <c r="G15" s="179"/>
      <c r="H15" s="179"/>
      <c r="I15" s="179"/>
      <c r="J15" s="179"/>
      <c r="K15" s="179"/>
      <c r="L15" s="179"/>
      <c r="M15" s="179"/>
      <c r="N15" s="179"/>
      <c r="O15" s="179"/>
      <c r="P15" s="179">
        <f t="shared" si="0"/>
        <v>0</v>
      </c>
      <c r="Q15" s="179">
        <f t="shared" si="0"/>
        <v>0</v>
      </c>
    </row>
    <row r="16" spans="1:19" ht="21.75" customHeight="1" x14ac:dyDescent="0.25">
      <c r="A16" s="26" t="s">
        <v>201</v>
      </c>
      <c r="B16" s="92" t="s">
        <v>580</v>
      </c>
      <c r="C16" s="31"/>
      <c r="D16" s="179"/>
      <c r="E16" s="179">
        <v>5540351</v>
      </c>
      <c r="F16" s="179"/>
      <c r="G16" s="179"/>
      <c r="H16" s="179"/>
      <c r="I16" s="179"/>
      <c r="J16" s="179"/>
      <c r="K16" s="179"/>
      <c r="L16" s="179"/>
      <c r="M16" s="179"/>
      <c r="N16" s="179"/>
      <c r="O16" s="179"/>
      <c r="P16" s="179">
        <f t="shared" si="0"/>
        <v>0</v>
      </c>
      <c r="Q16" s="179">
        <f t="shared" si="0"/>
        <v>5540351</v>
      </c>
    </row>
    <row r="17" spans="1:17" ht="21.75" customHeight="1" x14ac:dyDescent="0.25">
      <c r="A17" s="26" t="s">
        <v>202</v>
      </c>
      <c r="B17" s="32" t="s">
        <v>247</v>
      </c>
      <c r="C17" s="27" t="s">
        <v>211</v>
      </c>
      <c r="D17" s="179"/>
      <c r="E17" s="179"/>
      <c r="F17" s="179">
        <f>+'6.sz. Beruházások'!E156</f>
        <v>1176020</v>
      </c>
      <c r="G17" s="179">
        <f>1176020+360000+2239134+604566</f>
        <v>4379720</v>
      </c>
      <c r="H17" s="181">
        <f>+'6.sz. Beruházások'!E157</f>
        <v>406400</v>
      </c>
      <c r="I17" s="181">
        <f>406400+280559+16351+87669+23671-111340+118921+32109+96163+25964</f>
        <v>976467</v>
      </c>
      <c r="J17" s="179">
        <f>+'6.sz. Beruházások'!E158</f>
        <v>100000</v>
      </c>
      <c r="K17" s="179">
        <v>100000</v>
      </c>
      <c r="L17" s="179"/>
      <c r="M17" s="179"/>
      <c r="N17" s="179"/>
      <c r="O17" s="179"/>
      <c r="P17" s="179">
        <f t="shared" si="0"/>
        <v>1682420</v>
      </c>
      <c r="Q17" s="179">
        <f t="shared" si="0"/>
        <v>5456187</v>
      </c>
    </row>
    <row r="18" spans="1:17" ht="21.75" customHeight="1" x14ac:dyDescent="0.25">
      <c r="A18" s="26" t="s">
        <v>203</v>
      </c>
      <c r="B18" s="29" t="s">
        <v>338</v>
      </c>
      <c r="C18" s="27" t="s">
        <v>212</v>
      </c>
      <c r="D18" s="179"/>
      <c r="E18" s="179"/>
      <c r="F18" s="179"/>
      <c r="G18" s="179"/>
      <c r="H18" s="179"/>
      <c r="I18" s="179"/>
      <c r="J18" s="179"/>
      <c r="K18" s="179"/>
      <c r="L18" s="179"/>
      <c r="M18" s="179"/>
      <c r="N18" s="179"/>
      <c r="O18" s="179"/>
      <c r="P18" s="179">
        <f t="shared" si="0"/>
        <v>0</v>
      </c>
      <c r="Q18" s="179">
        <f t="shared" si="0"/>
        <v>0</v>
      </c>
    </row>
    <row r="19" spans="1:17" ht="21.75" customHeight="1" x14ac:dyDescent="0.25">
      <c r="A19" s="26" t="s">
        <v>204</v>
      </c>
      <c r="B19" s="29" t="s">
        <v>241</v>
      </c>
      <c r="C19" s="27" t="s">
        <v>213</v>
      </c>
      <c r="D19" s="179"/>
      <c r="E19" s="179"/>
      <c r="F19" s="179"/>
      <c r="G19" s="179"/>
      <c r="H19" s="179"/>
      <c r="I19" s="179"/>
      <c r="J19" s="179"/>
      <c r="K19" s="179"/>
      <c r="L19" s="179"/>
      <c r="M19" s="179"/>
      <c r="N19" s="179"/>
      <c r="O19" s="179"/>
      <c r="P19" s="179">
        <f t="shared" si="0"/>
        <v>0</v>
      </c>
      <c r="Q19" s="179">
        <f t="shared" si="0"/>
        <v>0</v>
      </c>
    </row>
    <row r="20" spans="1:17" ht="21.75" customHeight="1" x14ac:dyDescent="0.25">
      <c r="A20" s="26" t="s">
        <v>231</v>
      </c>
      <c r="B20" s="30" t="s">
        <v>581</v>
      </c>
      <c r="C20" s="27"/>
      <c r="D20" s="179"/>
      <c r="E20" s="179"/>
      <c r="F20" s="179"/>
      <c r="G20" s="179"/>
      <c r="H20" s="179"/>
      <c r="I20" s="179"/>
      <c r="J20" s="179"/>
      <c r="K20" s="179"/>
      <c r="L20" s="179"/>
      <c r="M20" s="179"/>
      <c r="N20" s="179"/>
      <c r="O20" s="179"/>
      <c r="P20" s="179">
        <f t="shared" si="0"/>
        <v>0</v>
      </c>
      <c r="Q20" s="179">
        <f t="shared" si="0"/>
        <v>0</v>
      </c>
    </row>
    <row r="21" spans="1:17" ht="21.75" customHeight="1" x14ac:dyDescent="0.25">
      <c r="A21" s="26" t="s">
        <v>232</v>
      </c>
      <c r="B21" s="32" t="s">
        <v>242</v>
      </c>
      <c r="C21" s="27" t="s">
        <v>214</v>
      </c>
      <c r="D21" s="179">
        <f>+D9+D10+D11+D12+D13+D17+D18+D19</f>
        <v>49000</v>
      </c>
      <c r="E21" s="179">
        <f t="shared" ref="E21:O21" si="2">+E9+E10+E11+E12+E13+E17+E18+E19</f>
        <v>5540351</v>
      </c>
      <c r="F21" s="179">
        <f t="shared" si="2"/>
        <v>366236231</v>
      </c>
      <c r="G21" s="179">
        <f t="shared" si="2"/>
        <v>387545865</v>
      </c>
      <c r="H21" s="179">
        <f t="shared" si="2"/>
        <v>149517771</v>
      </c>
      <c r="I21" s="179">
        <f t="shared" si="2"/>
        <v>156473927</v>
      </c>
      <c r="J21" s="179">
        <f t="shared" si="2"/>
        <v>623200</v>
      </c>
      <c r="K21" s="179">
        <f t="shared" si="2"/>
        <v>717447</v>
      </c>
      <c r="L21" s="179">
        <f t="shared" si="2"/>
        <v>0</v>
      </c>
      <c r="M21" s="179">
        <f t="shared" si="2"/>
        <v>0</v>
      </c>
      <c r="N21" s="179">
        <f t="shared" si="2"/>
        <v>0</v>
      </c>
      <c r="O21" s="179">
        <f t="shared" si="2"/>
        <v>850000</v>
      </c>
      <c r="P21" s="179">
        <f t="shared" si="0"/>
        <v>516426202</v>
      </c>
      <c r="Q21" s="179">
        <f t="shared" si="0"/>
        <v>551127590</v>
      </c>
    </row>
    <row r="22" spans="1:17" ht="21.75" customHeight="1" x14ac:dyDescent="0.25">
      <c r="A22" s="26" t="s">
        <v>233</v>
      </c>
      <c r="B22" s="32" t="s">
        <v>227</v>
      </c>
      <c r="C22" s="27" t="s">
        <v>223</v>
      </c>
      <c r="D22" s="179">
        <f>SUM(D23:D26)</f>
        <v>0</v>
      </c>
      <c r="E22" s="179">
        <f t="shared" ref="E22:O22" si="3">SUM(E23:E26)</f>
        <v>0</v>
      </c>
      <c r="F22" s="179">
        <f t="shared" si="3"/>
        <v>0</v>
      </c>
      <c r="G22" s="179">
        <f t="shared" si="3"/>
        <v>0</v>
      </c>
      <c r="H22" s="179">
        <f t="shared" si="3"/>
        <v>0</v>
      </c>
      <c r="I22" s="179">
        <f t="shared" si="3"/>
        <v>0</v>
      </c>
      <c r="J22" s="179">
        <f t="shared" si="3"/>
        <v>0</v>
      </c>
      <c r="K22" s="179">
        <f t="shared" si="3"/>
        <v>0</v>
      </c>
      <c r="L22" s="179">
        <f t="shared" si="3"/>
        <v>0</v>
      </c>
      <c r="M22" s="179">
        <f t="shared" si="3"/>
        <v>0</v>
      </c>
      <c r="N22" s="179">
        <f t="shared" si="3"/>
        <v>0</v>
      </c>
      <c r="O22" s="179">
        <f t="shared" si="3"/>
        <v>0</v>
      </c>
      <c r="P22" s="179">
        <f t="shared" si="0"/>
        <v>0</v>
      </c>
      <c r="Q22" s="179">
        <f t="shared" si="0"/>
        <v>0</v>
      </c>
    </row>
    <row r="23" spans="1:17" ht="21.75" customHeight="1" x14ac:dyDescent="0.25">
      <c r="A23" s="26" t="s">
        <v>234</v>
      </c>
      <c r="B23" s="94" t="s">
        <v>182</v>
      </c>
      <c r="C23" s="31"/>
      <c r="D23" s="179"/>
      <c r="E23" s="179"/>
      <c r="F23" s="179"/>
      <c r="G23" s="179"/>
      <c r="H23" s="179"/>
      <c r="I23" s="179"/>
      <c r="J23" s="179"/>
      <c r="K23" s="179"/>
      <c r="L23" s="179"/>
      <c r="M23" s="179"/>
      <c r="N23" s="179"/>
      <c r="O23" s="179"/>
      <c r="P23" s="179">
        <f t="shared" si="0"/>
        <v>0</v>
      </c>
      <c r="Q23" s="179">
        <f t="shared" si="0"/>
        <v>0</v>
      </c>
    </row>
    <row r="24" spans="1:17" ht="21.75" customHeight="1" x14ac:dyDescent="0.25">
      <c r="A24" s="26" t="s">
        <v>235</v>
      </c>
      <c r="B24" s="33" t="s">
        <v>569</v>
      </c>
      <c r="C24" s="31"/>
      <c r="D24" s="179"/>
      <c r="E24" s="179"/>
      <c r="F24" s="179"/>
      <c r="G24" s="179"/>
      <c r="H24" s="179"/>
      <c r="I24" s="179"/>
      <c r="J24" s="179"/>
      <c r="K24" s="179"/>
      <c r="L24" s="179"/>
      <c r="M24" s="179"/>
      <c r="N24" s="179"/>
      <c r="O24" s="179"/>
      <c r="P24" s="179">
        <f t="shared" si="0"/>
        <v>0</v>
      </c>
      <c r="Q24" s="179">
        <f t="shared" si="0"/>
        <v>0</v>
      </c>
    </row>
    <row r="25" spans="1:17" ht="21.75" customHeight="1" x14ac:dyDescent="0.25">
      <c r="A25" s="26" t="s">
        <v>236</v>
      </c>
      <c r="B25" s="33" t="s">
        <v>570</v>
      </c>
      <c r="C25" s="31"/>
      <c r="D25" s="179"/>
      <c r="E25" s="179"/>
      <c r="F25" s="179"/>
      <c r="G25" s="179"/>
      <c r="H25" s="179"/>
      <c r="I25" s="179"/>
      <c r="J25" s="179"/>
      <c r="K25" s="179"/>
      <c r="L25" s="179"/>
      <c r="M25" s="179"/>
      <c r="N25" s="179"/>
      <c r="O25" s="179"/>
      <c r="P25" s="179">
        <f t="shared" si="0"/>
        <v>0</v>
      </c>
      <c r="Q25" s="179">
        <f t="shared" si="0"/>
        <v>0</v>
      </c>
    </row>
    <row r="26" spans="1:17" ht="21.75" customHeight="1" x14ac:dyDescent="0.25">
      <c r="A26" s="26" t="s">
        <v>237</v>
      </c>
      <c r="B26" s="33" t="s">
        <v>126</v>
      </c>
      <c r="C26" s="31"/>
      <c r="D26" s="179"/>
      <c r="E26" s="179"/>
      <c r="F26" s="179"/>
      <c r="G26" s="179"/>
      <c r="H26" s="179"/>
      <c r="I26" s="179"/>
      <c r="J26" s="179"/>
      <c r="K26" s="179"/>
      <c r="L26" s="179"/>
      <c r="M26" s="179"/>
      <c r="N26" s="179"/>
      <c r="O26" s="179"/>
      <c r="P26" s="179">
        <f t="shared" si="0"/>
        <v>0</v>
      </c>
      <c r="Q26" s="179">
        <f t="shared" si="0"/>
        <v>0</v>
      </c>
    </row>
    <row r="27" spans="1:17" ht="21.75" customHeight="1" x14ac:dyDescent="0.25">
      <c r="A27" s="26" t="s">
        <v>238</v>
      </c>
      <c r="B27" s="236" t="s">
        <v>847</v>
      </c>
      <c r="C27" s="31"/>
      <c r="D27" s="179"/>
      <c r="E27" s="179"/>
      <c r="F27" s="179"/>
      <c r="G27" s="179"/>
      <c r="H27" s="179"/>
      <c r="I27" s="179"/>
      <c r="J27" s="179"/>
      <c r="K27" s="179"/>
      <c r="L27" s="179"/>
      <c r="M27" s="179"/>
      <c r="N27" s="179"/>
      <c r="O27" s="179"/>
      <c r="P27" s="179">
        <f t="shared" si="0"/>
        <v>0</v>
      </c>
      <c r="Q27" s="179">
        <f t="shared" si="0"/>
        <v>0</v>
      </c>
    </row>
    <row r="28" spans="1:17" s="36" customFormat="1" ht="21.75" customHeight="1" x14ac:dyDescent="0.25">
      <c r="A28" s="26" t="s">
        <v>239</v>
      </c>
      <c r="B28" s="34" t="s">
        <v>32</v>
      </c>
      <c r="C28" s="27"/>
      <c r="D28" s="180">
        <f>+D9+D10+D11+D12+D13+D23+D24</f>
        <v>49000</v>
      </c>
      <c r="E28" s="180">
        <f t="shared" ref="E28:O28" si="4">+E9+E10+E11+E12+E13+E23+E24</f>
        <v>5540351</v>
      </c>
      <c r="F28" s="180">
        <f t="shared" si="4"/>
        <v>365060211</v>
      </c>
      <c r="G28" s="180">
        <f t="shared" si="4"/>
        <v>383166145</v>
      </c>
      <c r="H28" s="180">
        <f t="shared" si="4"/>
        <v>149111371</v>
      </c>
      <c r="I28" s="180">
        <f t="shared" si="4"/>
        <v>155497460</v>
      </c>
      <c r="J28" s="180">
        <f t="shared" si="4"/>
        <v>523200</v>
      </c>
      <c r="K28" s="180">
        <f t="shared" si="4"/>
        <v>617447</v>
      </c>
      <c r="L28" s="180">
        <f t="shared" si="4"/>
        <v>0</v>
      </c>
      <c r="M28" s="180">
        <f t="shared" si="4"/>
        <v>0</v>
      </c>
      <c r="N28" s="180">
        <f t="shared" si="4"/>
        <v>0</v>
      </c>
      <c r="O28" s="180">
        <f t="shared" si="4"/>
        <v>850000</v>
      </c>
      <c r="P28" s="180">
        <f t="shared" si="0"/>
        <v>514743782</v>
      </c>
      <c r="Q28" s="180">
        <f t="shared" si="0"/>
        <v>545671403</v>
      </c>
    </row>
    <row r="29" spans="1:17" s="36" customFormat="1" ht="21.75" customHeight="1" x14ac:dyDescent="0.25">
      <c r="A29" s="26" t="s">
        <v>266</v>
      </c>
      <c r="B29" s="34" t="s">
        <v>33</v>
      </c>
      <c r="C29" s="27"/>
      <c r="D29" s="180">
        <f>+D17+D18+D19+D25+D26</f>
        <v>0</v>
      </c>
      <c r="E29" s="180">
        <f t="shared" ref="E29:O29" si="5">+E17+E18+E19+E25+E26</f>
        <v>0</v>
      </c>
      <c r="F29" s="180">
        <f t="shared" si="5"/>
        <v>1176020</v>
      </c>
      <c r="G29" s="180">
        <f t="shared" si="5"/>
        <v>4379720</v>
      </c>
      <c r="H29" s="180">
        <f t="shared" si="5"/>
        <v>406400</v>
      </c>
      <c r="I29" s="180">
        <f t="shared" si="5"/>
        <v>976467</v>
      </c>
      <c r="J29" s="180">
        <f t="shared" si="5"/>
        <v>100000</v>
      </c>
      <c r="K29" s="180">
        <f t="shared" si="5"/>
        <v>100000</v>
      </c>
      <c r="L29" s="180">
        <f t="shared" si="5"/>
        <v>0</v>
      </c>
      <c r="M29" s="180">
        <f t="shared" si="5"/>
        <v>0</v>
      </c>
      <c r="N29" s="180">
        <f t="shared" si="5"/>
        <v>0</v>
      </c>
      <c r="O29" s="180">
        <f t="shared" si="5"/>
        <v>0</v>
      </c>
      <c r="P29" s="180">
        <f t="shared" si="0"/>
        <v>1682420</v>
      </c>
      <c r="Q29" s="180">
        <f t="shared" si="0"/>
        <v>5456187</v>
      </c>
    </row>
    <row r="30" spans="1:17" s="36" customFormat="1" ht="21.75" customHeight="1" x14ac:dyDescent="0.25">
      <c r="A30" s="26" t="s">
        <v>267</v>
      </c>
      <c r="B30" s="34" t="s">
        <v>333</v>
      </c>
      <c r="C30" s="27" t="s">
        <v>31</v>
      </c>
      <c r="D30" s="180">
        <f>SUM(D28:D29)</f>
        <v>49000</v>
      </c>
      <c r="E30" s="180">
        <f t="shared" ref="E30:O30" si="6">SUM(E28:E29)</f>
        <v>5540351</v>
      </c>
      <c r="F30" s="180">
        <f t="shared" si="6"/>
        <v>366236231</v>
      </c>
      <c r="G30" s="180">
        <f t="shared" si="6"/>
        <v>387545865</v>
      </c>
      <c r="H30" s="180">
        <f t="shared" si="6"/>
        <v>149517771</v>
      </c>
      <c r="I30" s="180">
        <f t="shared" si="6"/>
        <v>156473927</v>
      </c>
      <c r="J30" s="180">
        <f t="shared" si="6"/>
        <v>623200</v>
      </c>
      <c r="K30" s="180">
        <f t="shared" si="6"/>
        <v>717447</v>
      </c>
      <c r="L30" s="180">
        <f t="shared" si="6"/>
        <v>0</v>
      </c>
      <c r="M30" s="180">
        <f t="shared" si="6"/>
        <v>0</v>
      </c>
      <c r="N30" s="180">
        <f t="shared" si="6"/>
        <v>0</v>
      </c>
      <c r="O30" s="180">
        <f t="shared" si="6"/>
        <v>850000</v>
      </c>
      <c r="P30" s="180">
        <f t="shared" si="0"/>
        <v>516426202</v>
      </c>
      <c r="Q30" s="180">
        <f t="shared" si="0"/>
        <v>551127590</v>
      </c>
    </row>
    <row r="31" spans="1:17" ht="21.75" customHeight="1" x14ac:dyDescent="0.25">
      <c r="A31" s="26" t="s">
        <v>268</v>
      </c>
      <c r="B31" s="28" t="s">
        <v>52</v>
      </c>
      <c r="C31" s="32" t="s">
        <v>215</v>
      </c>
      <c r="D31" s="179"/>
      <c r="E31" s="179"/>
      <c r="F31" s="179"/>
      <c r="G31" s="179"/>
      <c r="H31" s="179"/>
      <c r="I31" s="179"/>
      <c r="J31" s="179"/>
      <c r="K31" s="179"/>
      <c r="L31" s="179"/>
      <c r="M31" s="179"/>
      <c r="N31" s="179"/>
      <c r="O31" s="179">
        <v>350000</v>
      </c>
      <c r="P31" s="179">
        <f t="shared" si="0"/>
        <v>0</v>
      </c>
      <c r="Q31" s="179">
        <f t="shared" si="0"/>
        <v>350000</v>
      </c>
    </row>
    <row r="32" spans="1:17" ht="21.75" customHeight="1" x14ac:dyDescent="0.25">
      <c r="A32" s="26" t="s">
        <v>269</v>
      </c>
      <c r="B32" s="28" t="s">
        <v>226</v>
      </c>
      <c r="C32" s="32" t="s">
        <v>216</v>
      </c>
      <c r="D32" s="179"/>
      <c r="E32" s="179"/>
      <c r="F32" s="179"/>
      <c r="G32" s="179"/>
      <c r="H32" s="179"/>
      <c r="I32" s="179"/>
      <c r="J32" s="179"/>
      <c r="K32" s="179"/>
      <c r="L32" s="179"/>
      <c r="M32" s="179"/>
      <c r="N32" s="179"/>
      <c r="O32" s="179"/>
      <c r="P32" s="179">
        <f t="shared" si="0"/>
        <v>0</v>
      </c>
      <c r="Q32" s="179">
        <f t="shared" si="0"/>
        <v>0</v>
      </c>
    </row>
    <row r="33" spans="1:17" ht="21.75" customHeight="1" x14ac:dyDescent="0.25">
      <c r="A33" s="26" t="s">
        <v>270</v>
      </c>
      <c r="B33" s="28" t="s">
        <v>225</v>
      </c>
      <c r="C33" s="32" t="s">
        <v>217</v>
      </c>
      <c r="D33" s="179"/>
      <c r="E33" s="179"/>
      <c r="F33" s="179"/>
      <c r="G33" s="179"/>
      <c r="H33" s="179"/>
      <c r="I33" s="179"/>
      <c r="J33" s="179"/>
      <c r="K33" s="179"/>
      <c r="L33" s="179"/>
      <c r="M33" s="179"/>
      <c r="N33" s="179"/>
      <c r="O33" s="179"/>
      <c r="P33" s="179">
        <f t="shared" si="0"/>
        <v>0</v>
      </c>
      <c r="Q33" s="179">
        <f t="shared" si="0"/>
        <v>0</v>
      </c>
    </row>
    <row r="34" spans="1:17" ht="21.75" customHeight="1" x14ac:dyDescent="0.25">
      <c r="A34" s="26" t="s">
        <v>271</v>
      </c>
      <c r="B34" s="29" t="s">
        <v>0</v>
      </c>
      <c r="C34" s="32" t="s">
        <v>218</v>
      </c>
      <c r="D34" s="179"/>
      <c r="E34" s="179"/>
      <c r="F34" s="179">
        <v>450020</v>
      </c>
      <c r="G34" s="179">
        <f>450020+49000+1250314+400000-74500-13</f>
        <v>2074821</v>
      </c>
      <c r="H34" s="179"/>
      <c r="I34" s="179"/>
      <c r="J34" s="179"/>
      <c r="K34" s="179"/>
      <c r="L34" s="179">
        <v>49000</v>
      </c>
      <c r="M34" s="179">
        <f>49000-49000</f>
        <v>0</v>
      </c>
      <c r="N34" s="179"/>
      <c r="O34" s="179"/>
      <c r="P34" s="179">
        <f t="shared" si="0"/>
        <v>499020</v>
      </c>
      <c r="Q34" s="179">
        <f t="shared" si="0"/>
        <v>2074821</v>
      </c>
    </row>
    <row r="35" spans="1:17" ht="21.75" customHeight="1" x14ac:dyDescent="0.25">
      <c r="A35" s="26" t="s">
        <v>272</v>
      </c>
      <c r="B35" s="28" t="s">
        <v>248</v>
      </c>
      <c r="C35" s="32" t="s">
        <v>219</v>
      </c>
      <c r="D35" s="179"/>
      <c r="E35" s="179"/>
      <c r="F35" s="179"/>
      <c r="G35" s="179"/>
      <c r="H35" s="179"/>
      <c r="I35" s="179"/>
      <c r="J35" s="179"/>
      <c r="K35" s="179"/>
      <c r="L35" s="179"/>
      <c r="M35" s="179"/>
      <c r="N35" s="179"/>
      <c r="O35" s="179"/>
      <c r="P35" s="179">
        <f t="shared" si="0"/>
        <v>0</v>
      </c>
      <c r="Q35" s="179">
        <f t="shared" si="0"/>
        <v>0</v>
      </c>
    </row>
    <row r="36" spans="1:17" ht="21.75" customHeight="1" x14ac:dyDescent="0.25">
      <c r="A36" s="26" t="s">
        <v>273</v>
      </c>
      <c r="B36" s="28" t="s">
        <v>243</v>
      </c>
      <c r="C36" s="32" t="s">
        <v>220</v>
      </c>
      <c r="D36" s="179"/>
      <c r="E36" s="179"/>
      <c r="F36" s="179"/>
      <c r="G36" s="179"/>
      <c r="H36" s="179"/>
      <c r="I36" s="179"/>
      <c r="J36" s="179"/>
      <c r="K36" s="179"/>
      <c r="L36" s="179"/>
      <c r="M36" s="179"/>
      <c r="N36" s="179"/>
      <c r="O36" s="179"/>
      <c r="P36" s="179">
        <f t="shared" si="0"/>
        <v>0</v>
      </c>
      <c r="Q36" s="179">
        <f t="shared" si="0"/>
        <v>0</v>
      </c>
    </row>
    <row r="37" spans="1:17" ht="21.75" customHeight="1" x14ac:dyDescent="0.25">
      <c r="A37" s="26" t="s">
        <v>274</v>
      </c>
      <c r="B37" s="28" t="s">
        <v>244</v>
      </c>
      <c r="C37" s="32" t="s">
        <v>221</v>
      </c>
      <c r="D37" s="179"/>
      <c r="E37" s="179"/>
      <c r="F37" s="179"/>
      <c r="G37" s="179"/>
      <c r="H37" s="179"/>
      <c r="I37" s="179"/>
      <c r="J37" s="179"/>
      <c r="K37" s="179"/>
      <c r="L37" s="179"/>
      <c r="M37" s="179"/>
      <c r="N37" s="179"/>
      <c r="O37" s="179"/>
      <c r="P37" s="179">
        <f t="shared" si="0"/>
        <v>0</v>
      </c>
      <c r="Q37" s="179">
        <f t="shared" si="0"/>
        <v>0</v>
      </c>
    </row>
    <row r="38" spans="1:17" ht="21.75" customHeight="1" x14ac:dyDescent="0.25">
      <c r="A38" s="26" t="s">
        <v>275</v>
      </c>
      <c r="B38" s="29" t="s">
        <v>245</v>
      </c>
      <c r="C38" s="32" t="s">
        <v>222</v>
      </c>
      <c r="D38" s="179">
        <f>+D31+D32+D33+D34+D35+D36+D37</f>
        <v>0</v>
      </c>
      <c r="E38" s="179">
        <f t="shared" ref="E38:O38" si="7">+E31+E32+E33+E34+E35+E36+E37</f>
        <v>0</v>
      </c>
      <c r="F38" s="179">
        <f t="shared" si="7"/>
        <v>450020</v>
      </c>
      <c r="G38" s="179">
        <f t="shared" si="7"/>
        <v>2074821</v>
      </c>
      <c r="H38" s="179">
        <f t="shared" si="7"/>
        <v>0</v>
      </c>
      <c r="I38" s="179">
        <f t="shared" si="7"/>
        <v>0</v>
      </c>
      <c r="J38" s="179">
        <f t="shared" si="7"/>
        <v>0</v>
      </c>
      <c r="K38" s="179">
        <f t="shared" si="7"/>
        <v>0</v>
      </c>
      <c r="L38" s="179">
        <f t="shared" si="7"/>
        <v>49000</v>
      </c>
      <c r="M38" s="179">
        <f t="shared" si="7"/>
        <v>0</v>
      </c>
      <c r="N38" s="179">
        <f t="shared" si="7"/>
        <v>0</v>
      </c>
      <c r="O38" s="179">
        <f t="shared" si="7"/>
        <v>350000</v>
      </c>
      <c r="P38" s="179">
        <f t="shared" si="0"/>
        <v>499020</v>
      </c>
      <c r="Q38" s="179">
        <f t="shared" si="0"/>
        <v>2424821</v>
      </c>
    </row>
    <row r="39" spans="1:17" ht="21.75" customHeight="1" x14ac:dyDescent="0.25">
      <c r="A39" s="26" t="s">
        <v>276</v>
      </c>
      <c r="B39" s="32" t="s">
        <v>246</v>
      </c>
      <c r="C39" s="27" t="s">
        <v>224</v>
      </c>
      <c r="D39" s="179">
        <f>SUM(D41:D45)</f>
        <v>515927182</v>
      </c>
      <c r="E39" s="179">
        <f t="shared" ref="E39:O39" si="8">SUM(E41:E45)</f>
        <v>548702769</v>
      </c>
      <c r="F39" s="179">
        <f t="shared" si="8"/>
        <v>0</v>
      </c>
      <c r="G39" s="179">
        <f t="shared" si="8"/>
        <v>0</v>
      </c>
      <c r="H39" s="179">
        <f t="shared" si="8"/>
        <v>0</v>
      </c>
      <c r="I39" s="179">
        <f t="shared" si="8"/>
        <v>0</v>
      </c>
      <c r="J39" s="179">
        <f t="shared" si="8"/>
        <v>0</v>
      </c>
      <c r="K39" s="179">
        <f t="shared" si="8"/>
        <v>0</v>
      </c>
      <c r="L39" s="179">
        <f t="shared" si="8"/>
        <v>0</v>
      </c>
      <c r="M39" s="179">
        <f t="shared" si="8"/>
        <v>0</v>
      </c>
      <c r="N39" s="179">
        <f t="shared" si="8"/>
        <v>0</v>
      </c>
      <c r="O39" s="179">
        <f t="shared" si="8"/>
        <v>0</v>
      </c>
      <c r="P39" s="179">
        <f t="shared" si="0"/>
        <v>515927182</v>
      </c>
      <c r="Q39" s="179">
        <f t="shared" si="0"/>
        <v>548702769</v>
      </c>
    </row>
    <row r="40" spans="1:17" ht="21.75" customHeight="1" x14ac:dyDescent="0.25">
      <c r="A40" s="26" t="s">
        <v>277</v>
      </c>
      <c r="B40" s="94" t="s">
        <v>582</v>
      </c>
      <c r="C40" s="27"/>
      <c r="D40" s="179"/>
      <c r="E40" s="179"/>
      <c r="F40" s="179"/>
      <c r="G40" s="179"/>
      <c r="H40" s="179"/>
      <c r="I40" s="179"/>
      <c r="J40" s="179"/>
      <c r="K40" s="179"/>
      <c r="L40" s="179"/>
      <c r="M40" s="179"/>
      <c r="N40" s="179"/>
      <c r="O40" s="179"/>
      <c r="P40" s="179">
        <f t="shared" si="0"/>
        <v>0</v>
      </c>
      <c r="Q40" s="179">
        <f t="shared" si="0"/>
        <v>0</v>
      </c>
    </row>
    <row r="41" spans="1:17" ht="21.75" customHeight="1" x14ac:dyDescent="0.25">
      <c r="A41" s="26" t="s">
        <v>278</v>
      </c>
      <c r="B41" s="33" t="s">
        <v>882</v>
      </c>
      <c r="C41" s="31"/>
      <c r="D41" s="179">
        <f>22860+726432</f>
        <v>749292</v>
      </c>
      <c r="E41" s="179">
        <f>22860+726432+5540351</f>
        <v>6289643</v>
      </c>
      <c r="F41" s="179"/>
      <c r="G41" s="179"/>
      <c r="H41" s="179"/>
      <c r="I41" s="179"/>
      <c r="J41" s="179"/>
      <c r="K41" s="179"/>
      <c r="L41" s="179"/>
      <c r="M41" s="179"/>
      <c r="N41" s="179"/>
      <c r="O41" s="179"/>
      <c r="P41" s="179">
        <f t="shared" si="0"/>
        <v>749292</v>
      </c>
      <c r="Q41" s="179">
        <f t="shared" si="0"/>
        <v>6289643</v>
      </c>
    </row>
    <row r="42" spans="1:17" ht="21.75" customHeight="1" x14ac:dyDescent="0.25">
      <c r="A42" s="26" t="s">
        <v>282</v>
      </c>
      <c r="B42" s="33" t="s">
        <v>883</v>
      </c>
      <c r="C42" s="31"/>
      <c r="D42" s="179"/>
      <c r="E42" s="179"/>
      <c r="F42" s="179"/>
      <c r="G42" s="179"/>
      <c r="H42" s="179"/>
      <c r="I42" s="179"/>
      <c r="J42" s="179"/>
      <c r="K42" s="179"/>
      <c r="L42" s="179"/>
      <c r="M42" s="179"/>
      <c r="N42" s="179"/>
      <c r="O42" s="179"/>
      <c r="P42" s="179">
        <f t="shared" si="0"/>
        <v>0</v>
      </c>
      <c r="Q42" s="179">
        <f t="shared" si="0"/>
        <v>0</v>
      </c>
    </row>
    <row r="43" spans="1:17" ht="21.75" customHeight="1" x14ac:dyDescent="0.25">
      <c r="A43" s="26" t="s">
        <v>283</v>
      </c>
      <c r="B43" s="33" t="s">
        <v>554</v>
      </c>
      <c r="C43" s="31"/>
      <c r="D43" s="179">
        <f>P28-P31-P33-P34-P36-P41</f>
        <v>513495470</v>
      </c>
      <c r="E43" s="179">
        <f>Q28-Q31-Q33-Q34-Q36-Q41</f>
        <v>536956939</v>
      </c>
      <c r="F43" s="179"/>
      <c r="G43" s="179"/>
      <c r="H43" s="179"/>
      <c r="I43" s="179"/>
      <c r="J43" s="179"/>
      <c r="K43" s="179"/>
      <c r="L43" s="179"/>
      <c r="M43" s="179"/>
      <c r="N43" s="179"/>
      <c r="O43" s="179"/>
      <c r="P43" s="179">
        <f t="shared" si="0"/>
        <v>513495470</v>
      </c>
      <c r="Q43" s="179">
        <f t="shared" si="0"/>
        <v>536956939</v>
      </c>
    </row>
    <row r="44" spans="1:17" ht="21.75" customHeight="1" x14ac:dyDescent="0.25">
      <c r="A44" s="26" t="s">
        <v>284</v>
      </c>
      <c r="B44" s="33" t="s">
        <v>555</v>
      </c>
      <c r="C44" s="31"/>
      <c r="D44" s="179">
        <f>P29-P32-P35-P37-P42</f>
        <v>1682420</v>
      </c>
      <c r="E44" s="179">
        <f>Q29-Q32-Q35-Q37-Q42</f>
        <v>5456187</v>
      </c>
      <c r="F44" s="179"/>
      <c r="G44" s="179"/>
      <c r="H44" s="179"/>
      <c r="I44" s="179"/>
      <c r="J44" s="179"/>
      <c r="K44" s="179"/>
      <c r="L44" s="179"/>
      <c r="M44" s="179"/>
      <c r="N44" s="179"/>
      <c r="O44" s="179"/>
      <c r="P44" s="179">
        <f t="shared" si="0"/>
        <v>1682420</v>
      </c>
      <c r="Q44" s="179">
        <f t="shared" si="0"/>
        <v>5456187</v>
      </c>
    </row>
    <row r="45" spans="1:17" ht="21.75" customHeight="1" x14ac:dyDescent="0.25">
      <c r="A45" s="26" t="s">
        <v>285</v>
      </c>
      <c r="B45" s="33" t="s">
        <v>592</v>
      </c>
      <c r="C45" s="31"/>
      <c r="D45" s="179"/>
      <c r="E45" s="179"/>
      <c r="F45" s="179"/>
      <c r="G45" s="179"/>
      <c r="H45" s="179"/>
      <c r="I45" s="179"/>
      <c r="J45" s="179"/>
      <c r="K45" s="179"/>
      <c r="L45" s="179"/>
      <c r="M45" s="179"/>
      <c r="N45" s="179"/>
      <c r="O45" s="179"/>
      <c r="P45" s="179">
        <f t="shared" si="0"/>
        <v>0</v>
      </c>
      <c r="Q45" s="179">
        <f t="shared" si="0"/>
        <v>0</v>
      </c>
    </row>
    <row r="46" spans="1:17" ht="21.75" customHeight="1" x14ac:dyDescent="0.25">
      <c r="A46" s="26" t="s">
        <v>286</v>
      </c>
      <c r="B46" s="236" t="s">
        <v>846</v>
      </c>
      <c r="C46" s="31"/>
      <c r="D46" s="179"/>
      <c r="E46" s="179"/>
      <c r="F46" s="179"/>
      <c r="G46" s="179"/>
      <c r="H46" s="179"/>
      <c r="I46" s="179"/>
      <c r="J46" s="179"/>
      <c r="K46" s="179"/>
      <c r="L46" s="179"/>
      <c r="M46" s="179"/>
      <c r="N46" s="179"/>
      <c r="O46" s="179"/>
      <c r="P46" s="179">
        <f t="shared" si="0"/>
        <v>0</v>
      </c>
      <c r="Q46" s="179">
        <f t="shared" si="0"/>
        <v>0</v>
      </c>
    </row>
    <row r="47" spans="1:17" s="36" customFormat="1" ht="21.75" customHeight="1" x14ac:dyDescent="0.25">
      <c r="A47" s="26" t="s">
        <v>287</v>
      </c>
      <c r="B47" s="34" t="s">
        <v>112</v>
      </c>
      <c r="C47" s="27"/>
      <c r="D47" s="180">
        <f>+D31+D33+D34+D36+D41+D43</f>
        <v>514244762</v>
      </c>
      <c r="E47" s="180">
        <f t="shared" ref="E47:O47" si="9">+E31+E33+E34+E36+E41+E43</f>
        <v>543246582</v>
      </c>
      <c r="F47" s="180">
        <f t="shared" si="9"/>
        <v>450020</v>
      </c>
      <c r="G47" s="180">
        <f t="shared" si="9"/>
        <v>2074821</v>
      </c>
      <c r="H47" s="180">
        <f t="shared" si="9"/>
        <v>0</v>
      </c>
      <c r="I47" s="180">
        <f t="shared" si="9"/>
        <v>0</v>
      </c>
      <c r="J47" s="180">
        <f t="shared" si="9"/>
        <v>0</v>
      </c>
      <c r="K47" s="180">
        <f t="shared" si="9"/>
        <v>0</v>
      </c>
      <c r="L47" s="180">
        <f t="shared" si="9"/>
        <v>49000</v>
      </c>
      <c r="M47" s="180">
        <f t="shared" si="9"/>
        <v>0</v>
      </c>
      <c r="N47" s="180">
        <f t="shared" si="9"/>
        <v>0</v>
      </c>
      <c r="O47" s="180">
        <f t="shared" si="9"/>
        <v>350000</v>
      </c>
      <c r="P47" s="180">
        <f t="shared" si="0"/>
        <v>514743782</v>
      </c>
      <c r="Q47" s="180">
        <f t="shared" si="0"/>
        <v>545671403</v>
      </c>
    </row>
    <row r="48" spans="1:17" s="36" customFormat="1" ht="21.75" customHeight="1" x14ac:dyDescent="0.25">
      <c r="A48" s="26" t="s">
        <v>288</v>
      </c>
      <c r="B48" s="34" t="s">
        <v>113</v>
      </c>
      <c r="C48" s="27"/>
      <c r="D48" s="180">
        <f>+D32+D35+D37+D42+D429+D45+D44</f>
        <v>1682420</v>
      </c>
      <c r="E48" s="180">
        <f t="shared" ref="E48:O48" si="10">+E32+E35+E37+E42+E429+E45+E44</f>
        <v>5456187</v>
      </c>
      <c r="F48" s="180">
        <f t="shared" si="10"/>
        <v>0</v>
      </c>
      <c r="G48" s="180">
        <f t="shared" si="10"/>
        <v>0</v>
      </c>
      <c r="H48" s="180">
        <f t="shared" si="10"/>
        <v>0</v>
      </c>
      <c r="I48" s="180">
        <f t="shared" si="10"/>
        <v>0</v>
      </c>
      <c r="J48" s="180">
        <f t="shared" si="10"/>
        <v>0</v>
      </c>
      <c r="K48" s="180">
        <f t="shared" si="10"/>
        <v>0</v>
      </c>
      <c r="L48" s="180">
        <f t="shared" si="10"/>
        <v>0</v>
      </c>
      <c r="M48" s="180">
        <f t="shared" si="10"/>
        <v>0</v>
      </c>
      <c r="N48" s="180">
        <f t="shared" si="10"/>
        <v>0</v>
      </c>
      <c r="O48" s="180">
        <f t="shared" si="10"/>
        <v>0</v>
      </c>
      <c r="P48" s="180">
        <f t="shared" si="0"/>
        <v>1682420</v>
      </c>
      <c r="Q48" s="180">
        <f t="shared" si="0"/>
        <v>5456187</v>
      </c>
    </row>
    <row r="49" spans="1:18" s="36" customFormat="1" ht="21.75" customHeight="1" x14ac:dyDescent="0.25">
      <c r="A49" s="26" t="s">
        <v>289</v>
      </c>
      <c r="B49" s="34" t="s">
        <v>334</v>
      </c>
      <c r="C49" s="27"/>
      <c r="D49" s="180">
        <f>+D47+D48</f>
        <v>515927182</v>
      </c>
      <c r="E49" s="180">
        <f t="shared" ref="E49:O49" si="11">+E47+E48</f>
        <v>548702769</v>
      </c>
      <c r="F49" s="180">
        <f t="shared" si="11"/>
        <v>450020</v>
      </c>
      <c r="G49" s="180">
        <f t="shared" si="11"/>
        <v>2074821</v>
      </c>
      <c r="H49" s="180">
        <f t="shared" si="11"/>
        <v>0</v>
      </c>
      <c r="I49" s="180">
        <f t="shared" si="11"/>
        <v>0</v>
      </c>
      <c r="J49" s="180">
        <f t="shared" si="11"/>
        <v>0</v>
      </c>
      <c r="K49" s="180">
        <f t="shared" si="11"/>
        <v>0</v>
      </c>
      <c r="L49" s="180">
        <f t="shared" si="11"/>
        <v>49000</v>
      </c>
      <c r="M49" s="180">
        <f t="shared" si="11"/>
        <v>0</v>
      </c>
      <c r="N49" s="180">
        <f t="shared" si="11"/>
        <v>0</v>
      </c>
      <c r="O49" s="180">
        <f t="shared" si="11"/>
        <v>350000</v>
      </c>
      <c r="P49" s="180">
        <f t="shared" si="0"/>
        <v>516426202</v>
      </c>
      <c r="Q49" s="180">
        <f t="shared" si="0"/>
        <v>551127590</v>
      </c>
    </row>
    <row r="50" spans="1:18" ht="21.75" customHeight="1" x14ac:dyDescent="0.25">
      <c r="A50" s="26" t="s">
        <v>290</v>
      </c>
      <c r="B50" s="380" t="s">
        <v>450</v>
      </c>
      <c r="C50" s="183"/>
      <c r="D50" s="179"/>
      <c r="E50" s="179"/>
      <c r="F50" s="179">
        <v>51</v>
      </c>
      <c r="G50" s="179">
        <v>51</v>
      </c>
      <c r="H50" s="179">
        <v>24</v>
      </c>
      <c r="I50" s="179">
        <v>24</v>
      </c>
      <c r="J50" s="179"/>
      <c r="K50" s="179"/>
      <c r="L50" s="179"/>
      <c r="M50" s="179"/>
      <c r="N50" s="179"/>
      <c r="O50" s="179"/>
      <c r="P50" s="179">
        <f t="shared" si="0"/>
        <v>75</v>
      </c>
      <c r="Q50" s="179">
        <f t="shared" si="0"/>
        <v>75</v>
      </c>
      <c r="R50" s="84">
        <f>P49-P30</f>
        <v>0</v>
      </c>
    </row>
    <row r="51" spans="1:18" ht="21.75" customHeight="1" x14ac:dyDescent="0.25">
      <c r="A51" s="26" t="s">
        <v>291</v>
      </c>
      <c r="B51" s="48" t="s">
        <v>1357</v>
      </c>
      <c r="C51" s="183"/>
      <c r="D51" s="179"/>
      <c r="E51" s="179"/>
      <c r="F51" s="212"/>
      <c r="G51" s="212"/>
      <c r="H51" s="212"/>
      <c r="I51" s="212"/>
      <c r="J51" s="212"/>
      <c r="K51" s="212"/>
      <c r="L51" s="212"/>
      <c r="M51" s="212"/>
      <c r="N51" s="212"/>
      <c r="O51" s="212"/>
      <c r="P51" s="179">
        <f t="shared" si="0"/>
        <v>0</v>
      </c>
      <c r="Q51" s="179">
        <f t="shared" si="0"/>
        <v>0</v>
      </c>
      <c r="R51" s="84"/>
    </row>
  </sheetData>
  <mergeCells count="23">
    <mergeCell ref="A3:C3"/>
    <mergeCell ref="B5:C5"/>
    <mergeCell ref="B6:C6"/>
    <mergeCell ref="P4:P7"/>
    <mergeCell ref="D6:D7"/>
    <mergeCell ref="F6:F7"/>
    <mergeCell ref="N6:N7"/>
    <mergeCell ref="E6:E7"/>
    <mergeCell ref="G6:G7"/>
    <mergeCell ref="A4:A7"/>
    <mergeCell ref="B4:C4"/>
    <mergeCell ref="H6:H7"/>
    <mergeCell ref="L6:L7"/>
    <mergeCell ref="J6:J7"/>
    <mergeCell ref="D2:G2"/>
    <mergeCell ref="H2:K2"/>
    <mergeCell ref="L2:O2"/>
    <mergeCell ref="P2:Q2"/>
    <mergeCell ref="I6:I7"/>
    <mergeCell ref="K6:K7"/>
    <mergeCell ref="M6:M7"/>
    <mergeCell ref="O6:O7"/>
    <mergeCell ref="Q4:Q7"/>
  </mergeCells>
  <phoneticPr fontId="45" type="noConversion"/>
  <printOptions horizontalCentered="1" verticalCentered="1"/>
  <pageMargins left="0.35433070866141736" right="0.35433070866141736" top="0.39370078740157483" bottom="0.39370078740157483" header="0.51181102362204722" footer="0.51181102362204722"/>
  <pageSetup paperSize="9" scale="37" orientation="portrait" horizontalDpi="200" verticalDpi="200" r:id="rId1"/>
  <headerFooter alignWithMargins="0">
    <oddHeader>&amp;C2022. évi költégvetés&amp;R&amp;A</oddHeader>
    <oddFooter>&amp;C&amp;P/&amp;N</oddFooter>
  </headerFooter>
  <colBreaks count="3" manualBreakCount="3">
    <brk id="7" max="50" man="1"/>
    <brk id="11" max="50" man="1"/>
    <brk id="15" max="5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1"/>
  <sheetViews>
    <sheetView view="pageBreakPreview" zoomScale="80" zoomScaleNormal="71" zoomScaleSheetLayoutView="80" workbookViewId="0">
      <pane xSplit="3" ySplit="8" topLeftCell="K9" activePane="bottomRight" state="frozen"/>
      <selection pane="topRight" activeCell="D1" sqref="D1"/>
      <selection pane="bottomLeft" activeCell="A8" sqref="A8"/>
      <selection pane="bottomRight" activeCell="K11" sqref="K11"/>
    </sheetView>
  </sheetViews>
  <sheetFormatPr defaultColWidth="9.140625" defaultRowHeight="12.75" x14ac:dyDescent="0.2"/>
  <cols>
    <col min="1" max="1" width="6.28515625" style="21" bestFit="1" customWidth="1"/>
    <col min="2" max="2" width="64.85546875" style="21" customWidth="1"/>
    <col min="3" max="3" width="7.85546875" style="135" customWidth="1"/>
    <col min="4" max="4" width="18.5703125" style="22" customWidth="1"/>
    <col min="5" max="5" width="17.85546875" style="22" customWidth="1"/>
    <col min="6" max="6" width="20" style="22" customWidth="1"/>
    <col min="7" max="7" width="21.42578125" style="22" customWidth="1"/>
    <col min="8" max="11" width="18.28515625" style="22" customWidth="1"/>
    <col min="12" max="12" width="18.7109375" style="22" customWidth="1"/>
    <col min="13" max="13" width="15.7109375" style="22" customWidth="1"/>
    <col min="14" max="14" width="21" style="22" customWidth="1"/>
    <col min="15" max="15" width="21.5703125" style="21" customWidth="1"/>
    <col min="16" max="16" width="13.42578125" style="21" bestFit="1" customWidth="1"/>
    <col min="17" max="16384" width="9.140625" style="21"/>
  </cols>
  <sheetData>
    <row r="1" spans="1:16" ht="15.75" x14ac:dyDescent="0.25">
      <c r="G1" s="177" t="s">
        <v>444</v>
      </c>
      <c r="K1" s="177" t="s">
        <v>444</v>
      </c>
      <c r="O1" s="177" t="s">
        <v>444</v>
      </c>
    </row>
    <row r="2" spans="1:16" ht="24" customHeight="1" x14ac:dyDescent="0.25">
      <c r="A2" s="736"/>
      <c r="B2" s="737"/>
      <c r="C2" s="738"/>
      <c r="D2" s="1657" t="s">
        <v>1618</v>
      </c>
      <c r="E2" s="1657"/>
      <c r="F2" s="1657"/>
      <c r="G2" s="1657"/>
      <c r="H2" s="1657" t="s">
        <v>1618</v>
      </c>
      <c r="I2" s="1657"/>
      <c r="J2" s="1657"/>
      <c r="K2" s="1657"/>
      <c r="L2" s="1657" t="s">
        <v>1618</v>
      </c>
      <c r="M2" s="1657"/>
      <c r="N2" s="1657"/>
      <c r="O2" s="1657"/>
    </row>
    <row r="3" spans="1:16" ht="41.25" customHeight="1" x14ac:dyDescent="0.2">
      <c r="A3" s="1658" t="s">
        <v>136</v>
      </c>
      <c r="B3" s="1659"/>
      <c r="C3" s="166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row>
    <row r="4" spans="1:16" ht="95.25" customHeight="1" x14ac:dyDescent="0.2">
      <c r="A4" s="1666" t="s">
        <v>192</v>
      </c>
      <c r="B4" s="1667" t="s">
        <v>250</v>
      </c>
      <c r="C4" s="1667"/>
      <c r="D4" s="1552" t="s">
        <v>502</v>
      </c>
      <c r="E4" s="1552" t="s">
        <v>502</v>
      </c>
      <c r="F4" s="1553" t="s">
        <v>180</v>
      </c>
      <c r="G4" s="1553" t="s">
        <v>180</v>
      </c>
      <c r="H4" s="262" t="s">
        <v>901</v>
      </c>
      <c r="I4" s="262" t="s">
        <v>901</v>
      </c>
      <c r="J4" s="262" t="s">
        <v>901</v>
      </c>
      <c r="K4" s="262" t="s">
        <v>901</v>
      </c>
      <c r="L4" s="1553" t="s">
        <v>184</v>
      </c>
      <c r="M4" s="1553" t="s">
        <v>184</v>
      </c>
      <c r="N4" s="1654" t="s">
        <v>138</v>
      </c>
      <c r="O4" s="1654" t="s">
        <v>138</v>
      </c>
    </row>
    <row r="5" spans="1:16" ht="25.5" customHeight="1" x14ac:dyDescent="0.2">
      <c r="A5" s="1666"/>
      <c r="B5" s="1667" t="s">
        <v>11</v>
      </c>
      <c r="C5" s="1667"/>
      <c r="D5" s="1552" t="s">
        <v>228</v>
      </c>
      <c r="E5" s="1552" t="s">
        <v>228</v>
      </c>
      <c r="F5" s="1552" t="s">
        <v>228</v>
      </c>
      <c r="G5" s="1552" t="s">
        <v>228</v>
      </c>
      <c r="H5" s="1552" t="s">
        <v>228</v>
      </c>
      <c r="I5" s="1552" t="s">
        <v>228</v>
      </c>
      <c r="J5" s="1552" t="s">
        <v>228</v>
      </c>
      <c r="K5" s="1552" t="s">
        <v>228</v>
      </c>
      <c r="L5" s="1552" t="s">
        <v>228</v>
      </c>
      <c r="M5" s="1552" t="s">
        <v>228</v>
      </c>
      <c r="N5" s="1654"/>
      <c r="O5" s="1654"/>
    </row>
    <row r="6" spans="1:16" ht="16.899999999999999" customHeight="1" x14ac:dyDescent="0.2">
      <c r="A6" s="1666"/>
      <c r="B6" s="1634" t="s">
        <v>741</v>
      </c>
      <c r="C6" s="1634"/>
      <c r="D6" s="1657" t="s">
        <v>417</v>
      </c>
      <c r="E6" s="1657" t="s">
        <v>408</v>
      </c>
      <c r="F6" s="1657" t="s">
        <v>354</v>
      </c>
      <c r="G6" s="1657" t="s">
        <v>354</v>
      </c>
      <c r="H6" s="1657" t="s">
        <v>646</v>
      </c>
      <c r="I6" s="1657" t="s">
        <v>646</v>
      </c>
      <c r="J6" s="1657" t="s">
        <v>647</v>
      </c>
      <c r="K6" s="1657" t="s">
        <v>647</v>
      </c>
      <c r="L6" s="1657" t="s">
        <v>614</v>
      </c>
      <c r="M6" s="1657" t="s">
        <v>1598</v>
      </c>
      <c r="N6" s="1654"/>
      <c r="O6" s="1654"/>
    </row>
    <row r="7" spans="1:16" ht="63.75" customHeight="1" x14ac:dyDescent="0.2">
      <c r="A7" s="1666"/>
      <c r="B7" s="1551" t="s">
        <v>193</v>
      </c>
      <c r="C7" s="134" t="s">
        <v>251</v>
      </c>
      <c r="D7" s="1657"/>
      <c r="E7" s="1657"/>
      <c r="F7" s="1657"/>
      <c r="G7" s="1657"/>
      <c r="H7" s="1657"/>
      <c r="I7" s="1657"/>
      <c r="J7" s="1657"/>
      <c r="K7" s="1657"/>
      <c r="L7" s="1657"/>
      <c r="M7" s="1657"/>
      <c r="N7" s="1654"/>
      <c r="O7" s="1654"/>
    </row>
    <row r="8" spans="1:16"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row>
    <row r="9" spans="1:16" ht="21.75" customHeight="1" x14ac:dyDescent="0.25">
      <c r="A9" s="26" t="s">
        <v>194</v>
      </c>
      <c r="B9" s="23" t="s">
        <v>335</v>
      </c>
      <c r="C9" s="136" t="s">
        <v>205</v>
      </c>
      <c r="D9" s="179"/>
      <c r="E9" s="179"/>
      <c r="F9" s="179">
        <f>32590107+5258901</f>
        <v>37849008</v>
      </c>
      <c r="G9" s="179">
        <f>32590107+5258901-2020+2020-3030+3030-2886+2886-2886+2886+200000+400000-2020+2020-2886+2886-2886+2886-81587+80000+1587-3318+3318-1202453+1200000+2453+200000-82597+80000+2597-3030+3030</f>
        <v>38649008</v>
      </c>
      <c r="H9" s="179">
        <v>154855398</v>
      </c>
      <c r="I9" s="179">
        <f>154855398-433287+233287+200000+2500000-86685+86685-280221+80221+200000-202194+202194-157353+157353-2151577+2038094+113483-21621198+11234205+10150000+136993+100000-11171162+11067264+103898-11536492+11243422+93070+200000-133000+133000</f>
        <v>157355398</v>
      </c>
      <c r="J9" s="179">
        <v>121341817</v>
      </c>
      <c r="K9" s="179">
        <f>121341817+52860-52860-102760+102760-9414+9414-21966+21966+375000+2000000-53346+53346-31380+31380-84726+84726-62759+62759-112174+112174-8624951+939951+7625000+60000-8426051+8422913+3138-8498618+8422136+76482</f>
        <v>123716817</v>
      </c>
      <c r="L9" s="179"/>
      <c r="M9" s="179"/>
      <c r="N9" s="179">
        <f t="shared" ref="N9:O50" si="0">D9+F9+H9+J9+L9</f>
        <v>314046223</v>
      </c>
      <c r="O9" s="179">
        <f t="shared" si="0"/>
        <v>319721223</v>
      </c>
      <c r="P9" s="84"/>
    </row>
    <row r="10" spans="1:16" ht="21.75" customHeight="1" x14ac:dyDescent="0.25">
      <c r="A10" s="26" t="s">
        <v>195</v>
      </c>
      <c r="B10" s="28" t="s">
        <v>206</v>
      </c>
      <c r="C10" s="136" t="s">
        <v>207</v>
      </c>
      <c r="D10" s="179"/>
      <c r="E10" s="179"/>
      <c r="F10" s="179">
        <f>4411714+718657</f>
        <v>5130371</v>
      </c>
      <c r="G10" s="179">
        <f>4411714+718657+52000</f>
        <v>5182371</v>
      </c>
      <c r="H10" s="179">
        <f>21058703+4200000+100000+50000</f>
        <v>25408703</v>
      </c>
      <c r="I10" s="179">
        <f>21058703+4200000+100000+50000+325000</f>
        <v>25733703</v>
      </c>
      <c r="J10" s="179">
        <v>16526935</v>
      </c>
      <c r="K10" s="179">
        <f>16526935+48750+260000</f>
        <v>16835685</v>
      </c>
      <c r="L10" s="179"/>
      <c r="M10" s="179"/>
      <c r="N10" s="179">
        <f t="shared" si="0"/>
        <v>47066009</v>
      </c>
      <c r="O10" s="179">
        <f t="shared" si="0"/>
        <v>47751759</v>
      </c>
      <c r="P10" s="84"/>
    </row>
    <row r="11" spans="1:16" ht="21.75" customHeight="1" x14ac:dyDescent="0.25">
      <c r="A11" s="26" t="s">
        <v>196</v>
      </c>
      <c r="B11" s="28" t="s">
        <v>336</v>
      </c>
      <c r="C11" s="136" t="s">
        <v>208</v>
      </c>
      <c r="D11" s="179">
        <f>904462</f>
        <v>904462</v>
      </c>
      <c r="E11" s="179">
        <f>904462-904462</f>
        <v>0</v>
      </c>
      <c r="F11" s="179">
        <f>(29762822)+308323+264244</f>
        <v>30335389</v>
      </c>
      <c r="G11" s="179">
        <f>(29762822)+308323+264244+170680+46080-120000+120000+178451+48182-1500000+1500000-60000+60000+700000+189000+320371+86537+1000000+270000-16220+16220+153110+41340+187302</f>
        <v>33726442</v>
      </c>
      <c r="H11" s="179">
        <f>+(16768470)+9144+33944</f>
        <v>16811558</v>
      </c>
      <c r="I11" s="179">
        <f>+(16768470)+9144+33944+415800-130000+100000+30000+716628+193490-100000+100000-288000+288000+85000+22950+200000+110050+217265</f>
        <v>18772741</v>
      </c>
      <c r="J11" s="179">
        <f>+(16168110)+11430+28448</f>
        <v>16207988</v>
      </c>
      <c r="K11" s="179">
        <f>+(16168110)+11430+28448+271902-130000+100000+30000-240000+240000+208266-100000+100000+700000+189000+700000+65450</f>
        <v>18342606</v>
      </c>
      <c r="L11" s="179"/>
      <c r="M11" s="179"/>
      <c r="N11" s="179">
        <f t="shared" si="0"/>
        <v>64259397</v>
      </c>
      <c r="O11" s="179">
        <f t="shared" si="0"/>
        <v>70841789</v>
      </c>
      <c r="P11" s="84"/>
    </row>
    <row r="12" spans="1:16" ht="21.75" customHeight="1" x14ac:dyDescent="0.25">
      <c r="A12" s="26" t="s">
        <v>197</v>
      </c>
      <c r="B12" s="29" t="s">
        <v>337</v>
      </c>
      <c r="C12" s="136" t="s">
        <v>209</v>
      </c>
      <c r="D12" s="179"/>
      <c r="E12" s="179"/>
      <c r="F12" s="179"/>
      <c r="G12" s="179"/>
      <c r="H12" s="179"/>
      <c r="I12" s="179"/>
      <c r="J12" s="179"/>
      <c r="K12" s="179"/>
      <c r="L12" s="179"/>
      <c r="M12" s="179"/>
      <c r="N12" s="179">
        <f t="shared" si="0"/>
        <v>0</v>
      </c>
      <c r="O12" s="179">
        <f t="shared" si="0"/>
        <v>0</v>
      </c>
    </row>
    <row r="13" spans="1:16" ht="21.75" customHeight="1" x14ac:dyDescent="0.25">
      <c r="A13" s="26" t="s">
        <v>198</v>
      </c>
      <c r="B13" s="29" t="s">
        <v>240</v>
      </c>
      <c r="C13" s="136" t="s">
        <v>210</v>
      </c>
      <c r="D13" s="179">
        <f>SUM(D14:D16)</f>
        <v>0</v>
      </c>
      <c r="E13" s="179">
        <f t="shared" ref="E13:M13" si="1">SUM(E14:E16)</f>
        <v>19044359</v>
      </c>
      <c r="F13" s="179">
        <f t="shared" si="1"/>
        <v>0</v>
      </c>
      <c r="G13" s="179">
        <f t="shared" si="1"/>
        <v>0</v>
      </c>
      <c r="H13" s="179">
        <f t="shared" si="1"/>
        <v>0</v>
      </c>
      <c r="I13" s="179">
        <f t="shared" si="1"/>
        <v>0</v>
      </c>
      <c r="J13" s="179">
        <f t="shared" si="1"/>
        <v>0</v>
      </c>
      <c r="K13" s="179">
        <f t="shared" si="1"/>
        <v>0</v>
      </c>
      <c r="L13" s="179">
        <f t="shared" si="1"/>
        <v>0</v>
      </c>
      <c r="M13" s="179">
        <f t="shared" si="1"/>
        <v>0</v>
      </c>
      <c r="N13" s="179">
        <f t="shared" si="0"/>
        <v>0</v>
      </c>
      <c r="O13" s="179">
        <f t="shared" si="0"/>
        <v>19044359</v>
      </c>
    </row>
    <row r="14" spans="1:16" ht="21.75" customHeight="1" x14ac:dyDescent="0.25">
      <c r="A14" s="26" t="s">
        <v>199</v>
      </c>
      <c r="B14" s="30" t="s">
        <v>125</v>
      </c>
      <c r="C14" s="136"/>
      <c r="D14" s="179"/>
      <c r="E14" s="179"/>
      <c r="F14" s="179"/>
      <c r="G14" s="179"/>
      <c r="H14" s="179"/>
      <c r="I14" s="179"/>
      <c r="J14" s="179"/>
      <c r="K14" s="179"/>
      <c r="L14" s="179"/>
      <c r="M14" s="179"/>
      <c r="N14" s="179">
        <f t="shared" si="0"/>
        <v>0</v>
      </c>
      <c r="O14" s="179">
        <f t="shared" si="0"/>
        <v>0</v>
      </c>
    </row>
    <row r="15" spans="1:16" ht="21.75" customHeight="1" x14ac:dyDescent="0.25">
      <c r="A15" s="26" t="s">
        <v>200</v>
      </c>
      <c r="B15" s="30" t="s">
        <v>115</v>
      </c>
      <c r="C15" s="137"/>
      <c r="D15" s="179"/>
      <c r="E15" s="179"/>
      <c r="F15" s="179"/>
      <c r="G15" s="179"/>
      <c r="H15" s="179"/>
      <c r="I15" s="179"/>
      <c r="J15" s="179"/>
      <c r="K15" s="179"/>
      <c r="L15" s="179"/>
      <c r="M15" s="179"/>
      <c r="N15" s="179">
        <f t="shared" si="0"/>
        <v>0</v>
      </c>
      <c r="O15" s="179">
        <f t="shared" si="0"/>
        <v>0</v>
      </c>
    </row>
    <row r="16" spans="1:16" ht="21.75" customHeight="1" x14ac:dyDescent="0.25">
      <c r="A16" s="26" t="s">
        <v>201</v>
      </c>
      <c r="B16" s="92" t="s">
        <v>566</v>
      </c>
      <c r="C16" s="137"/>
      <c r="D16" s="179"/>
      <c r="E16" s="179">
        <v>19044359</v>
      </c>
      <c r="F16" s="179"/>
      <c r="G16" s="179"/>
      <c r="H16" s="179"/>
      <c r="I16" s="179"/>
      <c r="J16" s="179"/>
      <c r="K16" s="179"/>
      <c r="L16" s="179"/>
      <c r="M16" s="179"/>
      <c r="N16" s="179">
        <f t="shared" si="0"/>
        <v>0</v>
      </c>
      <c r="O16" s="179">
        <f t="shared" si="0"/>
        <v>19044359</v>
      </c>
    </row>
    <row r="17" spans="1:15" ht="21.75" customHeight="1" x14ac:dyDescent="0.25">
      <c r="A17" s="26" t="s">
        <v>202</v>
      </c>
      <c r="B17" s="32" t="s">
        <v>247</v>
      </c>
      <c r="C17" s="136" t="s">
        <v>211</v>
      </c>
      <c r="D17" s="179"/>
      <c r="E17" s="179"/>
      <c r="F17" s="179">
        <f>+'6.sz. Beruházások'!E149</f>
        <v>381000</v>
      </c>
      <c r="G17" s="179">
        <v>381000</v>
      </c>
      <c r="H17" s="181">
        <f>+'6.sz. Beruházások'!E150</f>
        <v>858520</v>
      </c>
      <c r="I17" s="181">
        <f>858520+1047402+282798</f>
        <v>2188720</v>
      </c>
      <c r="J17" s="179">
        <f>+'6.sz. Beruházások'!E151</f>
        <v>635000</v>
      </c>
      <c r="K17" s="179">
        <f>635000+1809250+488498</f>
        <v>2932748</v>
      </c>
      <c r="L17" s="179"/>
      <c r="M17" s="179"/>
      <c r="N17" s="179">
        <f t="shared" si="0"/>
        <v>1874520</v>
      </c>
      <c r="O17" s="179">
        <f t="shared" si="0"/>
        <v>5502468</v>
      </c>
    </row>
    <row r="18" spans="1:15" ht="21.75" customHeight="1" x14ac:dyDescent="0.25">
      <c r="A18" s="26" t="s">
        <v>203</v>
      </c>
      <c r="B18" s="29" t="s">
        <v>338</v>
      </c>
      <c r="C18" s="136" t="s">
        <v>212</v>
      </c>
      <c r="D18" s="179"/>
      <c r="E18" s="179"/>
      <c r="F18" s="179"/>
      <c r="G18" s="179"/>
      <c r="H18" s="179"/>
      <c r="I18" s="179"/>
      <c r="J18" s="179"/>
      <c r="K18" s="179"/>
      <c r="L18" s="179"/>
      <c r="M18" s="179"/>
      <c r="N18" s="179">
        <f t="shared" si="0"/>
        <v>0</v>
      </c>
      <c r="O18" s="179">
        <f t="shared" si="0"/>
        <v>0</v>
      </c>
    </row>
    <row r="19" spans="1:15" ht="21.75" customHeight="1" x14ac:dyDescent="0.25">
      <c r="A19" s="26" t="s">
        <v>204</v>
      </c>
      <c r="B19" s="29" t="s">
        <v>241</v>
      </c>
      <c r="C19" s="136" t="s">
        <v>213</v>
      </c>
      <c r="D19" s="179"/>
      <c r="E19" s="179"/>
      <c r="F19" s="179"/>
      <c r="G19" s="179"/>
      <c r="H19" s="179"/>
      <c r="I19" s="179"/>
      <c r="J19" s="179"/>
      <c r="K19" s="179"/>
      <c r="L19" s="179"/>
      <c r="M19" s="179"/>
      <c r="N19" s="179">
        <f t="shared" si="0"/>
        <v>0</v>
      </c>
      <c r="O19" s="179">
        <f t="shared" si="0"/>
        <v>0</v>
      </c>
    </row>
    <row r="20" spans="1:15" ht="21.75" customHeight="1" x14ac:dyDescent="0.25">
      <c r="A20" s="26" t="s">
        <v>231</v>
      </c>
      <c r="B20" s="30" t="s">
        <v>124</v>
      </c>
      <c r="C20" s="136"/>
      <c r="D20" s="179"/>
      <c r="E20" s="179"/>
      <c r="F20" s="179"/>
      <c r="G20" s="179"/>
      <c r="H20" s="179"/>
      <c r="I20" s="179"/>
      <c r="J20" s="179"/>
      <c r="K20" s="179"/>
      <c r="L20" s="179"/>
      <c r="M20" s="179"/>
      <c r="N20" s="179">
        <f t="shared" si="0"/>
        <v>0</v>
      </c>
      <c r="O20" s="179">
        <f t="shared" si="0"/>
        <v>0</v>
      </c>
    </row>
    <row r="21" spans="1:15" ht="21.75" customHeight="1" x14ac:dyDescent="0.25">
      <c r="A21" s="26" t="s">
        <v>232</v>
      </c>
      <c r="B21" s="32" t="s">
        <v>242</v>
      </c>
      <c r="C21" s="136" t="s">
        <v>214</v>
      </c>
      <c r="D21" s="179">
        <f>+D9+D10+D11+D12+D13+D17+D18+D19</f>
        <v>904462</v>
      </c>
      <c r="E21" s="179">
        <f t="shared" ref="E21:M21" si="2">+E9+E10+E11+E12+E13+E17+E18+E19</f>
        <v>19044359</v>
      </c>
      <c r="F21" s="179">
        <f t="shared" si="2"/>
        <v>73695768</v>
      </c>
      <c r="G21" s="179">
        <f t="shared" si="2"/>
        <v>77938821</v>
      </c>
      <c r="H21" s="179">
        <f t="shared" si="2"/>
        <v>197934179</v>
      </c>
      <c r="I21" s="179">
        <f t="shared" si="2"/>
        <v>204050562</v>
      </c>
      <c r="J21" s="179">
        <f t="shared" si="2"/>
        <v>154711740</v>
      </c>
      <c r="K21" s="179">
        <f t="shared" si="2"/>
        <v>161827856</v>
      </c>
      <c r="L21" s="179">
        <f t="shared" si="2"/>
        <v>0</v>
      </c>
      <c r="M21" s="179">
        <f t="shared" si="2"/>
        <v>0</v>
      </c>
      <c r="N21" s="179">
        <f t="shared" si="0"/>
        <v>427246149</v>
      </c>
      <c r="O21" s="179">
        <f t="shared" si="0"/>
        <v>462861598</v>
      </c>
    </row>
    <row r="22" spans="1:15" ht="21.75" customHeight="1" x14ac:dyDescent="0.25">
      <c r="A22" s="26" t="s">
        <v>233</v>
      </c>
      <c r="B22" s="32" t="s">
        <v>227</v>
      </c>
      <c r="C22" s="136" t="s">
        <v>223</v>
      </c>
      <c r="D22" s="179">
        <f>SUM(D23:D26)</f>
        <v>0</v>
      </c>
      <c r="E22" s="179">
        <f t="shared" ref="E22:M22" si="3">SUM(E23:E26)</f>
        <v>0</v>
      </c>
      <c r="F22" s="179">
        <f t="shared" si="3"/>
        <v>0</v>
      </c>
      <c r="G22" s="179">
        <f t="shared" si="3"/>
        <v>0</v>
      </c>
      <c r="H22" s="179">
        <f t="shared" si="3"/>
        <v>0</v>
      </c>
      <c r="I22" s="179">
        <f t="shared" si="3"/>
        <v>0</v>
      </c>
      <c r="J22" s="179">
        <f t="shared" si="3"/>
        <v>0</v>
      </c>
      <c r="K22" s="179">
        <f t="shared" si="3"/>
        <v>0</v>
      </c>
      <c r="L22" s="179">
        <f t="shared" si="3"/>
        <v>0</v>
      </c>
      <c r="M22" s="179">
        <f t="shared" si="3"/>
        <v>0</v>
      </c>
      <c r="N22" s="179">
        <f t="shared" si="0"/>
        <v>0</v>
      </c>
      <c r="O22" s="179">
        <f t="shared" si="0"/>
        <v>0</v>
      </c>
    </row>
    <row r="23" spans="1:15" ht="21.75" customHeight="1" x14ac:dyDescent="0.25">
      <c r="A23" s="26" t="s">
        <v>234</v>
      </c>
      <c r="B23" s="94" t="s">
        <v>182</v>
      </c>
      <c r="C23" s="137"/>
      <c r="D23" s="179"/>
      <c r="E23" s="179"/>
      <c r="F23" s="179"/>
      <c r="G23" s="179"/>
      <c r="H23" s="179"/>
      <c r="I23" s="179"/>
      <c r="J23" s="179"/>
      <c r="K23" s="179"/>
      <c r="L23" s="179"/>
      <c r="M23" s="179"/>
      <c r="N23" s="179">
        <f t="shared" si="0"/>
        <v>0</v>
      </c>
      <c r="O23" s="179">
        <f t="shared" si="0"/>
        <v>0</v>
      </c>
    </row>
    <row r="24" spans="1:15" ht="21.75" customHeight="1" x14ac:dyDescent="0.25">
      <c r="A24" s="26" t="s">
        <v>235</v>
      </c>
      <c r="B24" s="33" t="s">
        <v>569</v>
      </c>
      <c r="C24" s="137"/>
      <c r="D24" s="179"/>
      <c r="E24" s="179"/>
      <c r="F24" s="179"/>
      <c r="G24" s="179"/>
      <c r="H24" s="179"/>
      <c r="I24" s="179"/>
      <c r="J24" s="179"/>
      <c r="K24" s="179"/>
      <c r="L24" s="179"/>
      <c r="M24" s="179"/>
      <c r="N24" s="179">
        <f t="shared" si="0"/>
        <v>0</v>
      </c>
      <c r="O24" s="179">
        <f t="shared" si="0"/>
        <v>0</v>
      </c>
    </row>
    <row r="25" spans="1:15" ht="21.75" customHeight="1" x14ac:dyDescent="0.25">
      <c r="A25" s="26" t="s">
        <v>236</v>
      </c>
      <c r="B25" s="33" t="s">
        <v>570</v>
      </c>
      <c r="C25" s="137"/>
      <c r="D25" s="179"/>
      <c r="E25" s="179"/>
      <c r="F25" s="179"/>
      <c r="G25" s="179"/>
      <c r="H25" s="179"/>
      <c r="I25" s="179"/>
      <c r="J25" s="179"/>
      <c r="K25" s="179"/>
      <c r="L25" s="179"/>
      <c r="M25" s="179"/>
      <c r="N25" s="179">
        <f t="shared" si="0"/>
        <v>0</v>
      </c>
      <c r="O25" s="179">
        <f t="shared" si="0"/>
        <v>0</v>
      </c>
    </row>
    <row r="26" spans="1:15" ht="21.75" customHeight="1" x14ac:dyDescent="0.25">
      <c r="A26" s="26" t="s">
        <v>237</v>
      </c>
      <c r="B26" s="33" t="s">
        <v>126</v>
      </c>
      <c r="C26" s="137"/>
      <c r="D26" s="179"/>
      <c r="E26" s="179"/>
      <c r="F26" s="179"/>
      <c r="G26" s="179"/>
      <c r="H26" s="179"/>
      <c r="I26" s="179"/>
      <c r="J26" s="179"/>
      <c r="K26" s="179"/>
      <c r="L26" s="179"/>
      <c r="M26" s="179"/>
      <c r="N26" s="179">
        <f t="shared" si="0"/>
        <v>0</v>
      </c>
      <c r="O26" s="179">
        <f t="shared" si="0"/>
        <v>0</v>
      </c>
    </row>
    <row r="27" spans="1:15" ht="21.75" customHeight="1" x14ac:dyDescent="0.25">
      <c r="A27" s="26" t="s">
        <v>238</v>
      </c>
      <c r="B27" s="236" t="s">
        <v>847</v>
      </c>
      <c r="C27" s="137"/>
      <c r="D27" s="179"/>
      <c r="E27" s="179"/>
      <c r="F27" s="179"/>
      <c r="G27" s="179"/>
      <c r="H27" s="179"/>
      <c r="I27" s="179"/>
      <c r="J27" s="179"/>
      <c r="K27" s="179"/>
      <c r="L27" s="179"/>
      <c r="M27" s="179"/>
      <c r="N27" s="179">
        <f t="shared" si="0"/>
        <v>0</v>
      </c>
      <c r="O27" s="179">
        <f t="shared" si="0"/>
        <v>0</v>
      </c>
    </row>
    <row r="28" spans="1:15" s="35" customFormat="1" ht="21.75" customHeight="1" x14ac:dyDescent="0.25">
      <c r="A28" s="26" t="s">
        <v>239</v>
      </c>
      <c r="B28" s="34" t="s">
        <v>32</v>
      </c>
      <c r="C28" s="136"/>
      <c r="D28" s="180">
        <f>+D9+D10+D11+D12+D13+D23+D24</f>
        <v>904462</v>
      </c>
      <c r="E28" s="180">
        <f t="shared" ref="E28:M28" si="4">+E9+E10+E11+E12+E13+E23+E24</f>
        <v>19044359</v>
      </c>
      <c r="F28" s="180">
        <f t="shared" si="4"/>
        <v>73314768</v>
      </c>
      <c r="G28" s="180">
        <f t="shared" si="4"/>
        <v>77557821</v>
      </c>
      <c r="H28" s="180">
        <f t="shared" si="4"/>
        <v>197075659</v>
      </c>
      <c r="I28" s="180">
        <f t="shared" si="4"/>
        <v>201861842</v>
      </c>
      <c r="J28" s="180">
        <f t="shared" si="4"/>
        <v>154076740</v>
      </c>
      <c r="K28" s="180">
        <f t="shared" si="4"/>
        <v>158895108</v>
      </c>
      <c r="L28" s="180">
        <f t="shared" si="4"/>
        <v>0</v>
      </c>
      <c r="M28" s="180">
        <f t="shared" si="4"/>
        <v>0</v>
      </c>
      <c r="N28" s="180">
        <f t="shared" si="0"/>
        <v>425371629</v>
      </c>
      <c r="O28" s="180">
        <f t="shared" si="0"/>
        <v>457359130</v>
      </c>
    </row>
    <row r="29" spans="1:15" s="35" customFormat="1" ht="21.75" customHeight="1" x14ac:dyDescent="0.25">
      <c r="A29" s="26" t="s">
        <v>266</v>
      </c>
      <c r="B29" s="34" t="s">
        <v>33</v>
      </c>
      <c r="C29" s="136"/>
      <c r="D29" s="180">
        <f>+D17+D18+D19+D25+D26</f>
        <v>0</v>
      </c>
      <c r="E29" s="180">
        <f t="shared" ref="E29:M29" si="5">+E17+E18+E19+E25+E26</f>
        <v>0</v>
      </c>
      <c r="F29" s="180">
        <f t="shared" si="5"/>
        <v>381000</v>
      </c>
      <c r="G29" s="180">
        <f t="shared" si="5"/>
        <v>381000</v>
      </c>
      <c r="H29" s="180">
        <f t="shared" si="5"/>
        <v>858520</v>
      </c>
      <c r="I29" s="180">
        <f t="shared" si="5"/>
        <v>2188720</v>
      </c>
      <c r="J29" s="180">
        <f t="shared" si="5"/>
        <v>635000</v>
      </c>
      <c r="K29" s="180">
        <f t="shared" si="5"/>
        <v>2932748</v>
      </c>
      <c r="L29" s="180">
        <f t="shared" si="5"/>
        <v>0</v>
      </c>
      <c r="M29" s="180">
        <f t="shared" si="5"/>
        <v>0</v>
      </c>
      <c r="N29" s="180">
        <f t="shared" si="0"/>
        <v>1874520</v>
      </c>
      <c r="O29" s="180">
        <f t="shared" si="0"/>
        <v>5502468</v>
      </c>
    </row>
    <row r="30" spans="1:15" s="35" customFormat="1" ht="21.75" customHeight="1" x14ac:dyDescent="0.25">
      <c r="A30" s="26" t="s">
        <v>267</v>
      </c>
      <c r="B30" s="34" t="s">
        <v>333</v>
      </c>
      <c r="C30" s="136" t="s">
        <v>31</v>
      </c>
      <c r="D30" s="180">
        <f>SUM(D28:D29)</f>
        <v>904462</v>
      </c>
      <c r="E30" s="180">
        <f t="shared" ref="E30:M30" si="6">SUM(E28:E29)</f>
        <v>19044359</v>
      </c>
      <c r="F30" s="180">
        <f t="shared" si="6"/>
        <v>73695768</v>
      </c>
      <c r="G30" s="180">
        <f t="shared" si="6"/>
        <v>77938821</v>
      </c>
      <c r="H30" s="180">
        <f t="shared" si="6"/>
        <v>197934179</v>
      </c>
      <c r="I30" s="180">
        <f t="shared" si="6"/>
        <v>204050562</v>
      </c>
      <c r="J30" s="180">
        <f t="shared" si="6"/>
        <v>154711740</v>
      </c>
      <c r="K30" s="180">
        <f t="shared" si="6"/>
        <v>161827856</v>
      </c>
      <c r="L30" s="180">
        <f t="shared" si="6"/>
        <v>0</v>
      </c>
      <c r="M30" s="180">
        <f t="shared" si="6"/>
        <v>0</v>
      </c>
      <c r="N30" s="180">
        <f t="shared" si="0"/>
        <v>427246149</v>
      </c>
      <c r="O30" s="180">
        <f t="shared" si="0"/>
        <v>462861598</v>
      </c>
    </row>
    <row r="31" spans="1:15" ht="21.75" customHeight="1" x14ac:dyDescent="0.25">
      <c r="A31" s="26" t="s">
        <v>268</v>
      </c>
      <c r="B31" s="28" t="s">
        <v>52</v>
      </c>
      <c r="C31" s="32" t="s">
        <v>215</v>
      </c>
      <c r="D31" s="179"/>
      <c r="E31" s="179"/>
      <c r="F31" s="179"/>
      <c r="G31" s="179"/>
      <c r="H31" s="179"/>
      <c r="I31" s="179"/>
      <c r="J31" s="179"/>
      <c r="K31" s="179"/>
      <c r="L31" s="179"/>
      <c r="M31" s="179"/>
      <c r="N31" s="179">
        <f t="shared" si="0"/>
        <v>0</v>
      </c>
      <c r="O31" s="179">
        <f t="shared" si="0"/>
        <v>0</v>
      </c>
    </row>
    <row r="32" spans="1:15" ht="21.75" customHeight="1" x14ac:dyDescent="0.25">
      <c r="A32" s="26" t="s">
        <v>269</v>
      </c>
      <c r="B32" s="28" t="s">
        <v>226</v>
      </c>
      <c r="C32" s="32" t="s">
        <v>216</v>
      </c>
      <c r="D32" s="179"/>
      <c r="E32" s="179"/>
      <c r="F32" s="179"/>
      <c r="G32" s="179"/>
      <c r="H32" s="179"/>
      <c r="I32" s="179"/>
      <c r="J32" s="179"/>
      <c r="K32" s="179"/>
      <c r="L32" s="179"/>
      <c r="M32" s="179"/>
      <c r="N32" s="179">
        <f t="shared" si="0"/>
        <v>0</v>
      </c>
      <c r="O32" s="179">
        <f t="shared" si="0"/>
        <v>0</v>
      </c>
    </row>
    <row r="33" spans="1:15" ht="21.75" customHeight="1" x14ac:dyDescent="0.25">
      <c r="A33" s="26" t="s">
        <v>270</v>
      </c>
      <c r="B33" s="28" t="s">
        <v>225</v>
      </c>
      <c r="C33" s="32" t="s">
        <v>217</v>
      </c>
      <c r="D33" s="179"/>
      <c r="E33" s="179"/>
      <c r="F33" s="179"/>
      <c r="G33" s="179"/>
      <c r="H33" s="179"/>
      <c r="I33" s="179"/>
      <c r="J33" s="179"/>
      <c r="K33" s="179"/>
      <c r="L33" s="179"/>
      <c r="M33" s="179"/>
      <c r="N33" s="179">
        <f t="shared" si="0"/>
        <v>0</v>
      </c>
      <c r="O33" s="179">
        <f t="shared" si="0"/>
        <v>0</v>
      </c>
    </row>
    <row r="34" spans="1:15" ht="21.75" customHeight="1" x14ac:dyDescent="0.25">
      <c r="A34" s="26" t="s">
        <v>271</v>
      </c>
      <c r="B34" s="29" t="s">
        <v>0</v>
      </c>
      <c r="C34" s="32" t="s">
        <v>218</v>
      </c>
      <c r="D34" s="179"/>
      <c r="E34" s="179"/>
      <c r="F34" s="181">
        <v>4827100</v>
      </c>
      <c r="G34" s="181">
        <f>4827100+170680+46080+226633+700000+189000+320371+86537+1000000+270000+153110+41340+147559+39841-98</f>
        <v>8218153</v>
      </c>
      <c r="H34" s="181">
        <v>4500100</v>
      </c>
      <c r="I34" s="181">
        <f>4500100+415800+910118+200000+110050+217350-85</f>
        <v>6353333</v>
      </c>
      <c r="J34" s="181">
        <v>3500000</v>
      </c>
      <c r="K34" s="181">
        <f>3500000+271902+208266+700000+65450</f>
        <v>4745618</v>
      </c>
      <c r="L34" s="179">
        <v>904462</v>
      </c>
      <c r="M34" s="179">
        <f>904462-858382-46080</f>
        <v>0</v>
      </c>
      <c r="N34" s="179">
        <f t="shared" si="0"/>
        <v>13731662</v>
      </c>
      <c r="O34" s="179">
        <f t="shared" si="0"/>
        <v>19317104</v>
      </c>
    </row>
    <row r="35" spans="1:15" ht="21.75" customHeight="1" x14ac:dyDescent="0.25">
      <c r="A35" s="26" t="s">
        <v>272</v>
      </c>
      <c r="B35" s="28" t="s">
        <v>248</v>
      </c>
      <c r="C35" s="32" t="s">
        <v>219</v>
      </c>
      <c r="D35" s="179"/>
      <c r="E35" s="179"/>
      <c r="F35" s="179"/>
      <c r="G35" s="179"/>
      <c r="H35" s="179"/>
      <c r="I35" s="179"/>
      <c r="J35" s="179"/>
      <c r="K35" s="179"/>
      <c r="L35" s="179"/>
      <c r="M35" s="179"/>
      <c r="N35" s="179">
        <f t="shared" si="0"/>
        <v>0</v>
      </c>
      <c r="O35" s="179">
        <f t="shared" si="0"/>
        <v>0</v>
      </c>
    </row>
    <row r="36" spans="1:15" ht="21.75" customHeight="1" x14ac:dyDescent="0.25">
      <c r="A36" s="26" t="s">
        <v>273</v>
      </c>
      <c r="B36" s="28" t="s">
        <v>243</v>
      </c>
      <c r="C36" s="32" t="s">
        <v>220</v>
      </c>
      <c r="D36" s="179"/>
      <c r="E36" s="179"/>
      <c r="F36" s="179"/>
      <c r="G36" s="179"/>
      <c r="H36" s="179"/>
      <c r="I36" s="179"/>
      <c r="J36" s="179"/>
      <c r="K36" s="179"/>
      <c r="L36" s="179"/>
      <c r="M36" s="179"/>
      <c r="N36" s="179">
        <f t="shared" si="0"/>
        <v>0</v>
      </c>
      <c r="O36" s="179">
        <f t="shared" si="0"/>
        <v>0</v>
      </c>
    </row>
    <row r="37" spans="1:15" ht="21.75" customHeight="1" x14ac:dyDescent="0.25">
      <c r="A37" s="26" t="s">
        <v>274</v>
      </c>
      <c r="B37" s="28" t="s">
        <v>244</v>
      </c>
      <c r="C37" s="32" t="s">
        <v>221</v>
      </c>
      <c r="D37" s="179"/>
      <c r="E37" s="179"/>
      <c r="F37" s="179"/>
      <c r="G37" s="179"/>
      <c r="H37" s="179"/>
      <c r="I37" s="179"/>
      <c r="J37" s="179"/>
      <c r="K37" s="179"/>
      <c r="L37" s="179"/>
      <c r="M37" s="179"/>
      <c r="N37" s="179">
        <f t="shared" si="0"/>
        <v>0</v>
      </c>
      <c r="O37" s="179">
        <f t="shared" si="0"/>
        <v>0</v>
      </c>
    </row>
    <row r="38" spans="1:15" ht="21.75" customHeight="1" x14ac:dyDescent="0.25">
      <c r="A38" s="26" t="s">
        <v>275</v>
      </c>
      <c r="B38" s="29" t="s">
        <v>245</v>
      </c>
      <c r="C38" s="32" t="s">
        <v>222</v>
      </c>
      <c r="D38" s="179">
        <f>+D31+D32+D33+D34+D35+D36+D37</f>
        <v>0</v>
      </c>
      <c r="E38" s="179">
        <f t="shared" ref="E38:M38" si="7">+E31+E32+E33+E34+E35+E36+E37</f>
        <v>0</v>
      </c>
      <c r="F38" s="179">
        <f t="shared" si="7"/>
        <v>4827100</v>
      </c>
      <c r="G38" s="179">
        <f t="shared" si="7"/>
        <v>8218153</v>
      </c>
      <c r="H38" s="179">
        <f t="shared" si="7"/>
        <v>4500100</v>
      </c>
      <c r="I38" s="179">
        <f t="shared" si="7"/>
        <v>6353333</v>
      </c>
      <c r="J38" s="179">
        <f t="shared" si="7"/>
        <v>3500000</v>
      </c>
      <c r="K38" s="179">
        <f t="shared" si="7"/>
        <v>4745618</v>
      </c>
      <c r="L38" s="179">
        <f t="shared" si="7"/>
        <v>904462</v>
      </c>
      <c r="M38" s="179">
        <f t="shared" si="7"/>
        <v>0</v>
      </c>
      <c r="N38" s="179">
        <f t="shared" si="0"/>
        <v>13731662</v>
      </c>
      <c r="O38" s="179">
        <f t="shared" si="0"/>
        <v>19317104</v>
      </c>
    </row>
    <row r="39" spans="1:15" ht="21.75" customHeight="1" x14ac:dyDescent="0.25">
      <c r="A39" s="26" t="s">
        <v>276</v>
      </c>
      <c r="B39" s="32" t="s">
        <v>246</v>
      </c>
      <c r="C39" s="136" t="s">
        <v>224</v>
      </c>
      <c r="D39" s="179">
        <f>SUM(D41:D45)</f>
        <v>413514487</v>
      </c>
      <c r="E39" s="179">
        <f t="shared" ref="E39:M39" si="8">SUM(E41:E45)</f>
        <v>443544494</v>
      </c>
      <c r="F39" s="179">
        <f t="shared" si="8"/>
        <v>0</v>
      </c>
      <c r="G39" s="179">
        <f t="shared" si="8"/>
        <v>0</v>
      </c>
      <c r="H39" s="179">
        <f t="shared" si="8"/>
        <v>0</v>
      </c>
      <c r="I39" s="179">
        <f t="shared" si="8"/>
        <v>0</v>
      </c>
      <c r="J39" s="179">
        <f t="shared" si="8"/>
        <v>0</v>
      </c>
      <c r="K39" s="179">
        <f t="shared" si="8"/>
        <v>0</v>
      </c>
      <c r="L39" s="179">
        <f t="shared" si="8"/>
        <v>0</v>
      </c>
      <c r="M39" s="179">
        <f t="shared" si="8"/>
        <v>0</v>
      </c>
      <c r="N39" s="179">
        <f t="shared" si="0"/>
        <v>413514487</v>
      </c>
      <c r="O39" s="179">
        <f t="shared" si="0"/>
        <v>443544494</v>
      </c>
    </row>
    <row r="40" spans="1:15" ht="21.75" customHeight="1" x14ac:dyDescent="0.25">
      <c r="A40" s="26" t="s">
        <v>277</v>
      </c>
      <c r="B40" s="94" t="s">
        <v>582</v>
      </c>
      <c r="C40" s="136"/>
      <c r="D40" s="179"/>
      <c r="E40" s="179"/>
      <c r="F40" s="179"/>
      <c r="G40" s="179"/>
      <c r="H40" s="179"/>
      <c r="I40" s="179"/>
      <c r="J40" s="179"/>
      <c r="K40" s="179"/>
      <c r="L40" s="179"/>
      <c r="M40" s="179"/>
      <c r="N40" s="179">
        <f t="shared" si="0"/>
        <v>0</v>
      </c>
      <c r="O40" s="179">
        <f t="shared" si="0"/>
        <v>0</v>
      </c>
    </row>
    <row r="41" spans="1:15" ht="21.75" customHeight="1" x14ac:dyDescent="0.25">
      <c r="A41" s="26" t="s">
        <v>278</v>
      </c>
      <c r="B41" s="33" t="s">
        <v>882</v>
      </c>
      <c r="C41" s="137"/>
      <c r="D41" s="179">
        <f>328897+326636</f>
        <v>655533</v>
      </c>
      <c r="E41" s="179">
        <f>328897+326636+19044359</f>
        <v>19699892</v>
      </c>
      <c r="F41" s="179"/>
      <c r="G41" s="179"/>
      <c r="H41" s="179"/>
      <c r="I41" s="179"/>
      <c r="J41" s="179"/>
      <c r="K41" s="179"/>
      <c r="L41" s="179"/>
      <c r="M41" s="179"/>
      <c r="N41" s="179">
        <f t="shared" si="0"/>
        <v>655533</v>
      </c>
      <c r="O41" s="179">
        <f t="shared" si="0"/>
        <v>19699892</v>
      </c>
    </row>
    <row r="42" spans="1:15" ht="21.75" customHeight="1" x14ac:dyDescent="0.25">
      <c r="A42" s="26" t="s">
        <v>282</v>
      </c>
      <c r="B42" s="33" t="s">
        <v>883</v>
      </c>
      <c r="C42" s="137"/>
      <c r="D42" s="179"/>
      <c r="E42" s="179"/>
      <c r="F42" s="179"/>
      <c r="G42" s="179"/>
      <c r="H42" s="179"/>
      <c r="I42" s="179"/>
      <c r="J42" s="179"/>
      <c r="K42" s="179"/>
      <c r="L42" s="179"/>
      <c r="M42" s="179"/>
      <c r="N42" s="179">
        <f t="shared" si="0"/>
        <v>0</v>
      </c>
      <c r="O42" s="179">
        <f t="shared" si="0"/>
        <v>0</v>
      </c>
    </row>
    <row r="43" spans="1:15" ht="21.75" customHeight="1" x14ac:dyDescent="0.25">
      <c r="A43" s="26" t="s">
        <v>283</v>
      </c>
      <c r="B43" s="33" t="s">
        <v>554</v>
      </c>
      <c r="C43" s="137"/>
      <c r="D43" s="179">
        <f>N28-N31-N33-N34-N36-N41</f>
        <v>410984434</v>
      </c>
      <c r="E43" s="179">
        <f>O28-O31-O33-O34-O36-O41</f>
        <v>418342134</v>
      </c>
      <c r="F43" s="179"/>
      <c r="G43" s="179"/>
      <c r="H43" s="179"/>
      <c r="I43" s="179"/>
      <c r="J43" s="179"/>
      <c r="K43" s="179"/>
      <c r="L43" s="179"/>
      <c r="M43" s="179"/>
      <c r="N43" s="179">
        <f t="shared" si="0"/>
        <v>410984434</v>
      </c>
      <c r="O43" s="179">
        <f t="shared" si="0"/>
        <v>418342134</v>
      </c>
    </row>
    <row r="44" spans="1:15" ht="21.75" customHeight="1" x14ac:dyDescent="0.25">
      <c r="A44" s="26" t="s">
        <v>284</v>
      </c>
      <c r="B44" s="33" t="s">
        <v>555</v>
      </c>
      <c r="C44" s="137"/>
      <c r="D44" s="179">
        <f>N29-N32-N35-N37-N42</f>
        <v>1874520</v>
      </c>
      <c r="E44" s="179">
        <f>O29-O32-O35-O37-O42</f>
        <v>5502468</v>
      </c>
      <c r="F44" s="179"/>
      <c r="G44" s="179"/>
      <c r="H44" s="179"/>
      <c r="I44" s="179"/>
      <c r="J44" s="179"/>
      <c r="K44" s="179"/>
      <c r="L44" s="179"/>
      <c r="M44" s="179"/>
      <c r="N44" s="179">
        <f t="shared" si="0"/>
        <v>1874520</v>
      </c>
      <c r="O44" s="179">
        <f t="shared" si="0"/>
        <v>5502468</v>
      </c>
    </row>
    <row r="45" spans="1:15" ht="21.75" customHeight="1" x14ac:dyDescent="0.25">
      <c r="A45" s="26" t="s">
        <v>285</v>
      </c>
      <c r="B45" s="33" t="s">
        <v>592</v>
      </c>
      <c r="C45" s="137"/>
      <c r="D45" s="179"/>
      <c r="E45" s="179"/>
      <c r="F45" s="179"/>
      <c r="G45" s="179"/>
      <c r="H45" s="179"/>
      <c r="I45" s="179"/>
      <c r="J45" s="179"/>
      <c r="K45" s="179"/>
      <c r="L45" s="179"/>
      <c r="M45" s="179"/>
      <c r="N45" s="179">
        <f t="shared" si="0"/>
        <v>0</v>
      </c>
      <c r="O45" s="179">
        <f t="shared" si="0"/>
        <v>0</v>
      </c>
    </row>
    <row r="46" spans="1:15" ht="21.75" customHeight="1" x14ac:dyDescent="0.25">
      <c r="A46" s="26" t="s">
        <v>286</v>
      </c>
      <c r="B46" s="236" t="s">
        <v>846</v>
      </c>
      <c r="C46" s="137"/>
      <c r="D46" s="179"/>
      <c r="E46" s="179"/>
      <c r="F46" s="179"/>
      <c r="G46" s="179"/>
      <c r="H46" s="179"/>
      <c r="I46" s="179"/>
      <c r="J46" s="179"/>
      <c r="K46" s="179"/>
      <c r="L46" s="179"/>
      <c r="M46" s="179"/>
      <c r="N46" s="179">
        <f t="shared" si="0"/>
        <v>0</v>
      </c>
      <c r="O46" s="179">
        <f t="shared" si="0"/>
        <v>0</v>
      </c>
    </row>
    <row r="47" spans="1:15" ht="21.75" customHeight="1" x14ac:dyDescent="0.25">
      <c r="A47" s="26" t="s">
        <v>287</v>
      </c>
      <c r="B47" s="34" t="s">
        <v>112</v>
      </c>
      <c r="C47" s="136"/>
      <c r="D47" s="180">
        <f>+D31+D33+D34+D36+D41+D43</f>
        <v>411639967</v>
      </c>
      <c r="E47" s="180">
        <f t="shared" ref="E47:M47" si="9">+E31+E33+E34+E36+E41+E43</f>
        <v>438042026</v>
      </c>
      <c r="F47" s="180">
        <f t="shared" si="9"/>
        <v>4827100</v>
      </c>
      <c r="G47" s="180">
        <f t="shared" si="9"/>
        <v>8218153</v>
      </c>
      <c r="H47" s="180">
        <f t="shared" si="9"/>
        <v>4500100</v>
      </c>
      <c r="I47" s="180">
        <f t="shared" si="9"/>
        <v>6353333</v>
      </c>
      <c r="J47" s="180">
        <f t="shared" si="9"/>
        <v>3500000</v>
      </c>
      <c r="K47" s="180">
        <f t="shared" si="9"/>
        <v>4745618</v>
      </c>
      <c r="L47" s="180">
        <f t="shared" si="9"/>
        <v>904462</v>
      </c>
      <c r="M47" s="180">
        <f t="shared" si="9"/>
        <v>0</v>
      </c>
      <c r="N47" s="180">
        <f t="shared" si="0"/>
        <v>425371629</v>
      </c>
      <c r="O47" s="180">
        <f t="shared" si="0"/>
        <v>457359130</v>
      </c>
    </row>
    <row r="48" spans="1:15" ht="21.75" customHeight="1" x14ac:dyDescent="0.25">
      <c r="A48" s="26" t="s">
        <v>288</v>
      </c>
      <c r="B48" s="34" t="s">
        <v>113</v>
      </c>
      <c r="C48" s="136"/>
      <c r="D48" s="180">
        <f>+D32+D35+D37+D42+D429+D45+D44</f>
        <v>1874520</v>
      </c>
      <c r="E48" s="180">
        <f t="shared" ref="E48:M48" si="10">+E32+E35+E37+E42+E429+E45+E44</f>
        <v>5502468</v>
      </c>
      <c r="F48" s="180">
        <f t="shared" si="10"/>
        <v>0</v>
      </c>
      <c r="G48" s="180">
        <f t="shared" si="10"/>
        <v>0</v>
      </c>
      <c r="H48" s="180">
        <f t="shared" si="10"/>
        <v>0</v>
      </c>
      <c r="I48" s="180">
        <f t="shared" si="10"/>
        <v>0</v>
      </c>
      <c r="J48" s="180">
        <f t="shared" si="10"/>
        <v>0</v>
      </c>
      <c r="K48" s="180">
        <f t="shared" si="10"/>
        <v>0</v>
      </c>
      <c r="L48" s="180">
        <f t="shared" si="10"/>
        <v>0</v>
      </c>
      <c r="M48" s="180">
        <f t="shared" si="10"/>
        <v>0</v>
      </c>
      <c r="N48" s="180">
        <f t="shared" si="0"/>
        <v>1874520</v>
      </c>
      <c r="O48" s="180">
        <f t="shared" si="0"/>
        <v>5502468</v>
      </c>
    </row>
    <row r="49" spans="1:16" ht="21.75" customHeight="1" x14ac:dyDescent="0.25">
      <c r="A49" s="26" t="s">
        <v>289</v>
      </c>
      <c r="B49" s="34" t="s">
        <v>334</v>
      </c>
      <c r="C49" s="136"/>
      <c r="D49" s="180">
        <f>+D47+D48</f>
        <v>413514487</v>
      </c>
      <c r="E49" s="180">
        <f t="shared" ref="E49:M49" si="11">+E47+E48</f>
        <v>443544494</v>
      </c>
      <c r="F49" s="180">
        <f t="shared" si="11"/>
        <v>4827100</v>
      </c>
      <c r="G49" s="180">
        <f t="shared" si="11"/>
        <v>8218153</v>
      </c>
      <c r="H49" s="180">
        <f t="shared" si="11"/>
        <v>4500100</v>
      </c>
      <c r="I49" s="180">
        <f t="shared" si="11"/>
        <v>6353333</v>
      </c>
      <c r="J49" s="180">
        <f t="shared" si="11"/>
        <v>3500000</v>
      </c>
      <c r="K49" s="180">
        <f t="shared" si="11"/>
        <v>4745618</v>
      </c>
      <c r="L49" s="180">
        <f t="shared" si="11"/>
        <v>904462</v>
      </c>
      <c r="M49" s="180">
        <f t="shared" si="11"/>
        <v>0</v>
      </c>
      <c r="N49" s="180">
        <f t="shared" si="0"/>
        <v>427246149</v>
      </c>
      <c r="O49" s="180">
        <f t="shared" si="0"/>
        <v>462861598</v>
      </c>
      <c r="P49" s="84">
        <f>N49-N30</f>
        <v>0</v>
      </c>
    </row>
    <row r="50" spans="1:16" ht="21.75" customHeight="1" x14ac:dyDescent="0.25">
      <c r="A50" s="26" t="s">
        <v>290</v>
      </c>
      <c r="B50" s="380" t="s">
        <v>450</v>
      </c>
      <c r="C50" s="182"/>
      <c r="D50" s="179"/>
      <c r="E50" s="179"/>
      <c r="F50" s="179">
        <v>5</v>
      </c>
      <c r="G50" s="179">
        <v>5</v>
      </c>
      <c r="H50" s="179">
        <v>24</v>
      </c>
      <c r="I50" s="179">
        <v>24</v>
      </c>
      <c r="J50" s="179">
        <v>20</v>
      </c>
      <c r="K50" s="179">
        <v>20</v>
      </c>
      <c r="L50" s="179"/>
      <c r="M50" s="179"/>
      <c r="N50" s="179">
        <f t="shared" si="0"/>
        <v>49</v>
      </c>
      <c r="O50" s="179">
        <f t="shared" si="0"/>
        <v>49</v>
      </c>
    </row>
    <row r="51" spans="1:16" ht="21.75" customHeight="1" x14ac:dyDescent="0.25">
      <c r="A51" s="26" t="s">
        <v>291</v>
      </c>
      <c r="B51" s="48" t="s">
        <v>1357</v>
      </c>
      <c r="C51" s="182"/>
      <c r="D51" s="179"/>
      <c r="E51" s="179"/>
      <c r="F51" s="179"/>
      <c r="G51" s="179"/>
      <c r="H51" s="212"/>
      <c r="I51" s="212"/>
      <c r="J51" s="179"/>
      <c r="K51" s="179"/>
      <c r="L51" s="179"/>
      <c r="M51" s="179"/>
      <c r="N51" s="212"/>
      <c r="O51" s="212"/>
    </row>
  </sheetData>
  <mergeCells count="20">
    <mergeCell ref="A3:C3"/>
    <mergeCell ref="D6:D7"/>
    <mergeCell ref="F6:F7"/>
    <mergeCell ref="B5:C5"/>
    <mergeCell ref="B6:C6"/>
    <mergeCell ref="A4:A7"/>
    <mergeCell ref="B4:C4"/>
    <mergeCell ref="E6:E7"/>
    <mergeCell ref="K6:K7"/>
    <mergeCell ref="M6:M7"/>
    <mergeCell ref="O4:O7"/>
    <mergeCell ref="D2:G2"/>
    <mergeCell ref="H2:K2"/>
    <mergeCell ref="L2:O2"/>
    <mergeCell ref="N4:N7"/>
    <mergeCell ref="L6:L7"/>
    <mergeCell ref="J6:J7"/>
    <mergeCell ref="H6:H7"/>
    <mergeCell ref="G6:G7"/>
    <mergeCell ref="I6:I7"/>
  </mergeCells>
  <phoneticPr fontId="45" type="noConversion"/>
  <printOptions horizontalCentered="1" verticalCentered="1"/>
  <pageMargins left="0.15748031496062992" right="0.15748031496062992" top="0.39370078740157483" bottom="0.39370078740157483" header="0.51181102362204722" footer="0.51181102362204722"/>
  <pageSetup paperSize="9" scale="55" orientation="portrait" horizontalDpi="200" verticalDpi="200" r:id="rId1"/>
  <headerFooter alignWithMargins="0">
    <oddHeader>&amp;C2022. évi költségvetés&amp;R&amp;A</oddHeader>
    <oddFooter>&amp;C&amp;P/&amp;N</oddFooter>
  </headerFooter>
  <colBreaks count="3" manualBreakCount="3">
    <brk id="7" max="50" man="1"/>
    <brk id="11" max="50" man="1"/>
    <brk id="15" max="5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1"/>
  <sheetViews>
    <sheetView view="pageBreakPreview" zoomScale="80" zoomScaleNormal="71" zoomScaleSheetLayoutView="80" workbookViewId="0">
      <pane xSplit="3" ySplit="8" topLeftCell="G9" activePane="bottomRight" state="frozen"/>
      <selection pane="topRight" activeCell="D1" sqref="D1"/>
      <selection pane="bottomLeft" activeCell="A8" sqref="A8"/>
      <selection pane="bottomRight" activeCell="G11" sqref="G11"/>
    </sheetView>
  </sheetViews>
  <sheetFormatPr defaultColWidth="9.140625" defaultRowHeight="12.75" x14ac:dyDescent="0.2"/>
  <cols>
    <col min="1" max="1" width="7.140625" style="21" customWidth="1"/>
    <col min="2" max="2" width="64.85546875" style="21" customWidth="1"/>
    <col min="3" max="3" width="7.7109375" style="21" customWidth="1"/>
    <col min="4" max="5" width="19.140625" style="22" customWidth="1"/>
    <col min="6" max="7" width="18.140625" style="22" customWidth="1"/>
    <col min="8" max="8" width="18.42578125" style="22" customWidth="1"/>
    <col min="9" max="9" width="17.5703125" style="22" customWidth="1"/>
    <col min="10" max="11" width="19" style="22" customWidth="1"/>
    <col min="12" max="12" width="18.42578125" style="22" customWidth="1"/>
    <col min="13" max="13" width="17.85546875" style="22" customWidth="1"/>
    <col min="14" max="14" width="19.42578125" style="22" customWidth="1"/>
    <col min="15" max="15" width="17.85546875" style="22" customWidth="1"/>
    <col min="16" max="16" width="19.85546875" style="22" customWidth="1"/>
    <col min="17" max="17" width="17.85546875" style="22" customWidth="1"/>
    <col min="18" max="18" width="19" style="22" customWidth="1"/>
    <col min="19" max="19" width="17.85546875" style="21" customWidth="1"/>
    <col min="20" max="16384" width="9.140625" style="21"/>
  </cols>
  <sheetData>
    <row r="1" spans="1:20" ht="15.75" x14ac:dyDescent="0.25">
      <c r="G1" s="177" t="s">
        <v>444</v>
      </c>
      <c r="K1" s="177" t="s">
        <v>444</v>
      </c>
      <c r="O1" s="177" t="s">
        <v>444</v>
      </c>
      <c r="S1" s="177" t="s">
        <v>444</v>
      </c>
    </row>
    <row r="2" spans="1:20" ht="26.25" customHeight="1" x14ac:dyDescent="0.25">
      <c r="A2" s="736"/>
      <c r="B2" s="737"/>
      <c r="C2" s="737"/>
      <c r="D2" s="1657" t="s">
        <v>1619</v>
      </c>
      <c r="E2" s="1657"/>
      <c r="F2" s="1657"/>
      <c r="G2" s="1657"/>
      <c r="H2" s="1657" t="s">
        <v>1619</v>
      </c>
      <c r="I2" s="1657"/>
      <c r="J2" s="1657"/>
      <c r="K2" s="1657"/>
      <c r="L2" s="1657" t="s">
        <v>1619</v>
      </c>
      <c r="M2" s="1657"/>
      <c r="N2" s="1657"/>
      <c r="O2" s="1657"/>
      <c r="P2" s="1657" t="s">
        <v>1619</v>
      </c>
      <c r="Q2" s="1657"/>
      <c r="R2" s="1657"/>
      <c r="S2" s="1657"/>
    </row>
    <row r="3" spans="1:20" ht="46.5" customHeight="1" x14ac:dyDescent="0.2">
      <c r="A3" s="1658" t="s">
        <v>136</v>
      </c>
      <c r="B3" s="1659"/>
      <c r="C3" s="166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row>
    <row r="4" spans="1:20" ht="88.5" customHeight="1" x14ac:dyDescent="0.2">
      <c r="A4" s="1666" t="s">
        <v>192</v>
      </c>
      <c r="B4" s="1667" t="s">
        <v>250</v>
      </c>
      <c r="C4" s="1667"/>
      <c r="D4" s="1552" t="s">
        <v>503</v>
      </c>
      <c r="E4" s="1552" t="s">
        <v>503</v>
      </c>
      <c r="F4" s="1550" t="s">
        <v>445</v>
      </c>
      <c r="G4" s="1550" t="s">
        <v>445</v>
      </c>
      <c r="H4" s="1553" t="s">
        <v>437</v>
      </c>
      <c r="I4" s="1553" t="s">
        <v>437</v>
      </c>
      <c r="J4" s="1553" t="s">
        <v>344</v>
      </c>
      <c r="K4" s="1553" t="s">
        <v>344</v>
      </c>
      <c r="L4" s="1553" t="s">
        <v>534</v>
      </c>
      <c r="M4" s="1553" t="s">
        <v>534</v>
      </c>
      <c r="N4" s="1553" t="s">
        <v>517</v>
      </c>
      <c r="O4" s="1553" t="s">
        <v>517</v>
      </c>
      <c r="P4" s="1550" t="s">
        <v>445</v>
      </c>
      <c r="Q4" s="1550" t="s">
        <v>445</v>
      </c>
      <c r="R4" s="1657" t="s">
        <v>138</v>
      </c>
      <c r="S4" s="1657" t="s">
        <v>138</v>
      </c>
    </row>
    <row r="5" spans="1:20" ht="25.5" customHeight="1" x14ac:dyDescent="0.2">
      <c r="A5" s="1666"/>
      <c r="B5" s="1667" t="s">
        <v>11</v>
      </c>
      <c r="C5" s="1667"/>
      <c r="D5" s="1552" t="s">
        <v>228</v>
      </c>
      <c r="E5" s="1552" t="s">
        <v>228</v>
      </c>
      <c r="F5" s="1552" t="s">
        <v>228</v>
      </c>
      <c r="G5" s="1552" t="s">
        <v>228</v>
      </c>
      <c r="H5" s="1552" t="s">
        <v>228</v>
      </c>
      <c r="I5" s="1552" t="s">
        <v>228</v>
      </c>
      <c r="J5" s="1552" t="s">
        <v>228</v>
      </c>
      <c r="K5" s="1552" t="s">
        <v>228</v>
      </c>
      <c r="L5" s="1552" t="s">
        <v>228</v>
      </c>
      <c r="M5" s="1552" t="s">
        <v>228</v>
      </c>
      <c r="N5" s="1552" t="s">
        <v>228</v>
      </c>
      <c r="O5" s="1552" t="s">
        <v>228</v>
      </c>
      <c r="P5" s="1553" t="s">
        <v>228</v>
      </c>
      <c r="Q5" s="1553" t="s">
        <v>228</v>
      </c>
      <c r="R5" s="1657"/>
      <c r="S5" s="1657"/>
    </row>
    <row r="6" spans="1:20" ht="15.75" customHeight="1" x14ac:dyDescent="0.2">
      <c r="A6" s="1666"/>
      <c r="B6" s="1634" t="s">
        <v>741</v>
      </c>
      <c r="C6" s="1634"/>
      <c r="D6" s="1657" t="s">
        <v>355</v>
      </c>
      <c r="E6" s="1657" t="s">
        <v>1599</v>
      </c>
      <c r="F6" s="1657" t="s">
        <v>436</v>
      </c>
      <c r="G6" s="1657" t="s">
        <v>1600</v>
      </c>
      <c r="H6" s="1657" t="s">
        <v>781</v>
      </c>
      <c r="I6" s="1657" t="s">
        <v>1601</v>
      </c>
      <c r="J6" s="1657" t="s">
        <v>782</v>
      </c>
      <c r="K6" s="1657" t="s">
        <v>1602</v>
      </c>
      <c r="L6" s="1677" t="s">
        <v>783</v>
      </c>
      <c r="M6" s="1677" t="s">
        <v>783</v>
      </c>
      <c r="N6" s="1654" t="s">
        <v>516</v>
      </c>
      <c r="O6" s="1654" t="s">
        <v>1603</v>
      </c>
      <c r="P6" s="1653" t="s">
        <v>515</v>
      </c>
      <c r="Q6" s="1653" t="s">
        <v>515</v>
      </c>
      <c r="R6" s="1657"/>
      <c r="S6" s="1657"/>
    </row>
    <row r="7" spans="1:20" ht="73.5" customHeight="1" x14ac:dyDescent="0.2">
      <c r="A7" s="1666"/>
      <c r="B7" s="1551" t="s">
        <v>193</v>
      </c>
      <c r="C7" s="134" t="s">
        <v>251</v>
      </c>
      <c r="D7" s="1657"/>
      <c r="E7" s="1657"/>
      <c r="F7" s="1657"/>
      <c r="G7" s="1657"/>
      <c r="H7" s="1657"/>
      <c r="I7" s="1657"/>
      <c r="J7" s="1657"/>
      <c r="K7" s="1657"/>
      <c r="L7" s="1677"/>
      <c r="M7" s="1677"/>
      <c r="N7" s="1654"/>
      <c r="O7" s="1654"/>
      <c r="P7" s="1653"/>
      <c r="Q7" s="1653"/>
      <c r="R7" s="1657"/>
      <c r="S7" s="1657"/>
    </row>
    <row r="8" spans="1:20"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c r="P8" s="385" t="s">
        <v>235</v>
      </c>
      <c r="Q8" s="385" t="s">
        <v>236</v>
      </c>
      <c r="R8" s="385" t="s">
        <v>237</v>
      </c>
      <c r="S8" s="385" t="s">
        <v>238</v>
      </c>
    </row>
    <row r="9" spans="1:20" ht="21.75" customHeight="1" x14ac:dyDescent="0.25">
      <c r="A9" s="26" t="s">
        <v>194</v>
      </c>
      <c r="B9" s="23" t="s">
        <v>335</v>
      </c>
      <c r="C9" s="27" t="s">
        <v>205</v>
      </c>
      <c r="D9" s="179"/>
      <c r="E9" s="179"/>
      <c r="F9" s="179">
        <v>68485405</v>
      </c>
      <c r="G9" s="179">
        <f>68485405+375000+900000-2725000+2725000-1074570+1074570</f>
        <v>69760405</v>
      </c>
      <c r="H9" s="179"/>
      <c r="I9" s="179"/>
      <c r="J9" s="179"/>
      <c r="K9" s="179"/>
      <c r="L9" s="179"/>
      <c r="M9" s="179"/>
      <c r="N9" s="179"/>
      <c r="O9" s="179">
        <f>2200000+454867-2135133+2000000+135133</f>
        <v>2654867</v>
      </c>
      <c r="P9" s="179"/>
      <c r="Q9" s="179"/>
      <c r="R9" s="179">
        <f>D9+F9+H9+J9+L9+P9+N9</f>
        <v>68485405</v>
      </c>
      <c r="S9" s="179">
        <f>E9+G9+I9+K9+M9+Q9+O9</f>
        <v>72415272</v>
      </c>
      <c r="T9" s="84"/>
    </row>
    <row r="10" spans="1:20" ht="21.75" customHeight="1" x14ac:dyDescent="0.25">
      <c r="A10" s="26" t="s">
        <v>195</v>
      </c>
      <c r="B10" s="28" t="s">
        <v>206</v>
      </c>
      <c r="C10" s="27" t="s">
        <v>207</v>
      </c>
      <c r="D10" s="179"/>
      <c r="E10" s="179"/>
      <c r="F10" s="179">
        <v>9355603</v>
      </c>
      <c r="G10" s="179">
        <f>9355603+48750+117000</f>
        <v>9521353</v>
      </c>
      <c r="H10" s="179"/>
      <c r="I10" s="179"/>
      <c r="J10" s="179"/>
      <c r="K10" s="179"/>
      <c r="L10" s="179"/>
      <c r="M10" s="179"/>
      <c r="N10" s="179"/>
      <c r="O10" s="179">
        <v>345133</v>
      </c>
      <c r="P10" s="179"/>
      <c r="Q10" s="179"/>
      <c r="R10" s="179">
        <f t="shared" ref="R10:S51" si="0">D10+F10+H10+J10+L10+P10+N10</f>
        <v>9355603</v>
      </c>
      <c r="S10" s="179">
        <f t="shared" si="0"/>
        <v>9866486</v>
      </c>
      <c r="T10" s="84"/>
    </row>
    <row r="11" spans="1:20" ht="21.75" customHeight="1" x14ac:dyDescent="0.25">
      <c r="A11" s="26" t="s">
        <v>196</v>
      </c>
      <c r="B11" s="28" t="s">
        <v>336</v>
      </c>
      <c r="C11" s="27" t="s">
        <v>208</v>
      </c>
      <c r="D11" s="179"/>
      <c r="E11" s="179"/>
      <c r="F11" s="179">
        <f>+(11603166)+276860+71466</f>
        <v>11951492</v>
      </c>
      <c r="G11" s="179">
        <f>+(11603166)+276860+71466-157480-42520+200000+350500+94635-150000+150000+600000+162000-190000+190000-100000-120000+120000-10000+10000-97</f>
        <v>13058530</v>
      </c>
      <c r="H11" s="179">
        <v>2500000</v>
      </c>
      <c r="I11" s="179">
        <v>2500000</v>
      </c>
      <c r="J11" s="179">
        <v>736600</v>
      </c>
      <c r="K11" s="179">
        <v>736600</v>
      </c>
      <c r="L11" s="179">
        <v>1500000</v>
      </c>
      <c r="M11" s="179">
        <v>1500000</v>
      </c>
      <c r="N11" s="179">
        <v>608000</v>
      </c>
      <c r="O11" s="179">
        <f>608000-91825+48561+43264+1+500000+300000+298001+500000+687470</f>
        <v>2893472</v>
      </c>
      <c r="P11" s="179">
        <f>+(1524000)+20574</f>
        <v>1544574</v>
      </c>
      <c r="Q11" s="179">
        <f>+(1524000)+20574+600000+100000-754944</f>
        <v>1489630</v>
      </c>
      <c r="R11" s="179">
        <f t="shared" si="0"/>
        <v>18840666</v>
      </c>
      <c r="S11" s="179">
        <f t="shared" si="0"/>
        <v>22178232</v>
      </c>
      <c r="T11" s="84"/>
    </row>
    <row r="12" spans="1:20" ht="21.75" customHeight="1" x14ac:dyDescent="0.25">
      <c r="A12" s="26" t="s">
        <v>197</v>
      </c>
      <c r="B12" s="29" t="s">
        <v>337</v>
      </c>
      <c r="C12" s="27" t="s">
        <v>209</v>
      </c>
      <c r="D12" s="179"/>
      <c r="E12" s="179"/>
      <c r="F12" s="179"/>
      <c r="G12" s="179"/>
      <c r="H12" s="179"/>
      <c r="I12" s="179"/>
      <c r="J12" s="179"/>
      <c r="K12" s="179"/>
      <c r="L12" s="179"/>
      <c r="M12" s="179"/>
      <c r="N12" s="179"/>
      <c r="O12" s="179"/>
      <c r="P12" s="179"/>
      <c r="Q12" s="179"/>
      <c r="R12" s="179">
        <f t="shared" si="0"/>
        <v>0</v>
      </c>
      <c r="S12" s="179">
        <f t="shared" si="0"/>
        <v>0</v>
      </c>
    </row>
    <row r="13" spans="1:20" ht="21.75" customHeight="1" x14ac:dyDescent="0.25">
      <c r="A13" s="26" t="s">
        <v>198</v>
      </c>
      <c r="B13" s="29" t="s">
        <v>240</v>
      </c>
      <c r="C13" s="27" t="s">
        <v>210</v>
      </c>
      <c r="D13" s="179">
        <f>SUM(D14:D16)</f>
        <v>0</v>
      </c>
      <c r="E13" s="179">
        <f t="shared" ref="E13:Q13" si="1">SUM(E14:E16)</f>
        <v>3068287</v>
      </c>
      <c r="F13" s="179">
        <f t="shared" si="1"/>
        <v>0</v>
      </c>
      <c r="G13" s="179">
        <f t="shared" si="1"/>
        <v>0</v>
      </c>
      <c r="H13" s="179">
        <f t="shared" si="1"/>
        <v>0</v>
      </c>
      <c r="I13" s="179">
        <f t="shared" si="1"/>
        <v>0</v>
      </c>
      <c r="J13" s="179">
        <f t="shared" si="1"/>
        <v>0</v>
      </c>
      <c r="K13" s="179">
        <f t="shared" si="1"/>
        <v>0</v>
      </c>
      <c r="L13" s="179">
        <f t="shared" si="1"/>
        <v>0</v>
      </c>
      <c r="M13" s="179">
        <f t="shared" si="1"/>
        <v>0</v>
      </c>
      <c r="N13" s="179">
        <f t="shared" si="1"/>
        <v>0</v>
      </c>
      <c r="O13" s="179">
        <f t="shared" si="1"/>
        <v>0</v>
      </c>
      <c r="P13" s="179">
        <f t="shared" si="1"/>
        <v>0</v>
      </c>
      <c r="Q13" s="179">
        <f t="shared" si="1"/>
        <v>0</v>
      </c>
      <c r="R13" s="179">
        <f t="shared" si="0"/>
        <v>0</v>
      </c>
      <c r="S13" s="179">
        <f t="shared" si="0"/>
        <v>3068287</v>
      </c>
    </row>
    <row r="14" spans="1:20" ht="21.75" customHeight="1" x14ac:dyDescent="0.25">
      <c r="A14" s="26" t="s">
        <v>199</v>
      </c>
      <c r="B14" s="30" t="s">
        <v>125</v>
      </c>
      <c r="C14" s="27"/>
      <c r="D14" s="179"/>
      <c r="E14" s="179"/>
      <c r="F14" s="179"/>
      <c r="G14" s="179"/>
      <c r="H14" s="179"/>
      <c r="I14" s="179"/>
      <c r="J14" s="179"/>
      <c r="K14" s="179"/>
      <c r="L14" s="179"/>
      <c r="M14" s="179"/>
      <c r="N14" s="179"/>
      <c r="O14" s="179"/>
      <c r="P14" s="179"/>
      <c r="Q14" s="179"/>
      <c r="R14" s="179">
        <f t="shared" si="0"/>
        <v>0</v>
      </c>
      <c r="S14" s="179">
        <f t="shared" si="0"/>
        <v>0</v>
      </c>
    </row>
    <row r="15" spans="1:20" ht="21.75" customHeight="1" x14ac:dyDescent="0.25">
      <c r="A15" s="26" t="s">
        <v>200</v>
      </c>
      <c r="B15" s="30" t="s">
        <v>115</v>
      </c>
      <c r="C15" s="31"/>
      <c r="D15" s="179"/>
      <c r="E15" s="179"/>
      <c r="F15" s="179"/>
      <c r="G15" s="179"/>
      <c r="H15" s="179"/>
      <c r="I15" s="179"/>
      <c r="J15" s="179"/>
      <c r="K15" s="179"/>
      <c r="L15" s="179"/>
      <c r="M15" s="179"/>
      <c r="N15" s="179"/>
      <c r="O15" s="179"/>
      <c r="P15" s="179"/>
      <c r="Q15" s="179"/>
      <c r="R15" s="179">
        <f t="shared" si="0"/>
        <v>0</v>
      </c>
      <c r="S15" s="179">
        <f t="shared" si="0"/>
        <v>0</v>
      </c>
    </row>
    <row r="16" spans="1:20" ht="21.75" customHeight="1" x14ac:dyDescent="0.25">
      <c r="A16" s="26" t="s">
        <v>201</v>
      </c>
      <c r="B16" s="92" t="s">
        <v>566</v>
      </c>
      <c r="C16" s="31"/>
      <c r="D16" s="179"/>
      <c r="E16" s="179">
        <v>3068287</v>
      </c>
      <c r="F16" s="179"/>
      <c r="G16" s="179"/>
      <c r="H16" s="179"/>
      <c r="I16" s="179"/>
      <c r="J16" s="179"/>
      <c r="K16" s="179"/>
      <c r="L16" s="179"/>
      <c r="M16" s="179"/>
      <c r="N16" s="179"/>
      <c r="O16" s="179"/>
      <c r="P16" s="179"/>
      <c r="Q16" s="179"/>
      <c r="R16" s="179">
        <f t="shared" si="0"/>
        <v>0</v>
      </c>
      <c r="S16" s="179">
        <f t="shared" si="0"/>
        <v>3068287</v>
      </c>
    </row>
    <row r="17" spans="1:19" ht="21.75" customHeight="1" x14ac:dyDescent="0.25">
      <c r="A17" s="26" t="s">
        <v>202</v>
      </c>
      <c r="B17" s="32" t="s">
        <v>247</v>
      </c>
      <c r="C17" s="27" t="s">
        <v>211</v>
      </c>
      <c r="D17" s="179"/>
      <c r="E17" s="179"/>
      <c r="F17" s="179">
        <f>+'6.sz. Beruházások'!E179</f>
        <v>1524000</v>
      </c>
      <c r="G17" s="179">
        <v>1524000</v>
      </c>
      <c r="H17" s="179"/>
      <c r="I17" s="179"/>
      <c r="J17" s="179">
        <f>+'6.sz. Beruházások'!E180</f>
        <v>127000</v>
      </c>
      <c r="K17" s="179">
        <v>127000</v>
      </c>
      <c r="L17" s="179"/>
      <c r="M17" s="179"/>
      <c r="N17" s="179">
        <f>+'6.sz. Beruházások'!E182</f>
        <v>200000</v>
      </c>
      <c r="O17" s="179">
        <v>200000</v>
      </c>
      <c r="P17" s="179"/>
      <c r="Q17" s="179"/>
      <c r="R17" s="179">
        <f t="shared" si="0"/>
        <v>1851000</v>
      </c>
      <c r="S17" s="179">
        <f t="shared" si="0"/>
        <v>1851000</v>
      </c>
    </row>
    <row r="18" spans="1:19" ht="21.75" customHeight="1" x14ac:dyDescent="0.25">
      <c r="A18" s="26" t="s">
        <v>203</v>
      </c>
      <c r="B18" s="29" t="s">
        <v>338</v>
      </c>
      <c r="C18" s="27" t="s">
        <v>212</v>
      </c>
      <c r="D18" s="179"/>
      <c r="E18" s="179"/>
      <c r="F18" s="179"/>
      <c r="G18" s="179"/>
      <c r="H18" s="179"/>
      <c r="I18" s="179"/>
      <c r="J18" s="179"/>
      <c r="K18" s="179"/>
      <c r="L18" s="179"/>
      <c r="M18" s="179"/>
      <c r="N18" s="179"/>
      <c r="O18" s="179"/>
      <c r="P18" s="179"/>
      <c r="Q18" s="179"/>
      <c r="R18" s="179">
        <f t="shared" si="0"/>
        <v>0</v>
      </c>
      <c r="S18" s="179">
        <f t="shared" si="0"/>
        <v>0</v>
      </c>
    </row>
    <row r="19" spans="1:19" ht="21.75" customHeight="1" x14ac:dyDescent="0.25">
      <c r="A19" s="26" t="s">
        <v>204</v>
      </c>
      <c r="B19" s="29" t="s">
        <v>241</v>
      </c>
      <c r="C19" s="27" t="s">
        <v>213</v>
      </c>
      <c r="D19" s="179"/>
      <c r="E19" s="179"/>
      <c r="F19" s="179"/>
      <c r="G19" s="179"/>
      <c r="H19" s="179"/>
      <c r="I19" s="179"/>
      <c r="J19" s="179"/>
      <c r="K19" s="179"/>
      <c r="L19" s="179"/>
      <c r="M19" s="179"/>
      <c r="N19" s="179"/>
      <c r="O19" s="179"/>
      <c r="P19" s="179"/>
      <c r="Q19" s="179"/>
      <c r="R19" s="179">
        <f t="shared" si="0"/>
        <v>0</v>
      </c>
      <c r="S19" s="179">
        <f t="shared" si="0"/>
        <v>0</v>
      </c>
    </row>
    <row r="20" spans="1:19" ht="21.75" customHeight="1" x14ac:dyDescent="0.25">
      <c r="A20" s="26" t="s">
        <v>231</v>
      </c>
      <c r="B20" s="29" t="s">
        <v>124</v>
      </c>
      <c r="C20" s="27"/>
      <c r="D20" s="179"/>
      <c r="E20" s="179"/>
      <c r="F20" s="179"/>
      <c r="G20" s="179"/>
      <c r="H20" s="179"/>
      <c r="I20" s="179"/>
      <c r="J20" s="179"/>
      <c r="K20" s="179"/>
      <c r="L20" s="179"/>
      <c r="M20" s="179"/>
      <c r="N20" s="179"/>
      <c r="O20" s="179"/>
      <c r="P20" s="179"/>
      <c r="Q20" s="179"/>
      <c r="R20" s="179">
        <f t="shared" si="0"/>
        <v>0</v>
      </c>
      <c r="S20" s="179">
        <f t="shared" si="0"/>
        <v>0</v>
      </c>
    </row>
    <row r="21" spans="1:19" ht="21.75" customHeight="1" x14ac:dyDescent="0.25">
      <c r="A21" s="26" t="s">
        <v>232</v>
      </c>
      <c r="B21" s="32" t="s">
        <v>242</v>
      </c>
      <c r="C21" s="27" t="s">
        <v>214</v>
      </c>
      <c r="D21" s="179">
        <f>+D9+D10+D11+D12+D13+D17+D18+D19</f>
        <v>0</v>
      </c>
      <c r="E21" s="179">
        <f t="shared" ref="E21:Q21" si="2">+E9+E10+E11+E12+E13+E17+E18+E19</f>
        <v>3068287</v>
      </c>
      <c r="F21" s="179">
        <f t="shared" si="2"/>
        <v>91316500</v>
      </c>
      <c r="G21" s="179">
        <f t="shared" si="2"/>
        <v>93864288</v>
      </c>
      <c r="H21" s="179">
        <f t="shared" si="2"/>
        <v>2500000</v>
      </c>
      <c r="I21" s="179">
        <f t="shared" si="2"/>
        <v>2500000</v>
      </c>
      <c r="J21" s="179">
        <f t="shared" si="2"/>
        <v>863600</v>
      </c>
      <c r="K21" s="179">
        <f t="shared" si="2"/>
        <v>863600</v>
      </c>
      <c r="L21" s="179">
        <f t="shared" si="2"/>
        <v>1500000</v>
      </c>
      <c r="M21" s="179">
        <f t="shared" si="2"/>
        <v>1500000</v>
      </c>
      <c r="N21" s="179">
        <f t="shared" si="2"/>
        <v>808000</v>
      </c>
      <c r="O21" s="179">
        <f t="shared" si="2"/>
        <v>6093472</v>
      </c>
      <c r="P21" s="179">
        <f t="shared" si="2"/>
        <v>1544574</v>
      </c>
      <c r="Q21" s="179">
        <f t="shared" si="2"/>
        <v>1489630</v>
      </c>
      <c r="R21" s="180">
        <f t="shared" si="0"/>
        <v>98532674</v>
      </c>
      <c r="S21" s="180">
        <f t="shared" si="0"/>
        <v>109379277</v>
      </c>
    </row>
    <row r="22" spans="1:19" ht="21.75" customHeight="1" x14ac:dyDescent="0.25">
      <c r="A22" s="26" t="s">
        <v>233</v>
      </c>
      <c r="B22" s="32" t="s">
        <v>227</v>
      </c>
      <c r="C22" s="27" t="s">
        <v>223</v>
      </c>
      <c r="D22" s="179">
        <f>SUM(D23:D26)</f>
        <v>0</v>
      </c>
      <c r="E22" s="179">
        <f t="shared" ref="E22:Q22" si="3">SUM(E23:E26)</f>
        <v>0</v>
      </c>
      <c r="F22" s="179">
        <f t="shared" si="3"/>
        <v>0</v>
      </c>
      <c r="G22" s="179">
        <f t="shared" si="3"/>
        <v>0</v>
      </c>
      <c r="H22" s="179">
        <f t="shared" si="3"/>
        <v>0</v>
      </c>
      <c r="I22" s="179">
        <f t="shared" si="3"/>
        <v>0</v>
      </c>
      <c r="J22" s="179">
        <f t="shared" si="3"/>
        <v>0</v>
      </c>
      <c r="K22" s="179">
        <f t="shared" si="3"/>
        <v>0</v>
      </c>
      <c r="L22" s="179">
        <f t="shared" si="3"/>
        <v>0</v>
      </c>
      <c r="M22" s="179">
        <f t="shared" si="3"/>
        <v>0</v>
      </c>
      <c r="N22" s="179">
        <f t="shared" si="3"/>
        <v>0</v>
      </c>
      <c r="O22" s="179">
        <f t="shared" si="3"/>
        <v>0</v>
      </c>
      <c r="P22" s="179">
        <f t="shared" si="3"/>
        <v>0</v>
      </c>
      <c r="Q22" s="179">
        <f t="shared" si="3"/>
        <v>0</v>
      </c>
      <c r="R22" s="179">
        <f t="shared" si="0"/>
        <v>0</v>
      </c>
      <c r="S22" s="179">
        <f t="shared" si="0"/>
        <v>0</v>
      </c>
    </row>
    <row r="23" spans="1:19" ht="21.75" customHeight="1" x14ac:dyDescent="0.25">
      <c r="A23" s="26" t="s">
        <v>234</v>
      </c>
      <c r="B23" s="94" t="s">
        <v>182</v>
      </c>
      <c r="C23" s="31"/>
      <c r="D23" s="179"/>
      <c r="E23" s="179"/>
      <c r="F23" s="179"/>
      <c r="G23" s="179"/>
      <c r="H23" s="179"/>
      <c r="I23" s="179"/>
      <c r="J23" s="179"/>
      <c r="K23" s="179"/>
      <c r="L23" s="179"/>
      <c r="M23" s="179"/>
      <c r="N23" s="179"/>
      <c r="O23" s="179"/>
      <c r="P23" s="179"/>
      <c r="Q23" s="179"/>
      <c r="R23" s="179">
        <f t="shared" si="0"/>
        <v>0</v>
      </c>
      <c r="S23" s="179">
        <f t="shared" si="0"/>
        <v>0</v>
      </c>
    </row>
    <row r="24" spans="1:19" ht="21.75" customHeight="1" x14ac:dyDescent="0.25">
      <c r="A24" s="26" t="s">
        <v>235</v>
      </c>
      <c r="B24" s="33" t="s">
        <v>569</v>
      </c>
      <c r="C24" s="31"/>
      <c r="D24" s="179"/>
      <c r="E24" s="179"/>
      <c r="F24" s="179"/>
      <c r="G24" s="179"/>
      <c r="H24" s="179"/>
      <c r="I24" s="179"/>
      <c r="J24" s="179"/>
      <c r="K24" s="179"/>
      <c r="L24" s="179"/>
      <c r="M24" s="179"/>
      <c r="N24" s="179"/>
      <c r="O24" s="179"/>
      <c r="P24" s="179"/>
      <c r="Q24" s="179"/>
      <c r="R24" s="179">
        <f t="shared" si="0"/>
        <v>0</v>
      </c>
      <c r="S24" s="179">
        <f t="shared" si="0"/>
        <v>0</v>
      </c>
    </row>
    <row r="25" spans="1:19" ht="21.75" customHeight="1" x14ac:dyDescent="0.25">
      <c r="A25" s="26" t="s">
        <v>236</v>
      </c>
      <c r="B25" s="33" t="s">
        <v>570</v>
      </c>
      <c r="C25" s="31"/>
      <c r="D25" s="179"/>
      <c r="E25" s="179"/>
      <c r="F25" s="179"/>
      <c r="G25" s="179"/>
      <c r="H25" s="179"/>
      <c r="I25" s="179"/>
      <c r="J25" s="179"/>
      <c r="K25" s="179"/>
      <c r="L25" s="179"/>
      <c r="M25" s="179"/>
      <c r="N25" s="179"/>
      <c r="O25" s="179"/>
      <c r="P25" s="179"/>
      <c r="Q25" s="179"/>
      <c r="R25" s="179">
        <f t="shared" si="0"/>
        <v>0</v>
      </c>
      <c r="S25" s="179">
        <f t="shared" si="0"/>
        <v>0</v>
      </c>
    </row>
    <row r="26" spans="1:19" ht="21.75" customHeight="1" x14ac:dyDescent="0.25">
      <c r="A26" s="26" t="s">
        <v>237</v>
      </c>
      <c r="B26" s="33" t="s">
        <v>126</v>
      </c>
      <c r="C26" s="31"/>
      <c r="D26" s="179"/>
      <c r="E26" s="179"/>
      <c r="F26" s="179"/>
      <c r="G26" s="179"/>
      <c r="H26" s="179"/>
      <c r="I26" s="179"/>
      <c r="J26" s="179"/>
      <c r="K26" s="179"/>
      <c r="L26" s="179"/>
      <c r="M26" s="179"/>
      <c r="N26" s="179"/>
      <c r="O26" s="179"/>
      <c r="P26" s="179"/>
      <c r="Q26" s="179"/>
      <c r="R26" s="179">
        <f t="shared" si="0"/>
        <v>0</v>
      </c>
      <c r="S26" s="179">
        <f t="shared" si="0"/>
        <v>0</v>
      </c>
    </row>
    <row r="27" spans="1:19" ht="21.75" customHeight="1" x14ac:dyDescent="0.25">
      <c r="A27" s="26" t="s">
        <v>238</v>
      </c>
      <c r="B27" s="236" t="s">
        <v>847</v>
      </c>
      <c r="C27" s="31"/>
      <c r="D27" s="179"/>
      <c r="E27" s="179"/>
      <c r="F27" s="179"/>
      <c r="G27" s="179"/>
      <c r="H27" s="179"/>
      <c r="I27" s="179"/>
      <c r="J27" s="179"/>
      <c r="K27" s="179"/>
      <c r="L27" s="179"/>
      <c r="M27" s="179"/>
      <c r="N27" s="179"/>
      <c r="O27" s="179"/>
      <c r="P27" s="179"/>
      <c r="Q27" s="179"/>
      <c r="R27" s="179">
        <f t="shared" si="0"/>
        <v>0</v>
      </c>
      <c r="S27" s="179">
        <f t="shared" si="0"/>
        <v>0</v>
      </c>
    </row>
    <row r="28" spans="1:19" s="35" customFormat="1" ht="21.75" customHeight="1" x14ac:dyDescent="0.25">
      <c r="A28" s="26" t="s">
        <v>239</v>
      </c>
      <c r="B28" s="34" t="s">
        <v>32</v>
      </c>
      <c r="C28" s="27"/>
      <c r="D28" s="180">
        <f>+D9+D10+D11+D12+D13+D23+D24</f>
        <v>0</v>
      </c>
      <c r="E28" s="180">
        <f t="shared" ref="E28:Q28" si="4">+E9+E10+E11+E12+E13+E23+E24</f>
        <v>3068287</v>
      </c>
      <c r="F28" s="180">
        <f t="shared" si="4"/>
        <v>89792500</v>
      </c>
      <c r="G28" s="180">
        <f t="shared" si="4"/>
        <v>92340288</v>
      </c>
      <c r="H28" s="180">
        <f t="shared" si="4"/>
        <v>2500000</v>
      </c>
      <c r="I28" s="180">
        <f t="shared" si="4"/>
        <v>2500000</v>
      </c>
      <c r="J28" s="180">
        <f t="shared" si="4"/>
        <v>736600</v>
      </c>
      <c r="K28" s="180">
        <f t="shared" si="4"/>
        <v>736600</v>
      </c>
      <c r="L28" s="180">
        <f t="shared" si="4"/>
        <v>1500000</v>
      </c>
      <c r="M28" s="180">
        <f t="shared" si="4"/>
        <v>1500000</v>
      </c>
      <c r="N28" s="180">
        <f t="shared" si="4"/>
        <v>608000</v>
      </c>
      <c r="O28" s="180">
        <f t="shared" si="4"/>
        <v>5893472</v>
      </c>
      <c r="P28" s="180">
        <f t="shared" si="4"/>
        <v>1544574</v>
      </c>
      <c r="Q28" s="180">
        <f t="shared" si="4"/>
        <v>1489630</v>
      </c>
      <c r="R28" s="180">
        <f t="shared" si="0"/>
        <v>96681674</v>
      </c>
      <c r="S28" s="180">
        <f t="shared" si="0"/>
        <v>107528277</v>
      </c>
    </row>
    <row r="29" spans="1:19" s="35" customFormat="1" ht="21.75" customHeight="1" x14ac:dyDescent="0.25">
      <c r="A29" s="26" t="s">
        <v>266</v>
      </c>
      <c r="B29" s="34" t="s">
        <v>33</v>
      </c>
      <c r="C29" s="27"/>
      <c r="D29" s="180">
        <f>+D17+D18+D19+D25+D26</f>
        <v>0</v>
      </c>
      <c r="E29" s="180">
        <f t="shared" ref="E29:Q29" si="5">+E17+E18+E19+E25+E26</f>
        <v>0</v>
      </c>
      <c r="F29" s="180">
        <f t="shared" si="5"/>
        <v>1524000</v>
      </c>
      <c r="G29" s="180">
        <f t="shared" si="5"/>
        <v>1524000</v>
      </c>
      <c r="H29" s="180">
        <f t="shared" si="5"/>
        <v>0</v>
      </c>
      <c r="I29" s="180">
        <f t="shared" si="5"/>
        <v>0</v>
      </c>
      <c r="J29" s="180">
        <f t="shared" si="5"/>
        <v>127000</v>
      </c>
      <c r="K29" s="180">
        <f t="shared" si="5"/>
        <v>127000</v>
      </c>
      <c r="L29" s="180">
        <f t="shared" si="5"/>
        <v>0</v>
      </c>
      <c r="M29" s="180">
        <f t="shared" si="5"/>
        <v>0</v>
      </c>
      <c r="N29" s="180">
        <f t="shared" si="5"/>
        <v>200000</v>
      </c>
      <c r="O29" s="180">
        <f t="shared" si="5"/>
        <v>200000</v>
      </c>
      <c r="P29" s="180">
        <f t="shared" si="5"/>
        <v>0</v>
      </c>
      <c r="Q29" s="180">
        <f t="shared" si="5"/>
        <v>0</v>
      </c>
      <c r="R29" s="180">
        <f t="shared" si="0"/>
        <v>1851000</v>
      </c>
      <c r="S29" s="180">
        <f t="shared" si="0"/>
        <v>1851000</v>
      </c>
    </row>
    <row r="30" spans="1:19" s="35" customFormat="1" ht="21.75" customHeight="1" x14ac:dyDescent="0.25">
      <c r="A30" s="26" t="s">
        <v>267</v>
      </c>
      <c r="B30" s="34" t="s">
        <v>333</v>
      </c>
      <c r="C30" s="27" t="s">
        <v>31</v>
      </c>
      <c r="D30" s="180">
        <f>SUM(D28:D29)</f>
        <v>0</v>
      </c>
      <c r="E30" s="180">
        <f t="shared" ref="E30:Q30" si="6">SUM(E28:E29)</f>
        <v>3068287</v>
      </c>
      <c r="F30" s="180">
        <f t="shared" si="6"/>
        <v>91316500</v>
      </c>
      <c r="G30" s="180">
        <f t="shared" si="6"/>
        <v>93864288</v>
      </c>
      <c r="H30" s="180">
        <f t="shared" si="6"/>
        <v>2500000</v>
      </c>
      <c r="I30" s="180">
        <f t="shared" si="6"/>
        <v>2500000</v>
      </c>
      <c r="J30" s="180">
        <f t="shared" si="6"/>
        <v>863600</v>
      </c>
      <c r="K30" s="180">
        <f t="shared" si="6"/>
        <v>863600</v>
      </c>
      <c r="L30" s="180">
        <f t="shared" si="6"/>
        <v>1500000</v>
      </c>
      <c r="M30" s="180">
        <f t="shared" si="6"/>
        <v>1500000</v>
      </c>
      <c r="N30" s="180">
        <f t="shared" si="6"/>
        <v>808000</v>
      </c>
      <c r="O30" s="180">
        <f t="shared" si="6"/>
        <v>6093472</v>
      </c>
      <c r="P30" s="180">
        <f t="shared" si="6"/>
        <v>1544574</v>
      </c>
      <c r="Q30" s="180">
        <f t="shared" si="6"/>
        <v>1489630</v>
      </c>
      <c r="R30" s="180">
        <f t="shared" si="0"/>
        <v>98532674</v>
      </c>
      <c r="S30" s="180">
        <f t="shared" si="0"/>
        <v>109379277</v>
      </c>
    </row>
    <row r="31" spans="1:19" ht="21.75" customHeight="1" x14ac:dyDescent="0.25">
      <c r="A31" s="26" t="s">
        <v>268</v>
      </c>
      <c r="B31" s="28" t="s">
        <v>52</v>
      </c>
      <c r="C31" s="32" t="s">
        <v>215</v>
      </c>
      <c r="D31" s="179"/>
      <c r="E31" s="179"/>
      <c r="F31" s="179"/>
      <c r="G31" s="179"/>
      <c r="H31" s="179"/>
      <c r="I31" s="179"/>
      <c r="J31" s="179"/>
      <c r="K31" s="179"/>
      <c r="L31" s="179"/>
      <c r="M31" s="179"/>
      <c r="N31" s="179"/>
      <c r="O31" s="179"/>
      <c r="P31" s="179"/>
      <c r="Q31" s="179"/>
      <c r="R31" s="179">
        <f t="shared" si="0"/>
        <v>0</v>
      </c>
      <c r="S31" s="179">
        <f t="shared" si="0"/>
        <v>0</v>
      </c>
    </row>
    <row r="32" spans="1:19" ht="21.75" customHeight="1" x14ac:dyDescent="0.25">
      <c r="A32" s="26" t="s">
        <v>269</v>
      </c>
      <c r="B32" s="28" t="s">
        <v>226</v>
      </c>
      <c r="C32" s="32" t="s">
        <v>216</v>
      </c>
      <c r="D32" s="179"/>
      <c r="E32" s="179"/>
      <c r="F32" s="179"/>
      <c r="G32" s="179"/>
      <c r="H32" s="179"/>
      <c r="I32" s="179"/>
      <c r="J32" s="179"/>
      <c r="K32" s="179"/>
      <c r="L32" s="179"/>
      <c r="M32" s="179"/>
      <c r="N32" s="179"/>
      <c r="O32" s="179"/>
      <c r="P32" s="179"/>
      <c r="Q32" s="179"/>
      <c r="R32" s="179">
        <f t="shared" si="0"/>
        <v>0</v>
      </c>
      <c r="S32" s="179">
        <f t="shared" si="0"/>
        <v>0</v>
      </c>
    </row>
    <row r="33" spans="1:19" ht="21.75" customHeight="1" x14ac:dyDescent="0.25">
      <c r="A33" s="26" t="s">
        <v>270</v>
      </c>
      <c r="B33" s="28" t="s">
        <v>225</v>
      </c>
      <c r="C33" s="32" t="s">
        <v>217</v>
      </c>
      <c r="D33" s="179"/>
      <c r="E33" s="179"/>
      <c r="F33" s="179"/>
      <c r="G33" s="179"/>
      <c r="H33" s="179"/>
      <c r="I33" s="179"/>
      <c r="J33" s="179"/>
      <c r="K33" s="179"/>
      <c r="L33" s="179"/>
      <c r="M33" s="179"/>
      <c r="N33" s="179"/>
      <c r="O33" s="179"/>
      <c r="P33" s="179"/>
      <c r="Q33" s="179"/>
      <c r="R33" s="179">
        <f t="shared" si="0"/>
        <v>0</v>
      </c>
      <c r="S33" s="179">
        <f t="shared" si="0"/>
        <v>0</v>
      </c>
    </row>
    <row r="34" spans="1:19" ht="21.75" customHeight="1" x14ac:dyDescent="0.25">
      <c r="A34" s="26" t="s">
        <v>271</v>
      </c>
      <c r="B34" s="29" t="s">
        <v>0</v>
      </c>
      <c r="C34" s="32" t="s">
        <v>218</v>
      </c>
      <c r="D34" s="179"/>
      <c r="E34" s="179"/>
      <c r="F34" s="179">
        <v>100</v>
      </c>
      <c r="G34" s="179">
        <f>100-97</f>
        <v>3</v>
      </c>
      <c r="H34" s="179"/>
      <c r="I34" s="179"/>
      <c r="J34" s="179"/>
      <c r="K34" s="179"/>
      <c r="L34" s="179"/>
      <c r="M34" s="179"/>
      <c r="N34" s="179"/>
      <c r="O34" s="179">
        <f>1+1+1098000+1187470</f>
        <v>2285472</v>
      </c>
      <c r="P34" s="179">
        <v>1300000</v>
      </c>
      <c r="Q34" s="179">
        <f>1300000+600000-754944</f>
        <v>1145056</v>
      </c>
      <c r="R34" s="179">
        <f t="shared" si="0"/>
        <v>1300100</v>
      </c>
      <c r="S34" s="179">
        <f t="shared" si="0"/>
        <v>3430531</v>
      </c>
    </row>
    <row r="35" spans="1:19" ht="21.75" customHeight="1" x14ac:dyDescent="0.25">
      <c r="A35" s="26" t="s">
        <v>272</v>
      </c>
      <c r="B35" s="28" t="s">
        <v>248</v>
      </c>
      <c r="C35" s="32" t="s">
        <v>219</v>
      </c>
      <c r="D35" s="179"/>
      <c r="E35" s="179"/>
      <c r="F35" s="179"/>
      <c r="G35" s="179"/>
      <c r="H35" s="179"/>
      <c r="I35" s="179"/>
      <c r="J35" s="179"/>
      <c r="K35" s="179"/>
      <c r="L35" s="179"/>
      <c r="M35" s="179"/>
      <c r="N35" s="179"/>
      <c r="O35" s="179"/>
      <c r="P35" s="179"/>
      <c r="Q35" s="179"/>
      <c r="R35" s="179">
        <f t="shared" si="0"/>
        <v>0</v>
      </c>
      <c r="S35" s="179">
        <f t="shared" si="0"/>
        <v>0</v>
      </c>
    </row>
    <row r="36" spans="1:19" ht="21.75" customHeight="1" x14ac:dyDescent="0.25">
      <c r="A36" s="26" t="s">
        <v>273</v>
      </c>
      <c r="B36" s="28" t="s">
        <v>243</v>
      </c>
      <c r="C36" s="32" t="s">
        <v>220</v>
      </c>
      <c r="D36" s="179"/>
      <c r="E36" s="179"/>
      <c r="F36" s="179"/>
      <c r="G36" s="179"/>
      <c r="H36" s="179"/>
      <c r="I36" s="179"/>
      <c r="J36" s="179"/>
      <c r="K36" s="179"/>
      <c r="L36" s="179"/>
      <c r="M36" s="179"/>
      <c r="N36" s="179"/>
      <c r="O36" s="179"/>
      <c r="P36" s="179"/>
      <c r="Q36" s="179"/>
      <c r="R36" s="179">
        <f t="shared" si="0"/>
        <v>0</v>
      </c>
      <c r="S36" s="179">
        <f t="shared" si="0"/>
        <v>0</v>
      </c>
    </row>
    <row r="37" spans="1:19" ht="21.75" customHeight="1" x14ac:dyDescent="0.25">
      <c r="A37" s="26" t="s">
        <v>274</v>
      </c>
      <c r="B37" s="28" t="s">
        <v>244</v>
      </c>
      <c r="C37" s="32" t="s">
        <v>221</v>
      </c>
      <c r="D37" s="179"/>
      <c r="E37" s="179"/>
      <c r="F37" s="179"/>
      <c r="G37" s="179"/>
      <c r="H37" s="179"/>
      <c r="I37" s="179"/>
      <c r="J37" s="179"/>
      <c r="K37" s="179"/>
      <c r="L37" s="179"/>
      <c r="M37" s="179"/>
      <c r="N37" s="179"/>
      <c r="O37" s="179"/>
      <c r="P37" s="179"/>
      <c r="Q37" s="179"/>
      <c r="R37" s="179">
        <f t="shared" si="0"/>
        <v>0</v>
      </c>
      <c r="S37" s="179">
        <f t="shared" si="0"/>
        <v>0</v>
      </c>
    </row>
    <row r="38" spans="1:19" ht="21.75" customHeight="1" x14ac:dyDescent="0.25">
      <c r="A38" s="26" t="s">
        <v>275</v>
      </c>
      <c r="B38" s="29" t="s">
        <v>245</v>
      </c>
      <c r="C38" s="32" t="s">
        <v>222</v>
      </c>
      <c r="D38" s="179">
        <f>+D31+D32+D33+D34+D35+D36+D37</f>
        <v>0</v>
      </c>
      <c r="E38" s="179">
        <f t="shared" ref="E38:Q38" si="7">+E31+E32+E33+E34+E35+E36+E37</f>
        <v>0</v>
      </c>
      <c r="F38" s="179">
        <f t="shared" si="7"/>
        <v>100</v>
      </c>
      <c r="G38" s="179">
        <f t="shared" si="7"/>
        <v>3</v>
      </c>
      <c r="H38" s="179">
        <f t="shared" si="7"/>
        <v>0</v>
      </c>
      <c r="I38" s="179">
        <f t="shared" si="7"/>
        <v>0</v>
      </c>
      <c r="J38" s="179">
        <f t="shared" si="7"/>
        <v>0</v>
      </c>
      <c r="K38" s="179">
        <f t="shared" si="7"/>
        <v>0</v>
      </c>
      <c r="L38" s="179">
        <f t="shared" si="7"/>
        <v>0</v>
      </c>
      <c r="M38" s="179">
        <f t="shared" si="7"/>
        <v>0</v>
      </c>
      <c r="N38" s="179">
        <f t="shared" si="7"/>
        <v>0</v>
      </c>
      <c r="O38" s="179">
        <f t="shared" si="7"/>
        <v>2285472</v>
      </c>
      <c r="P38" s="179">
        <f t="shared" si="7"/>
        <v>1300000</v>
      </c>
      <c r="Q38" s="179">
        <f t="shared" si="7"/>
        <v>1145056</v>
      </c>
      <c r="R38" s="180">
        <f t="shared" si="0"/>
        <v>1300100</v>
      </c>
      <c r="S38" s="180">
        <f t="shared" si="0"/>
        <v>3430531</v>
      </c>
    </row>
    <row r="39" spans="1:19" ht="21.75" customHeight="1" x14ac:dyDescent="0.25">
      <c r="A39" s="26" t="s">
        <v>276</v>
      </c>
      <c r="B39" s="32" t="s">
        <v>246</v>
      </c>
      <c r="C39" s="27" t="s">
        <v>224</v>
      </c>
      <c r="D39" s="179">
        <f>SUM(D41:D45)</f>
        <v>97232574</v>
      </c>
      <c r="E39" s="179">
        <f t="shared" ref="E39:Q39" si="8">SUM(E41:E45)</f>
        <v>105948746</v>
      </c>
      <c r="F39" s="179">
        <f t="shared" si="8"/>
        <v>0</v>
      </c>
      <c r="G39" s="179">
        <f t="shared" si="8"/>
        <v>0</v>
      </c>
      <c r="H39" s="179">
        <f t="shared" si="8"/>
        <v>0</v>
      </c>
      <c r="I39" s="179">
        <f t="shared" si="8"/>
        <v>0</v>
      </c>
      <c r="J39" s="179">
        <f t="shared" si="8"/>
        <v>0</v>
      </c>
      <c r="K39" s="179">
        <f t="shared" si="8"/>
        <v>0</v>
      </c>
      <c r="L39" s="179">
        <f t="shared" si="8"/>
        <v>0</v>
      </c>
      <c r="M39" s="179">
        <f t="shared" si="8"/>
        <v>0</v>
      </c>
      <c r="N39" s="179">
        <f t="shared" si="8"/>
        <v>0</v>
      </c>
      <c r="O39" s="179">
        <f t="shared" si="8"/>
        <v>0</v>
      </c>
      <c r="P39" s="179">
        <f t="shared" si="8"/>
        <v>0</v>
      </c>
      <c r="Q39" s="179">
        <f t="shared" si="8"/>
        <v>0</v>
      </c>
      <c r="R39" s="179">
        <f t="shared" si="0"/>
        <v>97232574</v>
      </c>
      <c r="S39" s="179">
        <f t="shared" si="0"/>
        <v>105948746</v>
      </c>
    </row>
    <row r="40" spans="1:19" ht="21.75" customHeight="1" x14ac:dyDescent="0.25">
      <c r="A40" s="26" t="s">
        <v>277</v>
      </c>
      <c r="B40" s="94" t="s">
        <v>582</v>
      </c>
      <c r="C40" s="27"/>
      <c r="D40" s="179"/>
      <c r="E40" s="179"/>
      <c r="F40" s="179"/>
      <c r="G40" s="179"/>
      <c r="H40" s="179"/>
      <c r="I40" s="179"/>
      <c r="J40" s="179"/>
      <c r="K40" s="179"/>
      <c r="L40" s="179"/>
      <c r="M40" s="179"/>
      <c r="N40" s="179"/>
      <c r="O40" s="179"/>
      <c r="P40" s="179"/>
      <c r="Q40" s="179"/>
      <c r="R40" s="179">
        <f t="shared" si="0"/>
        <v>0</v>
      </c>
      <c r="S40" s="179">
        <f t="shared" si="0"/>
        <v>0</v>
      </c>
    </row>
    <row r="41" spans="1:19" ht="21.75" customHeight="1" x14ac:dyDescent="0.25">
      <c r="A41" s="26" t="s">
        <v>278</v>
      </c>
      <c r="B41" s="33" t="s">
        <v>882</v>
      </c>
      <c r="C41" s="31"/>
      <c r="D41" s="179">
        <f>276860+92040</f>
        <v>368900</v>
      </c>
      <c r="E41" s="179">
        <f>276860+92040+3068287</f>
        <v>3437187</v>
      </c>
      <c r="F41" s="179"/>
      <c r="G41" s="179"/>
      <c r="H41" s="179"/>
      <c r="I41" s="179"/>
      <c r="J41" s="179"/>
      <c r="K41" s="179"/>
      <c r="L41" s="179"/>
      <c r="M41" s="179"/>
      <c r="N41" s="179"/>
      <c r="O41" s="179"/>
      <c r="P41" s="179"/>
      <c r="Q41" s="179"/>
      <c r="R41" s="179">
        <f t="shared" si="0"/>
        <v>368900</v>
      </c>
      <c r="S41" s="179">
        <f t="shared" si="0"/>
        <v>3437187</v>
      </c>
    </row>
    <row r="42" spans="1:19" ht="21.75" customHeight="1" x14ac:dyDescent="0.25">
      <c r="A42" s="26" t="s">
        <v>282</v>
      </c>
      <c r="B42" s="33" t="s">
        <v>883</v>
      </c>
      <c r="C42" s="31"/>
      <c r="D42" s="179"/>
      <c r="E42" s="179"/>
      <c r="F42" s="179"/>
      <c r="G42" s="179"/>
      <c r="H42" s="179"/>
      <c r="I42" s="179"/>
      <c r="J42" s="179"/>
      <c r="K42" s="179"/>
      <c r="L42" s="179"/>
      <c r="M42" s="179"/>
      <c r="N42" s="179"/>
      <c r="O42" s="179"/>
      <c r="P42" s="179"/>
      <c r="Q42" s="179"/>
      <c r="R42" s="179">
        <f t="shared" si="0"/>
        <v>0</v>
      </c>
      <c r="S42" s="179">
        <f t="shared" si="0"/>
        <v>0</v>
      </c>
    </row>
    <row r="43" spans="1:19" ht="21.75" customHeight="1" x14ac:dyDescent="0.25">
      <c r="A43" s="26" t="s">
        <v>283</v>
      </c>
      <c r="B43" s="33" t="s">
        <v>554</v>
      </c>
      <c r="C43" s="31"/>
      <c r="D43" s="179">
        <f>+R28-R31-R33-R34-R36-R41</f>
        <v>95012674</v>
      </c>
      <c r="E43" s="179">
        <f>+S28-S31-S33-S34-S36-S41</f>
        <v>100660559</v>
      </c>
      <c r="F43" s="179"/>
      <c r="G43" s="179"/>
      <c r="H43" s="179"/>
      <c r="I43" s="179"/>
      <c r="J43" s="179"/>
      <c r="K43" s="179"/>
      <c r="L43" s="179"/>
      <c r="M43" s="179"/>
      <c r="N43" s="179"/>
      <c r="O43" s="179"/>
      <c r="P43" s="179"/>
      <c r="Q43" s="179"/>
      <c r="R43" s="179">
        <f t="shared" si="0"/>
        <v>95012674</v>
      </c>
      <c r="S43" s="179">
        <f t="shared" si="0"/>
        <v>100660559</v>
      </c>
    </row>
    <row r="44" spans="1:19" ht="21.75" customHeight="1" x14ac:dyDescent="0.25">
      <c r="A44" s="26" t="s">
        <v>284</v>
      </c>
      <c r="B44" s="33" t="s">
        <v>555</v>
      </c>
      <c r="C44" s="31"/>
      <c r="D44" s="179">
        <f>+R29-R32-R35-R37-R42</f>
        <v>1851000</v>
      </c>
      <c r="E44" s="179">
        <f>+S29-S32-S35-S37-S42</f>
        <v>1851000</v>
      </c>
      <c r="F44" s="179"/>
      <c r="G44" s="179"/>
      <c r="H44" s="179"/>
      <c r="I44" s="179"/>
      <c r="J44" s="179"/>
      <c r="K44" s="179"/>
      <c r="L44" s="179"/>
      <c r="M44" s="179"/>
      <c r="N44" s="179"/>
      <c r="O44" s="179"/>
      <c r="P44" s="179"/>
      <c r="Q44" s="179"/>
      <c r="R44" s="179">
        <f t="shared" si="0"/>
        <v>1851000</v>
      </c>
      <c r="S44" s="179">
        <f t="shared" si="0"/>
        <v>1851000</v>
      </c>
    </row>
    <row r="45" spans="1:19" ht="21.75" customHeight="1" x14ac:dyDescent="0.25">
      <c r="A45" s="26" t="s">
        <v>285</v>
      </c>
      <c r="B45" s="33" t="s">
        <v>592</v>
      </c>
      <c r="C45" s="31"/>
      <c r="D45" s="179"/>
      <c r="E45" s="179"/>
      <c r="F45" s="179"/>
      <c r="G45" s="179"/>
      <c r="H45" s="179"/>
      <c r="I45" s="179"/>
      <c r="J45" s="179"/>
      <c r="K45" s="179"/>
      <c r="L45" s="179"/>
      <c r="M45" s="179"/>
      <c r="N45" s="179"/>
      <c r="O45" s="179"/>
      <c r="P45" s="179"/>
      <c r="Q45" s="179"/>
      <c r="R45" s="179">
        <f t="shared" si="0"/>
        <v>0</v>
      </c>
      <c r="S45" s="179">
        <f t="shared" si="0"/>
        <v>0</v>
      </c>
    </row>
    <row r="46" spans="1:19" ht="21.75" customHeight="1" x14ac:dyDescent="0.25">
      <c r="A46" s="26" t="s">
        <v>286</v>
      </c>
      <c r="B46" s="236" t="s">
        <v>846</v>
      </c>
      <c r="C46" s="31"/>
      <c r="D46" s="179"/>
      <c r="E46" s="179"/>
      <c r="F46" s="179"/>
      <c r="G46" s="179"/>
      <c r="H46" s="179"/>
      <c r="I46" s="179"/>
      <c r="J46" s="179"/>
      <c r="K46" s="179"/>
      <c r="L46" s="179"/>
      <c r="M46" s="179"/>
      <c r="N46" s="179"/>
      <c r="O46" s="179"/>
      <c r="P46" s="179"/>
      <c r="Q46" s="179"/>
      <c r="R46" s="179">
        <f t="shared" si="0"/>
        <v>0</v>
      </c>
      <c r="S46" s="179">
        <f t="shared" si="0"/>
        <v>0</v>
      </c>
    </row>
    <row r="47" spans="1:19" ht="21.75" customHeight="1" x14ac:dyDescent="0.25">
      <c r="A47" s="26" t="s">
        <v>287</v>
      </c>
      <c r="B47" s="34" t="s">
        <v>112</v>
      </c>
      <c r="C47" s="27"/>
      <c r="D47" s="180">
        <f>+D31+D33+D34+D36+D41+D43</f>
        <v>95381574</v>
      </c>
      <c r="E47" s="180">
        <f t="shared" ref="E47:Q47" si="9">+E31+E33+E34+E36+E41+E43</f>
        <v>104097746</v>
      </c>
      <c r="F47" s="180">
        <f t="shared" si="9"/>
        <v>100</v>
      </c>
      <c r="G47" s="180">
        <f t="shared" si="9"/>
        <v>3</v>
      </c>
      <c r="H47" s="180">
        <f t="shared" si="9"/>
        <v>0</v>
      </c>
      <c r="I47" s="180">
        <f t="shared" si="9"/>
        <v>0</v>
      </c>
      <c r="J47" s="180">
        <f t="shared" si="9"/>
        <v>0</v>
      </c>
      <c r="K47" s="180">
        <f t="shared" si="9"/>
        <v>0</v>
      </c>
      <c r="L47" s="180">
        <f t="shared" si="9"/>
        <v>0</v>
      </c>
      <c r="M47" s="180">
        <f t="shared" si="9"/>
        <v>0</v>
      </c>
      <c r="N47" s="180">
        <f t="shared" si="9"/>
        <v>0</v>
      </c>
      <c r="O47" s="180">
        <f t="shared" si="9"/>
        <v>2285472</v>
      </c>
      <c r="P47" s="180">
        <f t="shared" si="9"/>
        <v>1300000</v>
      </c>
      <c r="Q47" s="180">
        <f t="shared" si="9"/>
        <v>1145056</v>
      </c>
      <c r="R47" s="180">
        <f t="shared" si="0"/>
        <v>96681674</v>
      </c>
      <c r="S47" s="180">
        <f t="shared" si="0"/>
        <v>107528277</v>
      </c>
    </row>
    <row r="48" spans="1:19" ht="21.75" customHeight="1" x14ac:dyDescent="0.25">
      <c r="A48" s="26" t="s">
        <v>288</v>
      </c>
      <c r="B48" s="34" t="s">
        <v>113</v>
      </c>
      <c r="C48" s="27"/>
      <c r="D48" s="180">
        <f>+D32+D35+D37+D42+D429+D45+D44</f>
        <v>1851000</v>
      </c>
      <c r="E48" s="180">
        <f t="shared" ref="E48:Q48" si="10">+E32+E35+E37+E42+E429+E45+E44</f>
        <v>1851000</v>
      </c>
      <c r="F48" s="180">
        <f t="shared" si="10"/>
        <v>0</v>
      </c>
      <c r="G48" s="180">
        <f t="shared" si="10"/>
        <v>0</v>
      </c>
      <c r="H48" s="180">
        <f t="shared" si="10"/>
        <v>0</v>
      </c>
      <c r="I48" s="180">
        <f t="shared" si="10"/>
        <v>0</v>
      </c>
      <c r="J48" s="180">
        <f t="shared" si="10"/>
        <v>0</v>
      </c>
      <c r="K48" s="180">
        <f t="shared" si="10"/>
        <v>0</v>
      </c>
      <c r="L48" s="180">
        <f t="shared" si="10"/>
        <v>0</v>
      </c>
      <c r="M48" s="180">
        <f t="shared" si="10"/>
        <v>0</v>
      </c>
      <c r="N48" s="180">
        <f t="shared" si="10"/>
        <v>0</v>
      </c>
      <c r="O48" s="180">
        <f t="shared" si="10"/>
        <v>0</v>
      </c>
      <c r="P48" s="180">
        <f t="shared" si="10"/>
        <v>0</v>
      </c>
      <c r="Q48" s="180">
        <f t="shared" si="10"/>
        <v>0</v>
      </c>
      <c r="R48" s="180">
        <f t="shared" si="0"/>
        <v>1851000</v>
      </c>
      <c r="S48" s="180">
        <f t="shared" si="0"/>
        <v>1851000</v>
      </c>
    </row>
    <row r="49" spans="1:20" ht="21.75" customHeight="1" x14ac:dyDescent="0.25">
      <c r="A49" s="26" t="s">
        <v>289</v>
      </c>
      <c r="B49" s="34" t="s">
        <v>334</v>
      </c>
      <c r="C49" s="27"/>
      <c r="D49" s="180">
        <f>+D47+D48</f>
        <v>97232574</v>
      </c>
      <c r="E49" s="180">
        <f t="shared" ref="E49:Q49" si="11">+E47+E48</f>
        <v>105948746</v>
      </c>
      <c r="F49" s="180">
        <f t="shared" si="11"/>
        <v>100</v>
      </c>
      <c r="G49" s="180">
        <f t="shared" si="11"/>
        <v>3</v>
      </c>
      <c r="H49" s="180">
        <f t="shared" si="11"/>
        <v>0</v>
      </c>
      <c r="I49" s="180">
        <f t="shared" si="11"/>
        <v>0</v>
      </c>
      <c r="J49" s="180">
        <f t="shared" si="11"/>
        <v>0</v>
      </c>
      <c r="K49" s="180">
        <f t="shared" si="11"/>
        <v>0</v>
      </c>
      <c r="L49" s="180">
        <f t="shared" si="11"/>
        <v>0</v>
      </c>
      <c r="M49" s="180">
        <f t="shared" si="11"/>
        <v>0</v>
      </c>
      <c r="N49" s="180">
        <f t="shared" si="11"/>
        <v>0</v>
      </c>
      <c r="O49" s="180">
        <f t="shared" si="11"/>
        <v>2285472</v>
      </c>
      <c r="P49" s="180">
        <f t="shared" si="11"/>
        <v>1300000</v>
      </c>
      <c r="Q49" s="180">
        <f t="shared" si="11"/>
        <v>1145056</v>
      </c>
      <c r="R49" s="180">
        <f t="shared" si="0"/>
        <v>98532674</v>
      </c>
      <c r="S49" s="180">
        <f t="shared" si="0"/>
        <v>109379277</v>
      </c>
    </row>
    <row r="50" spans="1:20" ht="21.75" customHeight="1" x14ac:dyDescent="0.25">
      <c r="A50" s="26" t="s">
        <v>290</v>
      </c>
      <c r="B50" s="380" t="s">
        <v>450</v>
      </c>
      <c r="C50" s="184"/>
      <c r="D50" s="179"/>
      <c r="E50" s="179"/>
      <c r="F50" s="179">
        <v>10</v>
      </c>
      <c r="G50" s="179">
        <v>10</v>
      </c>
      <c r="H50" s="179"/>
      <c r="I50" s="179"/>
      <c r="J50" s="179"/>
      <c r="K50" s="179"/>
      <c r="L50" s="179"/>
      <c r="M50" s="179"/>
      <c r="N50" s="179"/>
      <c r="O50" s="179"/>
      <c r="P50" s="179"/>
      <c r="Q50" s="179"/>
      <c r="R50" s="179">
        <f t="shared" si="0"/>
        <v>10</v>
      </c>
      <c r="S50" s="179">
        <f t="shared" si="0"/>
        <v>10</v>
      </c>
      <c r="T50" s="84">
        <f>R49-R30</f>
        <v>0</v>
      </c>
    </row>
    <row r="51" spans="1:20" ht="21.75" customHeight="1" x14ac:dyDescent="0.25">
      <c r="A51" s="26" t="s">
        <v>291</v>
      </c>
      <c r="B51" s="48" t="s">
        <v>1357</v>
      </c>
      <c r="C51" s="184"/>
      <c r="D51" s="212"/>
      <c r="E51" s="212"/>
      <c r="F51" s="212"/>
      <c r="G51" s="212"/>
      <c r="H51" s="212"/>
      <c r="I51" s="212"/>
      <c r="J51" s="212"/>
      <c r="K51" s="212"/>
      <c r="L51" s="212"/>
      <c r="M51" s="212"/>
      <c r="N51" s="212"/>
      <c r="O51" s="212"/>
      <c r="P51" s="212"/>
      <c r="Q51" s="212"/>
      <c r="R51" s="179">
        <f t="shared" si="0"/>
        <v>0</v>
      </c>
      <c r="S51" s="179">
        <f t="shared" si="0"/>
        <v>0</v>
      </c>
      <c r="T51" s="84"/>
    </row>
  </sheetData>
  <mergeCells count="25">
    <mergeCell ref="A3:C3"/>
    <mergeCell ref="N6:N7"/>
    <mergeCell ref="H6:H7"/>
    <mergeCell ref="J6:J7"/>
    <mergeCell ref="R4:R7"/>
    <mergeCell ref="B6:C6"/>
    <mergeCell ref="L6:L7"/>
    <mergeCell ref="P6:P7"/>
    <mergeCell ref="A4:A7"/>
    <mergeCell ref="B4:C4"/>
    <mergeCell ref="D6:D7"/>
    <mergeCell ref="F6:F7"/>
    <mergeCell ref="B5:C5"/>
    <mergeCell ref="E6:E7"/>
    <mergeCell ref="Q6:Q7"/>
    <mergeCell ref="S4:S7"/>
    <mergeCell ref="D2:G2"/>
    <mergeCell ref="H2:K2"/>
    <mergeCell ref="L2:O2"/>
    <mergeCell ref="P2:S2"/>
    <mergeCell ref="G6:G7"/>
    <mergeCell ref="I6:I7"/>
    <mergeCell ref="K6:K7"/>
    <mergeCell ref="M6:M7"/>
    <mergeCell ref="O6:O7"/>
  </mergeCells>
  <phoneticPr fontId="45" type="noConversion"/>
  <printOptions horizontalCentered="1" verticalCentered="1"/>
  <pageMargins left="0.35433070866141736" right="0.35433070866141736" top="0.39370078740157483" bottom="0.39370078740157483" header="0.51181102362204722" footer="0.51181102362204722"/>
  <pageSetup paperSize="9" scale="55" orientation="portrait" horizontalDpi="200" verticalDpi="200" r:id="rId1"/>
  <headerFooter alignWithMargins="0">
    <oddHeader>&amp;C2022. évi költségvetés&amp;R&amp;A</oddHeader>
    <oddFooter>&amp;C&amp;P/&amp;N</oddFooter>
  </headerFooter>
  <colBreaks count="3" manualBreakCount="3">
    <brk id="7" max="50" man="1"/>
    <brk id="11" max="50" man="1"/>
    <brk id="15"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1"/>
  <sheetViews>
    <sheetView view="pageBreakPreview" zoomScale="80" zoomScaleNormal="80" zoomScaleSheetLayoutView="80" workbookViewId="0">
      <pane xSplit="3" ySplit="8" topLeftCell="AK9" activePane="bottomRight" state="frozen"/>
      <selection pane="topRight" activeCell="D1" sqref="D1"/>
      <selection pane="bottomLeft" activeCell="A8" sqref="A8"/>
      <selection pane="bottomRight" activeCell="AM11" sqref="AM11"/>
    </sheetView>
  </sheetViews>
  <sheetFormatPr defaultColWidth="9.140625" defaultRowHeight="12.75" x14ac:dyDescent="0.2"/>
  <cols>
    <col min="1" max="1" width="5.85546875" style="21" customWidth="1"/>
    <col min="2" max="2" width="64.85546875" style="21" customWidth="1"/>
    <col min="3" max="3" width="8" style="21" customWidth="1"/>
    <col min="4" max="5" width="18.140625" style="22" customWidth="1"/>
    <col min="6" max="6" width="18.28515625" style="22" customWidth="1"/>
    <col min="7" max="7" width="16.28515625" style="22" customWidth="1"/>
    <col min="8" max="8" width="18.42578125" style="22" customWidth="1"/>
    <col min="9" max="9" width="17.28515625" style="22" customWidth="1"/>
    <col min="10" max="10" width="18.42578125" style="22" customWidth="1"/>
    <col min="11" max="11" width="17.28515625" style="22" customWidth="1"/>
    <col min="12" max="13" width="18.7109375" style="22" customWidth="1"/>
    <col min="14" max="14" width="19.28515625" style="22" customWidth="1"/>
    <col min="15" max="15" width="17" style="22" customWidth="1"/>
    <col min="16" max="16" width="19.140625" style="22" customWidth="1"/>
    <col min="17" max="17" width="16.28515625" style="22" customWidth="1"/>
    <col min="18" max="18" width="18.42578125" style="22" customWidth="1"/>
    <col min="19" max="19" width="17.28515625" style="22" customWidth="1"/>
    <col min="20" max="20" width="19" style="22" customWidth="1"/>
    <col min="21" max="21" width="16.85546875" style="22" customWidth="1"/>
    <col min="22" max="22" width="19" style="22" customWidth="1"/>
    <col min="23" max="23" width="17.140625" style="22" customWidth="1"/>
    <col min="24" max="25" width="19.5703125" style="22" customWidth="1"/>
    <col min="26" max="26" width="18.42578125" style="22" customWidth="1"/>
    <col min="27" max="27" width="17.7109375" style="22" customWidth="1"/>
    <col min="28" max="28" width="19.42578125" style="22" customWidth="1"/>
    <col min="29" max="29" width="17.85546875" style="22" customWidth="1"/>
    <col min="30" max="30" width="19.140625" style="22" customWidth="1"/>
    <col min="31" max="31" width="18" style="22" customWidth="1"/>
    <col min="32" max="36" width="18.5703125" style="22" customWidth="1"/>
    <col min="37" max="37" width="17.42578125" style="22" customWidth="1"/>
    <col min="38" max="39" width="19" style="22" customWidth="1"/>
    <col min="40" max="40" width="18.85546875" style="22" customWidth="1"/>
    <col min="41" max="41" width="17.42578125" style="22" customWidth="1"/>
    <col min="42" max="42" width="19.42578125" style="22" customWidth="1"/>
    <col min="43" max="43" width="18.7109375" style="21" customWidth="1"/>
    <col min="44" max="44" width="13" style="21" bestFit="1" customWidth="1"/>
    <col min="45" max="16384" width="9.140625" style="21"/>
  </cols>
  <sheetData>
    <row r="1" spans="1:44" ht="15.75" x14ac:dyDescent="0.25">
      <c r="G1" s="177" t="s">
        <v>444</v>
      </c>
      <c r="K1" s="177" t="s">
        <v>444</v>
      </c>
      <c r="O1" s="177" t="s">
        <v>444</v>
      </c>
      <c r="S1" s="177" t="s">
        <v>444</v>
      </c>
      <c r="W1" s="177" t="s">
        <v>444</v>
      </c>
      <c r="AA1" s="177" t="s">
        <v>444</v>
      </c>
      <c r="AE1" s="177" t="s">
        <v>444</v>
      </c>
      <c r="AI1" s="177" t="s">
        <v>444</v>
      </c>
      <c r="AM1" s="177" t="s">
        <v>444</v>
      </c>
      <c r="AQ1" s="177" t="s">
        <v>444</v>
      </c>
    </row>
    <row r="2" spans="1:44" ht="30" customHeight="1" x14ac:dyDescent="0.25">
      <c r="A2" s="736"/>
      <c r="B2" s="741"/>
      <c r="C2" s="737"/>
      <c r="D2" s="1657" t="s">
        <v>1620</v>
      </c>
      <c r="E2" s="1657"/>
      <c r="F2" s="1657"/>
      <c r="G2" s="1657"/>
      <c r="H2" s="1657" t="s">
        <v>1620</v>
      </c>
      <c r="I2" s="1657"/>
      <c r="J2" s="1657"/>
      <c r="K2" s="1657"/>
      <c r="L2" s="1657" t="s">
        <v>1620</v>
      </c>
      <c r="M2" s="1657"/>
      <c r="N2" s="1657"/>
      <c r="O2" s="1657"/>
      <c r="P2" s="1657" t="s">
        <v>1620</v>
      </c>
      <c r="Q2" s="1657"/>
      <c r="R2" s="1657"/>
      <c r="S2" s="1657"/>
      <c r="T2" s="1657" t="s">
        <v>1620</v>
      </c>
      <c r="U2" s="1657"/>
      <c r="V2" s="1657"/>
      <c r="W2" s="1657"/>
      <c r="X2" s="1657" t="s">
        <v>1620</v>
      </c>
      <c r="Y2" s="1657"/>
      <c r="Z2" s="1657"/>
      <c r="AA2" s="1657"/>
      <c r="AB2" s="1657" t="s">
        <v>1620</v>
      </c>
      <c r="AC2" s="1657"/>
      <c r="AD2" s="1657"/>
      <c r="AE2" s="1657"/>
      <c r="AF2" s="1657" t="s">
        <v>1620</v>
      </c>
      <c r="AG2" s="1657"/>
      <c r="AH2" s="1657"/>
      <c r="AI2" s="1657"/>
      <c r="AJ2" s="1657" t="s">
        <v>1620</v>
      </c>
      <c r="AK2" s="1657"/>
      <c r="AL2" s="1657"/>
      <c r="AM2" s="1657"/>
      <c r="AN2" s="1657" t="s">
        <v>1620</v>
      </c>
      <c r="AO2" s="1657"/>
      <c r="AP2" s="1657"/>
      <c r="AQ2" s="1657"/>
    </row>
    <row r="3" spans="1:44" ht="36.75" customHeight="1" x14ac:dyDescent="0.2">
      <c r="A3" s="1658" t="s">
        <v>136</v>
      </c>
      <c r="B3" s="1659"/>
      <c r="C3" s="166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c r="T3" s="1554" t="s">
        <v>279</v>
      </c>
      <c r="U3" s="1554" t="s">
        <v>1512</v>
      </c>
      <c r="V3" s="1554" t="s">
        <v>279</v>
      </c>
      <c r="W3" s="1554" t="s">
        <v>1512</v>
      </c>
      <c r="X3" s="1554" t="s">
        <v>279</v>
      </c>
      <c r="Y3" s="1554" t="s">
        <v>1512</v>
      </c>
      <c r="Z3" s="1554" t="s">
        <v>279</v>
      </c>
      <c r="AA3" s="1554" t="s">
        <v>1512</v>
      </c>
      <c r="AB3" s="1554" t="s">
        <v>279</v>
      </c>
      <c r="AC3" s="1554" t="s">
        <v>1512</v>
      </c>
      <c r="AD3" s="1554" t="s">
        <v>279</v>
      </c>
      <c r="AE3" s="1554" t="s">
        <v>1512</v>
      </c>
      <c r="AF3" s="1554" t="s">
        <v>279</v>
      </c>
      <c r="AG3" s="1554" t="s">
        <v>1512</v>
      </c>
      <c r="AH3" s="1554" t="s">
        <v>279</v>
      </c>
      <c r="AI3" s="1554" t="s">
        <v>1512</v>
      </c>
      <c r="AJ3" s="1554" t="s">
        <v>279</v>
      </c>
      <c r="AK3" s="1554" t="s">
        <v>1512</v>
      </c>
      <c r="AL3" s="1554" t="s">
        <v>279</v>
      </c>
      <c r="AM3" s="1554" t="s">
        <v>1512</v>
      </c>
      <c r="AN3" s="1554" t="s">
        <v>279</v>
      </c>
      <c r="AO3" s="1554" t="s">
        <v>1512</v>
      </c>
      <c r="AP3" s="1554" t="s">
        <v>279</v>
      </c>
      <c r="AQ3" s="1554" t="s">
        <v>1512</v>
      </c>
    </row>
    <row r="4" spans="1:44" ht="103.5" customHeight="1" x14ac:dyDescent="0.2">
      <c r="A4" s="1666" t="s">
        <v>192</v>
      </c>
      <c r="B4" s="1667" t="s">
        <v>250</v>
      </c>
      <c r="C4" s="1667"/>
      <c r="D4" s="1552" t="s">
        <v>446</v>
      </c>
      <c r="E4" s="1552" t="s">
        <v>446</v>
      </c>
      <c r="F4" s="185" t="s">
        <v>447</v>
      </c>
      <c r="G4" s="185" t="s">
        <v>447</v>
      </c>
      <c r="H4" s="1552" t="s">
        <v>905</v>
      </c>
      <c r="I4" s="1552" t="s">
        <v>905</v>
      </c>
      <c r="J4" s="1552" t="s">
        <v>345</v>
      </c>
      <c r="K4" s="1552" t="s">
        <v>345</v>
      </c>
      <c r="L4" s="1552" t="s">
        <v>146</v>
      </c>
      <c r="M4" s="1552" t="s">
        <v>146</v>
      </c>
      <c r="N4" s="1552" t="s">
        <v>353</v>
      </c>
      <c r="O4" s="1552" t="s">
        <v>353</v>
      </c>
      <c r="P4" s="1552" t="s">
        <v>147</v>
      </c>
      <c r="Q4" s="1552" t="s">
        <v>147</v>
      </c>
      <c r="R4" s="1552" t="s">
        <v>496</v>
      </c>
      <c r="S4" s="1552" t="s">
        <v>496</v>
      </c>
      <c r="T4" s="1552" t="s">
        <v>148</v>
      </c>
      <c r="U4" s="1552" t="s">
        <v>148</v>
      </c>
      <c r="V4" s="178" t="s">
        <v>139</v>
      </c>
      <c r="W4" s="178" t="s">
        <v>139</v>
      </c>
      <c r="X4" s="1553" t="s">
        <v>140</v>
      </c>
      <c r="Y4" s="1553" t="s">
        <v>140</v>
      </c>
      <c r="Z4" s="1553" t="s">
        <v>141</v>
      </c>
      <c r="AA4" s="1553" t="s">
        <v>141</v>
      </c>
      <c r="AB4" s="1553" t="s">
        <v>179</v>
      </c>
      <c r="AC4" s="1553" t="s">
        <v>179</v>
      </c>
      <c r="AD4" s="1553" t="s">
        <v>179</v>
      </c>
      <c r="AE4" s="1553" t="s">
        <v>179</v>
      </c>
      <c r="AF4" s="1553" t="s">
        <v>179</v>
      </c>
      <c r="AG4" s="1553" t="s">
        <v>179</v>
      </c>
      <c r="AH4" s="1553" t="s">
        <v>438</v>
      </c>
      <c r="AI4" s="1553" t="s">
        <v>438</v>
      </c>
      <c r="AJ4" s="1553" t="s">
        <v>184</v>
      </c>
      <c r="AK4" s="1553" t="s">
        <v>184</v>
      </c>
      <c r="AL4" s="1553" t="s">
        <v>906</v>
      </c>
      <c r="AM4" s="1553" t="s">
        <v>906</v>
      </c>
      <c r="AN4" s="185" t="s">
        <v>447</v>
      </c>
      <c r="AO4" s="185" t="s">
        <v>447</v>
      </c>
      <c r="AP4" s="1657" t="s">
        <v>138</v>
      </c>
      <c r="AQ4" s="1657" t="s">
        <v>138</v>
      </c>
    </row>
    <row r="5" spans="1:44" ht="25.5" customHeight="1" x14ac:dyDescent="0.2">
      <c r="A5" s="1666"/>
      <c r="B5" s="1667" t="s">
        <v>11</v>
      </c>
      <c r="C5" s="1667"/>
      <c r="D5" s="1552" t="s">
        <v>228</v>
      </c>
      <c r="E5" s="1552" t="s">
        <v>228</v>
      </c>
      <c r="F5" s="1552" t="s">
        <v>228</v>
      </c>
      <c r="G5" s="1552" t="s">
        <v>228</v>
      </c>
      <c r="H5" s="1552" t="s">
        <v>228</v>
      </c>
      <c r="I5" s="1552" t="s">
        <v>228</v>
      </c>
      <c r="J5" s="1552" t="s">
        <v>229</v>
      </c>
      <c r="K5" s="1552" t="s">
        <v>229</v>
      </c>
      <c r="L5" s="1552" t="s">
        <v>229</v>
      </c>
      <c r="M5" s="1552" t="s">
        <v>229</v>
      </c>
      <c r="N5" s="1552" t="s">
        <v>228</v>
      </c>
      <c r="O5" s="1552" t="s">
        <v>228</v>
      </c>
      <c r="P5" s="1552" t="s">
        <v>228</v>
      </c>
      <c r="Q5" s="1552" t="s">
        <v>228</v>
      </c>
      <c r="R5" s="1552" t="s">
        <v>229</v>
      </c>
      <c r="S5" s="1552" t="s">
        <v>229</v>
      </c>
      <c r="T5" s="1552" t="s">
        <v>229</v>
      </c>
      <c r="U5" s="1552" t="s">
        <v>229</v>
      </c>
      <c r="V5" s="1552" t="s">
        <v>229</v>
      </c>
      <c r="W5" s="1552" t="s">
        <v>229</v>
      </c>
      <c r="X5" s="1552" t="s">
        <v>228</v>
      </c>
      <c r="Y5" s="1552" t="s">
        <v>228</v>
      </c>
      <c r="Z5" s="1552" t="s">
        <v>228</v>
      </c>
      <c r="AA5" s="1552" t="s">
        <v>228</v>
      </c>
      <c r="AB5" s="1552" t="s">
        <v>228</v>
      </c>
      <c r="AC5" s="1552" t="s">
        <v>228</v>
      </c>
      <c r="AD5" s="1552" t="s">
        <v>228</v>
      </c>
      <c r="AE5" s="1552" t="s">
        <v>228</v>
      </c>
      <c r="AF5" s="1552" t="s">
        <v>228</v>
      </c>
      <c r="AG5" s="1552" t="s">
        <v>228</v>
      </c>
      <c r="AH5" s="1552" t="s">
        <v>228</v>
      </c>
      <c r="AI5" s="1552" t="s">
        <v>228</v>
      </c>
      <c r="AJ5" s="1552" t="s">
        <v>228</v>
      </c>
      <c r="AK5" s="1552" t="s">
        <v>228</v>
      </c>
      <c r="AL5" s="1552" t="s">
        <v>228</v>
      </c>
      <c r="AM5" s="1552" t="s">
        <v>228</v>
      </c>
      <c r="AN5" s="1552" t="s">
        <v>228</v>
      </c>
      <c r="AO5" s="1552" t="s">
        <v>228</v>
      </c>
      <c r="AP5" s="1657"/>
      <c r="AQ5" s="1657"/>
    </row>
    <row r="6" spans="1:44" ht="15.75" customHeight="1" x14ac:dyDescent="0.2">
      <c r="A6" s="1666"/>
      <c r="B6" s="1634" t="s">
        <v>741</v>
      </c>
      <c r="C6" s="1634"/>
      <c r="D6" s="1657" t="s">
        <v>352</v>
      </c>
      <c r="E6" s="1657" t="s">
        <v>1604</v>
      </c>
      <c r="F6" s="1657" t="s">
        <v>627</v>
      </c>
      <c r="G6" s="1657" t="s">
        <v>627</v>
      </c>
      <c r="H6" s="1657" t="s">
        <v>351</v>
      </c>
      <c r="I6" s="1657" t="s">
        <v>1605</v>
      </c>
      <c r="J6" s="1665" t="s">
        <v>350</v>
      </c>
      <c r="K6" s="1665" t="s">
        <v>350</v>
      </c>
      <c r="L6" s="1665" t="s">
        <v>349</v>
      </c>
      <c r="M6" s="1665" t="s">
        <v>349</v>
      </c>
      <c r="N6" s="1657" t="s">
        <v>518</v>
      </c>
      <c r="O6" s="1657" t="s">
        <v>1606</v>
      </c>
      <c r="P6" s="1657" t="s">
        <v>520</v>
      </c>
      <c r="Q6" s="1657" t="s">
        <v>1607</v>
      </c>
      <c r="R6" s="1657" t="s">
        <v>348</v>
      </c>
      <c r="S6" s="1657" t="s">
        <v>348</v>
      </c>
      <c r="T6" s="1657" t="s">
        <v>347</v>
      </c>
      <c r="U6" s="1657" t="s">
        <v>347</v>
      </c>
      <c r="V6" s="1657" t="s">
        <v>142</v>
      </c>
      <c r="W6" s="1657" t="s">
        <v>142</v>
      </c>
      <c r="X6" s="1657" t="s">
        <v>143</v>
      </c>
      <c r="Y6" s="1657" t="s">
        <v>143</v>
      </c>
      <c r="Z6" s="1657" t="s">
        <v>144</v>
      </c>
      <c r="AA6" s="1657" t="s">
        <v>144</v>
      </c>
      <c r="AB6" s="1657" t="s">
        <v>400</v>
      </c>
      <c r="AC6" s="1657" t="s">
        <v>400</v>
      </c>
      <c r="AD6" s="1657" t="s">
        <v>420</v>
      </c>
      <c r="AE6" s="1657" t="s">
        <v>1608</v>
      </c>
      <c r="AF6" s="1657" t="s">
        <v>401</v>
      </c>
      <c r="AG6" s="1657" t="s">
        <v>401</v>
      </c>
      <c r="AH6" s="1657" t="s">
        <v>145</v>
      </c>
      <c r="AI6" s="1657" t="s">
        <v>145</v>
      </c>
      <c r="AJ6" s="1657" t="s">
        <v>346</v>
      </c>
      <c r="AK6" s="1657" t="s">
        <v>1609</v>
      </c>
      <c r="AL6" s="1657" t="s">
        <v>519</v>
      </c>
      <c r="AM6" s="1657" t="s">
        <v>1610</v>
      </c>
      <c r="AN6" s="1657" t="s">
        <v>176</v>
      </c>
      <c r="AO6" s="1657" t="s">
        <v>176</v>
      </c>
      <c r="AP6" s="1657"/>
      <c r="AQ6" s="1657"/>
    </row>
    <row r="7" spans="1:44" ht="68.25" customHeight="1" x14ac:dyDescent="0.2">
      <c r="A7" s="1666"/>
      <c r="B7" s="1551" t="s">
        <v>193</v>
      </c>
      <c r="C7" s="134" t="s">
        <v>251</v>
      </c>
      <c r="D7" s="1657"/>
      <c r="E7" s="1657"/>
      <c r="F7" s="1657"/>
      <c r="G7" s="1657"/>
      <c r="H7" s="1657"/>
      <c r="I7" s="1657"/>
      <c r="J7" s="1665"/>
      <c r="K7" s="1665"/>
      <c r="L7" s="1665"/>
      <c r="M7" s="1665"/>
      <c r="N7" s="1657"/>
      <c r="O7" s="1657"/>
      <c r="P7" s="1657"/>
      <c r="Q7" s="1657"/>
      <c r="R7" s="1657"/>
      <c r="S7" s="1657"/>
      <c r="T7" s="1657"/>
      <c r="U7" s="1657"/>
      <c r="V7" s="1657"/>
      <c r="W7" s="1657"/>
      <c r="X7" s="1657"/>
      <c r="Y7" s="1657"/>
      <c r="Z7" s="1657"/>
      <c r="AA7" s="1657"/>
      <c r="AB7" s="1657"/>
      <c r="AC7" s="1657"/>
      <c r="AD7" s="1657"/>
      <c r="AE7" s="1657"/>
      <c r="AF7" s="1657"/>
      <c r="AG7" s="1657"/>
      <c r="AH7" s="1657"/>
      <c r="AI7" s="1657"/>
      <c r="AJ7" s="1657"/>
      <c r="AK7" s="1657"/>
      <c r="AL7" s="1657"/>
      <c r="AM7" s="1657"/>
      <c r="AN7" s="1657"/>
      <c r="AO7" s="1657"/>
      <c r="AP7" s="1657"/>
      <c r="AQ7" s="1657"/>
    </row>
    <row r="8" spans="1:44"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c r="P8" s="385" t="s">
        <v>235</v>
      </c>
      <c r="Q8" s="385" t="s">
        <v>236</v>
      </c>
      <c r="R8" s="385" t="s">
        <v>237</v>
      </c>
      <c r="S8" s="385" t="s">
        <v>238</v>
      </c>
      <c r="T8" s="385" t="s">
        <v>239</v>
      </c>
      <c r="U8" s="385" t="s">
        <v>266</v>
      </c>
      <c r="V8" s="385" t="s">
        <v>267</v>
      </c>
      <c r="W8" s="385" t="s">
        <v>268</v>
      </c>
      <c r="X8" s="385" t="s">
        <v>269</v>
      </c>
      <c r="Y8" s="385" t="s">
        <v>270</v>
      </c>
      <c r="Z8" s="385" t="s">
        <v>271</v>
      </c>
      <c r="AA8" s="385" t="s">
        <v>272</v>
      </c>
      <c r="AB8" s="385" t="s">
        <v>273</v>
      </c>
      <c r="AC8" s="385" t="s">
        <v>274</v>
      </c>
      <c r="AD8" s="385" t="s">
        <v>275</v>
      </c>
      <c r="AE8" s="385" t="s">
        <v>276</v>
      </c>
      <c r="AF8" s="385" t="s">
        <v>277</v>
      </c>
      <c r="AG8" s="385" t="s">
        <v>278</v>
      </c>
      <c r="AH8" s="385" t="s">
        <v>282</v>
      </c>
      <c r="AI8" s="385" t="s">
        <v>283</v>
      </c>
      <c r="AJ8" s="385" t="s">
        <v>284</v>
      </c>
      <c r="AK8" s="385" t="s">
        <v>285</v>
      </c>
      <c r="AL8" s="385" t="s">
        <v>286</v>
      </c>
      <c r="AM8" s="385" t="s">
        <v>287</v>
      </c>
      <c r="AN8" s="385" t="s">
        <v>288</v>
      </c>
      <c r="AO8" s="385" t="s">
        <v>289</v>
      </c>
      <c r="AP8" s="385" t="s">
        <v>290</v>
      </c>
      <c r="AQ8" s="385" t="s">
        <v>291</v>
      </c>
    </row>
    <row r="9" spans="1:44" ht="21.75" customHeight="1" x14ac:dyDescent="0.25">
      <c r="A9" s="26" t="s">
        <v>194</v>
      </c>
      <c r="B9" s="23" t="s">
        <v>335</v>
      </c>
      <c r="C9" s="27" t="s">
        <v>205</v>
      </c>
      <c r="D9" s="179"/>
      <c r="E9" s="179"/>
      <c r="F9" s="179">
        <f>+(81888342)+28189</f>
        <v>81916531</v>
      </c>
      <c r="G9" s="179">
        <f>+(81888342)+28189-30863+30863-103393+25204+50000+28189-670033+30033+640000-28524+28524+375000+900000-24279+24279-164717+24717+140000-25647+25647-23163+23163-152981+125000+27981-7023230+4125000+125000+28122-363481+125000+23958+8881-201253+178000+23253</f>
        <v>80240781</v>
      </c>
      <c r="H9" s="179">
        <v>6368271</v>
      </c>
      <c r="I9" s="179">
        <f>6368271-80000+80000+100000-5108+5108-5108+5108+500000+62500+5108-5108+5108-67608+62500+5108</f>
        <v>7035879</v>
      </c>
      <c r="J9" s="179">
        <v>22313568</v>
      </c>
      <c r="K9" s="179">
        <f>22313568-75000+75000-75000+75000-77058+75000+2058-279170+75000+200000+4170+500000-78600+75000+3600-78375+75000+3375-75000+75000-75000+75000-200000+200000+1700000+137500+5642+200000-1572434+1420942+137500</f>
        <v>24842718</v>
      </c>
      <c r="L9" s="179">
        <v>15949313</v>
      </c>
      <c r="M9" s="179">
        <f>15949313-80000+80000+100000-150786+150786-337274+337274-317925+4725+313200-172425+4725+167700-385675+62500+3825+319350-1377350+1000000+62500+4950+309900-238000+62500+4500+171000-797652+417677+62500+4275+313200</f>
        <v>16049313</v>
      </c>
      <c r="N9" s="179"/>
      <c r="O9" s="179"/>
      <c r="P9" s="179"/>
      <c r="Q9" s="179"/>
      <c r="R9" s="179">
        <v>3075348</v>
      </c>
      <c r="S9" s="179">
        <f>3075348+100000+960000-210000+210000-190000+190000-190000+190000</f>
        <v>4135348</v>
      </c>
      <c r="T9" s="179">
        <v>14095388</v>
      </c>
      <c r="U9" s="179">
        <f>14095388-1368+1368-7182+7182-6840+6840-7182+7182+200000-6498+6498-7524+7524-7182+7182-5130+5130-2736+2736-807182+800000+7182-6840+6840-6840+6840</f>
        <v>14295388</v>
      </c>
      <c r="V9" s="179">
        <v>15390155</v>
      </c>
      <c r="W9" s="179">
        <f>15390155+200000-800000+800000</f>
        <v>15590155</v>
      </c>
      <c r="X9" s="179">
        <v>85779990</v>
      </c>
      <c r="Y9" s="179">
        <f>85779990-83190+78931+4259-6174+6174-5430+5430-6324+6324+1000000-5442+5442-17549+17549-72264+6318+49676+16270-11111+11111-15759+15759-233717+22268+211449-3023505+3000000+23505-143111+21890+121221-145125+18714+126411</f>
        <v>86779990</v>
      </c>
      <c r="Z9" s="179">
        <v>21358349</v>
      </c>
      <c r="AA9" s="179">
        <f>21358349+300000-35545+35545-160310+160310-1111281+900000+10234+201047-10234+10234-61606+10234+51372</f>
        <v>21658349</v>
      </c>
      <c r="AB9" s="179"/>
      <c r="AC9" s="179"/>
      <c r="AD9" s="179">
        <v>5674872</v>
      </c>
      <c r="AE9" s="179">
        <f>5674872+100000-40000+40000-40000+40000-40000+40000-40000+40000+300000+40000-40000+40000-6160+6160</f>
        <v>6114872</v>
      </c>
      <c r="AF9" s="179"/>
      <c r="AG9" s="179"/>
      <c r="AH9" s="179"/>
      <c r="AI9" s="179"/>
      <c r="AJ9" s="179"/>
      <c r="AK9" s="179"/>
      <c r="AL9" s="179"/>
      <c r="AM9" s="179"/>
      <c r="AN9" s="179"/>
      <c r="AO9" s="179"/>
      <c r="AP9" s="179">
        <f t="shared" ref="AP9:AP50" si="0">D9+F9+H9+J9+L9+N9+P9+R9+T9+V9+X9+AB9+Z9+AD9+AF9+AH9+AJ9+AN9+AL9</f>
        <v>271921785</v>
      </c>
      <c r="AQ9" s="179">
        <f t="shared" ref="AQ9:AQ50" si="1">E9+G9+I9+K9+M9+O9+Q9+S9+U9+W9+Y9+AC9+AA9+AE9+AG9+AI9+AK9+AO9+AM9</f>
        <v>276742793</v>
      </c>
      <c r="AR9" s="84"/>
    </row>
    <row r="10" spans="1:44" ht="21.75" customHeight="1" x14ac:dyDescent="0.25">
      <c r="A10" s="26" t="s">
        <v>195</v>
      </c>
      <c r="B10" s="28" t="s">
        <v>206</v>
      </c>
      <c r="C10" s="27" t="s">
        <v>207</v>
      </c>
      <c r="D10" s="179"/>
      <c r="E10" s="179"/>
      <c r="F10" s="179">
        <f>11030486+1400000</f>
        <v>12430486</v>
      </c>
      <c r="G10" s="179">
        <f>11030486+1400000+48750+117000-20089-100704-202598</f>
        <v>12272845</v>
      </c>
      <c r="H10" s="179">
        <v>862875</v>
      </c>
      <c r="I10" s="179">
        <f>862875+13000</f>
        <v>875875</v>
      </c>
      <c r="J10" s="179">
        <v>2920764</v>
      </c>
      <c r="K10" s="179">
        <f>2920764+65000+100704+202598</f>
        <v>3289066</v>
      </c>
      <c r="L10" s="179">
        <v>2143411</v>
      </c>
      <c r="M10" s="179">
        <f>2143411+13000</f>
        <v>2156411</v>
      </c>
      <c r="N10" s="179"/>
      <c r="O10" s="179"/>
      <c r="P10" s="179"/>
      <c r="Q10" s="179"/>
      <c r="R10" s="179">
        <v>434795</v>
      </c>
      <c r="S10" s="179">
        <f>434795+13000+20089</f>
        <v>467884</v>
      </c>
      <c r="T10" s="179">
        <v>1902400</v>
      </c>
      <c r="U10" s="179">
        <f>1902400+26000</f>
        <v>1928400</v>
      </c>
      <c r="V10" s="179">
        <v>2210720</v>
      </c>
      <c r="W10" s="179">
        <f>2210720+26000</f>
        <v>2236720</v>
      </c>
      <c r="X10" s="179">
        <v>11536399</v>
      </c>
      <c r="Y10" s="179">
        <f>11536399+130000</f>
        <v>11666399</v>
      </c>
      <c r="Z10" s="179">
        <v>2881585</v>
      </c>
      <c r="AA10" s="179">
        <f>2881585+39000</f>
        <v>2920585</v>
      </c>
      <c r="AB10" s="179"/>
      <c r="AC10" s="179"/>
      <c r="AD10" s="179">
        <v>772733</v>
      </c>
      <c r="AE10" s="179">
        <f>772733+13000</f>
        <v>785733</v>
      </c>
      <c r="AF10" s="179"/>
      <c r="AG10" s="179"/>
      <c r="AH10" s="179"/>
      <c r="AI10" s="179"/>
      <c r="AJ10" s="179"/>
      <c r="AK10" s="179"/>
      <c r="AL10" s="179"/>
      <c r="AM10" s="179"/>
      <c r="AN10" s="179"/>
      <c r="AO10" s="179"/>
      <c r="AP10" s="179">
        <f t="shared" si="0"/>
        <v>38096168</v>
      </c>
      <c r="AQ10" s="179">
        <f t="shared" si="1"/>
        <v>38599918</v>
      </c>
      <c r="AR10" s="84"/>
    </row>
    <row r="11" spans="1:44" s="248" customFormat="1" ht="21.75" customHeight="1" x14ac:dyDescent="0.25">
      <c r="A11" s="245" t="s">
        <v>196</v>
      </c>
      <c r="B11" s="246" t="s">
        <v>336</v>
      </c>
      <c r="C11" s="250" t="s">
        <v>208</v>
      </c>
      <c r="D11" s="181">
        <v>31791958</v>
      </c>
      <c r="E11" s="181">
        <f>31791958-31791958</f>
        <v>0</v>
      </c>
      <c r="F11" s="181">
        <f>+(27346950)+725235+521619</f>
        <v>28593804</v>
      </c>
      <c r="G11" s="181">
        <f>+(27346950)+725235+521619-500000+500000-100000+100000-50000+50000-300000+300000-300000+300000-700000+700000+31641+8544+900000+600000+405000+10000-400000+300000+100000+1974971+533242+1000000+270000-92451-342448</f>
        <v>33892303</v>
      </c>
      <c r="H11" s="181">
        <f>+(40703500)+1232633+442722</f>
        <v>42378855</v>
      </c>
      <c r="I11" s="181">
        <f>+(40703500)+1232633+442722-22000+22000-1700+1700+500000+135000-20000+20000+1000000+270000+747742+201893</f>
        <v>45233490</v>
      </c>
      <c r="J11" s="181">
        <v>790550</v>
      </c>
      <c r="K11" s="181">
        <f>790550-87000+87000-30000+30000+13992-2500</f>
        <v>802042</v>
      </c>
      <c r="L11" s="181">
        <v>2622550</v>
      </c>
      <c r="M11" s="181">
        <f>2622550-44000+44000-6000+6000-20000+20000+300000-151860</f>
        <v>2770690</v>
      </c>
      <c r="N11" s="181">
        <f>+(29469000)+2595+365008</f>
        <v>29836603</v>
      </c>
      <c r="O11" s="181">
        <f>+(29469000)+2595+365008+2800000+756000-200000+200000+500000+1000000+1943332+524700+494015+133384+1000000+270000-321956</f>
        <v>38936078</v>
      </c>
      <c r="P11" s="181">
        <f>+(13423500)+42593+7758</f>
        <v>13473851</v>
      </c>
      <c r="Q11" s="181">
        <f>+(13423500)+42593+7758+1995710+538842+135000+36450+150394+40607+499300+134811+1449740+391430+11811+3189+600000+162000</f>
        <v>19623135</v>
      </c>
      <c r="R11" s="181">
        <f>+(14503240)+856848+153201</f>
        <v>15513289</v>
      </c>
      <c r="S11" s="181">
        <f>+(14503240)+856848+153201+211770-100000+100000+500000+135000</f>
        <v>16360059</v>
      </c>
      <c r="T11" s="181">
        <f>+(24380800)+5196+88732</f>
        <v>24474728</v>
      </c>
      <c r="U11" s="181">
        <f>+(24380800)+5196+88732-500000+500000+200000+54000</f>
        <v>24728728</v>
      </c>
      <c r="V11" s="181">
        <f>+(3300400)+5191</f>
        <v>3305591</v>
      </c>
      <c r="W11" s="181">
        <f>+(3300400)+5191</f>
        <v>3305591</v>
      </c>
      <c r="X11" s="181">
        <f>+(19326600)+23363+2725</f>
        <v>19352688</v>
      </c>
      <c r="Y11" s="181">
        <f>+(19326600)+23363+2725-600000+600000+15748031+4251969-1000000+1000000+1757795+474605</f>
        <v>41585088</v>
      </c>
      <c r="Z11" s="181">
        <f>+(5763700)+7791</f>
        <v>5771491</v>
      </c>
      <c r="AA11" s="181">
        <f>+(5763700)+7791+189865-78740-21260+100000-86606-5736-100000-100000-100000+300000</f>
        <v>5869014</v>
      </c>
      <c r="AB11" s="181">
        <f>+(204906477)+4281668</f>
        <v>209188145</v>
      </c>
      <c r="AC11" s="181">
        <f>+(204906477)+4281668+50000+2000000+4500000+1215000+5000000+2000000+3739294+366409-3372167+3372167-572042-18116</f>
        <v>227468690</v>
      </c>
      <c r="AD11" s="181">
        <f>+(293200676)+48300+6194377</f>
        <v>299443353</v>
      </c>
      <c r="AE11" s="181">
        <f>+(293200676)+48300+6194377+21250142+5737672+40000+10800+221345+59763-82677+82677-221345+221345+3000000+81000-221610-60109-100000+100000-700000+700000+4000000+6100000+1620000+15000000+5000000+7585049+1105509-365699-49347-2868388-774465-15</f>
        <v>365915000</v>
      </c>
      <c r="AF11" s="181">
        <f>+(15575064)+1177+390471</f>
        <v>15966712</v>
      </c>
      <c r="AG11" s="181">
        <f>+(15575064)+1177+390471+3475473+938336+396377+107080+351759+94987+1000000+270000+59680+500000+700000+300000+270000+500000+1000000+234993-183862-166386</f>
        <v>25815149</v>
      </c>
      <c r="AH11" s="181">
        <f>+(11521280)+87549</f>
        <v>11608829</v>
      </c>
      <c r="AI11" s="181">
        <f>+(11521280)+87549+157851+42619+1-20000+20000+150000-113950-12403</f>
        <v>11832947</v>
      </c>
      <c r="AJ11" s="181"/>
      <c r="AK11" s="181"/>
      <c r="AL11" s="181">
        <v>2159000</v>
      </c>
      <c r="AM11" s="181">
        <f>2159000+281764+75802+2418+652+221610+60109+15</f>
        <v>2801370</v>
      </c>
      <c r="AN11" s="181">
        <f>+(6350100)+1176+80798</f>
        <v>6432074</v>
      </c>
      <c r="AO11" s="181">
        <f>+(6350100)+1176+80798+2000000+540000+2000000+540000+2000000+540000+2000000+540000-669530-269380-100</f>
        <v>15653064</v>
      </c>
      <c r="AP11" s="179">
        <f t="shared" si="0"/>
        <v>762704071</v>
      </c>
      <c r="AQ11" s="179">
        <f t="shared" si="1"/>
        <v>882592438</v>
      </c>
      <c r="AR11" s="249"/>
    </row>
    <row r="12" spans="1:44" ht="21.75" customHeight="1" x14ac:dyDescent="0.25">
      <c r="A12" s="26" t="s">
        <v>197</v>
      </c>
      <c r="B12" s="29" t="s">
        <v>337</v>
      </c>
      <c r="C12" s="27" t="s">
        <v>209</v>
      </c>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f t="shared" si="0"/>
        <v>0</v>
      </c>
      <c r="AQ12" s="179">
        <f t="shared" si="1"/>
        <v>0</v>
      </c>
    </row>
    <row r="13" spans="1:44" ht="21.75" customHeight="1" x14ac:dyDescent="0.25">
      <c r="A13" s="26" t="s">
        <v>198</v>
      </c>
      <c r="B13" s="29" t="s">
        <v>240</v>
      </c>
      <c r="C13" s="27" t="s">
        <v>210</v>
      </c>
      <c r="D13" s="179">
        <f>SUM(D14:D16)</f>
        <v>0</v>
      </c>
      <c r="E13" s="179">
        <f t="shared" ref="E13:AO13" si="2">SUM(E14:E16)</f>
        <v>63201781</v>
      </c>
      <c r="F13" s="179">
        <f t="shared" si="2"/>
        <v>0</v>
      </c>
      <c r="G13" s="179">
        <f t="shared" si="2"/>
        <v>0</v>
      </c>
      <c r="H13" s="179">
        <f t="shared" si="2"/>
        <v>0</v>
      </c>
      <c r="I13" s="179">
        <f t="shared" si="2"/>
        <v>0</v>
      </c>
      <c r="J13" s="179">
        <f t="shared" si="2"/>
        <v>0</v>
      </c>
      <c r="K13" s="179">
        <f t="shared" si="2"/>
        <v>0</v>
      </c>
      <c r="L13" s="179">
        <f t="shared" si="2"/>
        <v>0</v>
      </c>
      <c r="M13" s="179">
        <f t="shared" si="2"/>
        <v>0</v>
      </c>
      <c r="N13" s="179">
        <f t="shared" si="2"/>
        <v>0</v>
      </c>
      <c r="O13" s="179">
        <f t="shared" si="2"/>
        <v>0</v>
      </c>
      <c r="P13" s="179">
        <f t="shared" si="2"/>
        <v>0</v>
      </c>
      <c r="Q13" s="179">
        <f t="shared" si="2"/>
        <v>0</v>
      </c>
      <c r="R13" s="179">
        <f t="shared" si="2"/>
        <v>0</v>
      </c>
      <c r="S13" s="179">
        <f t="shared" si="2"/>
        <v>0</v>
      </c>
      <c r="T13" s="179">
        <f t="shared" si="2"/>
        <v>0</v>
      </c>
      <c r="U13" s="179">
        <f t="shared" si="2"/>
        <v>0</v>
      </c>
      <c r="V13" s="179">
        <f t="shared" si="2"/>
        <v>0</v>
      </c>
      <c r="W13" s="179">
        <f t="shared" si="2"/>
        <v>0</v>
      </c>
      <c r="X13" s="179">
        <f t="shared" si="2"/>
        <v>0</v>
      </c>
      <c r="Y13" s="179">
        <f t="shared" si="2"/>
        <v>0</v>
      </c>
      <c r="Z13" s="179">
        <f t="shared" si="2"/>
        <v>0</v>
      </c>
      <c r="AA13" s="179">
        <f t="shared" si="2"/>
        <v>0</v>
      </c>
      <c r="AB13" s="179">
        <f t="shared" si="2"/>
        <v>0</v>
      </c>
      <c r="AC13" s="179">
        <f t="shared" si="2"/>
        <v>0</v>
      </c>
      <c r="AD13" s="179">
        <f t="shared" si="2"/>
        <v>0</v>
      </c>
      <c r="AE13" s="179">
        <f t="shared" si="2"/>
        <v>0</v>
      </c>
      <c r="AF13" s="179">
        <f t="shared" si="2"/>
        <v>0</v>
      </c>
      <c r="AG13" s="179">
        <f t="shared" si="2"/>
        <v>0</v>
      </c>
      <c r="AH13" s="179">
        <f t="shared" si="2"/>
        <v>0</v>
      </c>
      <c r="AI13" s="179">
        <f t="shared" si="2"/>
        <v>0</v>
      </c>
      <c r="AJ13" s="179">
        <f t="shared" si="2"/>
        <v>0</v>
      </c>
      <c r="AK13" s="179">
        <f t="shared" si="2"/>
        <v>0</v>
      </c>
      <c r="AL13" s="179">
        <f t="shared" si="2"/>
        <v>0</v>
      </c>
      <c r="AM13" s="179">
        <f t="shared" si="2"/>
        <v>0</v>
      </c>
      <c r="AN13" s="179">
        <f t="shared" si="2"/>
        <v>0</v>
      </c>
      <c r="AO13" s="179">
        <f t="shared" si="2"/>
        <v>0</v>
      </c>
      <c r="AP13" s="179">
        <f t="shared" si="0"/>
        <v>0</v>
      </c>
      <c r="AQ13" s="179">
        <f t="shared" si="1"/>
        <v>63201781</v>
      </c>
    </row>
    <row r="14" spans="1:44" ht="21.75" customHeight="1" x14ac:dyDescent="0.25">
      <c r="A14" s="26" t="s">
        <v>199</v>
      </c>
      <c r="B14" s="30" t="s">
        <v>125</v>
      </c>
      <c r="C14" s="27"/>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f t="shared" si="0"/>
        <v>0</v>
      </c>
      <c r="AQ14" s="179">
        <f t="shared" si="1"/>
        <v>0</v>
      </c>
    </row>
    <row r="15" spans="1:44" ht="21.75" customHeight="1" x14ac:dyDescent="0.25">
      <c r="A15" s="26" t="s">
        <v>200</v>
      </c>
      <c r="B15" s="30" t="s">
        <v>115</v>
      </c>
      <c r="C15" s="31"/>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f t="shared" si="0"/>
        <v>0</v>
      </c>
      <c r="AQ15" s="179">
        <f t="shared" si="1"/>
        <v>0</v>
      </c>
    </row>
    <row r="16" spans="1:44" ht="21.75" customHeight="1" x14ac:dyDescent="0.25">
      <c r="A16" s="26" t="s">
        <v>201</v>
      </c>
      <c r="B16" s="92" t="s">
        <v>566</v>
      </c>
      <c r="C16" s="31"/>
      <c r="D16" s="179"/>
      <c r="E16" s="179">
        <v>63201781</v>
      </c>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f t="shared" si="0"/>
        <v>0</v>
      </c>
      <c r="AQ16" s="179">
        <f t="shared" si="1"/>
        <v>63201781</v>
      </c>
    </row>
    <row r="17" spans="1:43" ht="21.75" customHeight="1" x14ac:dyDescent="0.25">
      <c r="A17" s="26" t="s">
        <v>202</v>
      </c>
      <c r="B17" s="32" t="s">
        <v>247</v>
      </c>
      <c r="C17" s="27" t="s">
        <v>211</v>
      </c>
      <c r="D17" s="179"/>
      <c r="E17" s="179"/>
      <c r="F17" s="179">
        <f>+'6.sz. Beruházások'!E159</f>
        <v>5190490</v>
      </c>
      <c r="G17" s="179">
        <f>5190490-88575+88575-500000-135000+5000-1000000-270000</f>
        <v>3290490</v>
      </c>
      <c r="H17" s="179">
        <f>+'6.sz. Beruházások'!E160</f>
        <v>381000</v>
      </c>
      <c r="I17" s="179">
        <v>381000</v>
      </c>
      <c r="J17" s="179">
        <f>+'6.sz. Beruházások'!E161</f>
        <v>254000</v>
      </c>
      <c r="K17" s="179">
        <v>254000</v>
      </c>
      <c r="L17" s="179">
        <f>+'6.sz. Beruházások'!E162</f>
        <v>63500</v>
      </c>
      <c r="M17" s="179">
        <v>63500</v>
      </c>
      <c r="N17" s="179">
        <f>+'6.sz. Beruházások'!E163</f>
        <v>635000</v>
      </c>
      <c r="O17" s="179">
        <f>635000+130997+35369</f>
        <v>801366</v>
      </c>
      <c r="P17" s="179">
        <f>+'6.sz. Beruházások'!E164</f>
        <v>254000</v>
      </c>
      <c r="Q17" s="179">
        <f>254000+87189+23541</f>
        <v>364730</v>
      </c>
      <c r="R17" s="179">
        <f>+'6.sz. Beruházások'!E165</f>
        <v>635000</v>
      </c>
      <c r="S17" s="179">
        <v>635000</v>
      </c>
      <c r="T17" s="179">
        <f>+'6.sz. Beruházások'!E166</f>
        <v>508000</v>
      </c>
      <c r="U17" s="179">
        <v>508000</v>
      </c>
      <c r="V17" s="179">
        <f>+'6.sz. Beruházások'!E167</f>
        <v>635000</v>
      </c>
      <c r="W17" s="179">
        <v>635000</v>
      </c>
      <c r="X17" s="179">
        <f>+'6.sz. Beruházások'!E168</f>
        <v>698500</v>
      </c>
      <c r="Y17" s="179">
        <v>698500</v>
      </c>
      <c r="Z17" s="179">
        <f>+'6.sz. Beruházások'!E169</f>
        <v>254000</v>
      </c>
      <c r="AA17" s="179">
        <f>254000+86606+5736-16528+16528-1425+1425</f>
        <v>346342</v>
      </c>
      <c r="AB17" s="179"/>
      <c r="AC17" s="179"/>
      <c r="AD17" s="179">
        <f>+'6.sz. Beruházások'!E171</f>
        <v>508000</v>
      </c>
      <c r="AE17" s="179">
        <f>508000-116528+116528+164000+44280</f>
        <v>716280</v>
      </c>
      <c r="AF17" s="179"/>
      <c r="AG17" s="179"/>
      <c r="AH17" s="179"/>
      <c r="AI17" s="179"/>
      <c r="AJ17" s="179"/>
      <c r="AK17" s="179"/>
      <c r="AL17" s="179"/>
      <c r="AM17" s="179"/>
      <c r="AN17" s="179"/>
      <c r="AO17" s="179"/>
      <c r="AP17" s="179">
        <f t="shared" si="0"/>
        <v>10016490</v>
      </c>
      <c r="AQ17" s="179">
        <f t="shared" si="1"/>
        <v>8694208</v>
      </c>
    </row>
    <row r="18" spans="1:43" ht="21.75" customHeight="1" x14ac:dyDescent="0.25">
      <c r="A18" s="26" t="s">
        <v>203</v>
      </c>
      <c r="B18" s="29" t="s">
        <v>338</v>
      </c>
      <c r="C18" s="27" t="s">
        <v>212</v>
      </c>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f t="shared" si="0"/>
        <v>0</v>
      </c>
      <c r="AQ18" s="179">
        <f t="shared" si="1"/>
        <v>0</v>
      </c>
    </row>
    <row r="19" spans="1:43" ht="21.75" customHeight="1" x14ac:dyDescent="0.25">
      <c r="A19" s="26" t="s">
        <v>204</v>
      </c>
      <c r="B19" s="29" t="s">
        <v>241</v>
      </c>
      <c r="C19" s="27" t="s">
        <v>213</v>
      </c>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f t="shared" si="0"/>
        <v>0</v>
      </c>
      <c r="AQ19" s="179">
        <f t="shared" si="1"/>
        <v>0</v>
      </c>
    </row>
    <row r="20" spans="1:43" ht="21.75" customHeight="1" x14ac:dyDescent="0.25">
      <c r="A20" s="26" t="s">
        <v>231</v>
      </c>
      <c r="B20" s="30" t="s">
        <v>124</v>
      </c>
      <c r="C20" s="27"/>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f t="shared" si="0"/>
        <v>0</v>
      </c>
      <c r="AQ20" s="179">
        <f t="shared" si="1"/>
        <v>0</v>
      </c>
    </row>
    <row r="21" spans="1:43" ht="21.75" customHeight="1" x14ac:dyDescent="0.25">
      <c r="A21" s="26" t="s">
        <v>232</v>
      </c>
      <c r="B21" s="32" t="s">
        <v>242</v>
      </c>
      <c r="C21" s="27" t="s">
        <v>214</v>
      </c>
      <c r="D21" s="179">
        <f>+D9+D10+D11+D12+D13+D17+D18+D19</f>
        <v>31791958</v>
      </c>
      <c r="E21" s="179">
        <f t="shared" ref="E21:AO21" si="3">+E9+E10+E11+E12+E13+E17+E18+E19</f>
        <v>63201781</v>
      </c>
      <c r="F21" s="179">
        <f t="shared" si="3"/>
        <v>128131311</v>
      </c>
      <c r="G21" s="179">
        <f t="shared" si="3"/>
        <v>129696419</v>
      </c>
      <c r="H21" s="179">
        <f t="shared" si="3"/>
        <v>49991001</v>
      </c>
      <c r="I21" s="179">
        <f t="shared" si="3"/>
        <v>53526244</v>
      </c>
      <c r="J21" s="179">
        <f t="shared" si="3"/>
        <v>26278882</v>
      </c>
      <c r="K21" s="179">
        <f t="shared" si="3"/>
        <v>29187826</v>
      </c>
      <c r="L21" s="179">
        <f t="shared" si="3"/>
        <v>20778774</v>
      </c>
      <c r="M21" s="179">
        <f t="shared" si="3"/>
        <v>21039914</v>
      </c>
      <c r="N21" s="179">
        <f t="shared" si="3"/>
        <v>30471603</v>
      </c>
      <c r="O21" s="179">
        <f t="shared" si="3"/>
        <v>39737444</v>
      </c>
      <c r="P21" s="179">
        <f t="shared" si="3"/>
        <v>13727851</v>
      </c>
      <c r="Q21" s="179">
        <f t="shared" si="3"/>
        <v>19987865</v>
      </c>
      <c r="R21" s="179">
        <f t="shared" si="3"/>
        <v>19658432</v>
      </c>
      <c r="S21" s="179">
        <f t="shared" si="3"/>
        <v>21598291</v>
      </c>
      <c r="T21" s="179">
        <f t="shared" si="3"/>
        <v>40980516</v>
      </c>
      <c r="U21" s="179">
        <f t="shared" si="3"/>
        <v>41460516</v>
      </c>
      <c r="V21" s="179">
        <f t="shared" si="3"/>
        <v>21541466</v>
      </c>
      <c r="W21" s="179">
        <f t="shared" si="3"/>
        <v>21767466</v>
      </c>
      <c r="X21" s="179">
        <f t="shared" si="3"/>
        <v>117367577</v>
      </c>
      <c r="Y21" s="179">
        <f t="shared" si="3"/>
        <v>140729977</v>
      </c>
      <c r="Z21" s="179">
        <f t="shared" si="3"/>
        <v>30265425</v>
      </c>
      <c r="AA21" s="179">
        <f t="shared" si="3"/>
        <v>30794290</v>
      </c>
      <c r="AB21" s="179">
        <f t="shared" si="3"/>
        <v>209188145</v>
      </c>
      <c r="AC21" s="179">
        <f t="shared" si="3"/>
        <v>227468690</v>
      </c>
      <c r="AD21" s="179">
        <f t="shared" si="3"/>
        <v>306398958</v>
      </c>
      <c r="AE21" s="179">
        <f t="shared" si="3"/>
        <v>373531885</v>
      </c>
      <c r="AF21" s="179">
        <f t="shared" si="3"/>
        <v>15966712</v>
      </c>
      <c r="AG21" s="179">
        <f t="shared" si="3"/>
        <v>25815149</v>
      </c>
      <c r="AH21" s="179">
        <f t="shared" si="3"/>
        <v>11608829</v>
      </c>
      <c r="AI21" s="179">
        <f t="shared" si="3"/>
        <v>11832947</v>
      </c>
      <c r="AJ21" s="179">
        <f t="shared" si="3"/>
        <v>0</v>
      </c>
      <c r="AK21" s="179">
        <f t="shared" si="3"/>
        <v>0</v>
      </c>
      <c r="AL21" s="179">
        <f t="shared" si="3"/>
        <v>2159000</v>
      </c>
      <c r="AM21" s="179">
        <f t="shared" si="3"/>
        <v>2801370</v>
      </c>
      <c r="AN21" s="179">
        <f t="shared" si="3"/>
        <v>6432074</v>
      </c>
      <c r="AO21" s="179">
        <f t="shared" si="3"/>
        <v>15653064</v>
      </c>
      <c r="AP21" s="179">
        <f t="shared" si="0"/>
        <v>1082738514</v>
      </c>
      <c r="AQ21" s="179">
        <f t="shared" si="1"/>
        <v>1269831138</v>
      </c>
    </row>
    <row r="22" spans="1:43" ht="21.75" customHeight="1" x14ac:dyDescent="0.25">
      <c r="A22" s="26" t="s">
        <v>233</v>
      </c>
      <c r="B22" s="32" t="s">
        <v>227</v>
      </c>
      <c r="C22" s="27" t="s">
        <v>223</v>
      </c>
      <c r="D22" s="179">
        <f>SUM(D23:D26)</f>
        <v>0</v>
      </c>
      <c r="E22" s="179">
        <f t="shared" ref="E22:AO22" si="4">SUM(E23:E26)</f>
        <v>0</v>
      </c>
      <c r="F22" s="179">
        <f t="shared" si="4"/>
        <v>0</v>
      </c>
      <c r="G22" s="179">
        <f t="shared" si="4"/>
        <v>0</v>
      </c>
      <c r="H22" s="179">
        <f t="shared" si="4"/>
        <v>0</v>
      </c>
      <c r="I22" s="179">
        <f t="shared" si="4"/>
        <v>0</v>
      </c>
      <c r="J22" s="179">
        <f t="shared" si="4"/>
        <v>0</v>
      </c>
      <c r="K22" s="179">
        <f t="shared" si="4"/>
        <v>0</v>
      </c>
      <c r="L22" s="179">
        <f t="shared" si="4"/>
        <v>0</v>
      </c>
      <c r="M22" s="179">
        <f t="shared" si="4"/>
        <v>0</v>
      </c>
      <c r="N22" s="179">
        <f t="shared" si="4"/>
        <v>0</v>
      </c>
      <c r="O22" s="179">
        <f t="shared" si="4"/>
        <v>0</v>
      </c>
      <c r="P22" s="179">
        <f t="shared" si="4"/>
        <v>0</v>
      </c>
      <c r="Q22" s="179">
        <f t="shared" si="4"/>
        <v>0</v>
      </c>
      <c r="R22" s="179">
        <f t="shared" si="4"/>
        <v>0</v>
      </c>
      <c r="S22" s="179">
        <f t="shared" si="4"/>
        <v>0</v>
      </c>
      <c r="T22" s="179">
        <f t="shared" si="4"/>
        <v>0</v>
      </c>
      <c r="U22" s="179">
        <f t="shared" si="4"/>
        <v>0</v>
      </c>
      <c r="V22" s="179">
        <f t="shared" si="4"/>
        <v>0</v>
      </c>
      <c r="W22" s="179">
        <f t="shared" si="4"/>
        <v>0</v>
      </c>
      <c r="X22" s="179">
        <f t="shared" si="4"/>
        <v>0</v>
      </c>
      <c r="Y22" s="179">
        <f t="shared" si="4"/>
        <v>0</v>
      </c>
      <c r="Z22" s="179">
        <f t="shared" si="4"/>
        <v>0</v>
      </c>
      <c r="AA22" s="179">
        <f t="shared" si="4"/>
        <v>0</v>
      </c>
      <c r="AB22" s="179">
        <f t="shared" si="4"/>
        <v>0</v>
      </c>
      <c r="AC22" s="179">
        <f t="shared" si="4"/>
        <v>0</v>
      </c>
      <c r="AD22" s="179">
        <f t="shared" si="4"/>
        <v>0</v>
      </c>
      <c r="AE22" s="179">
        <f t="shared" si="4"/>
        <v>0</v>
      </c>
      <c r="AF22" s="179">
        <f t="shared" si="4"/>
        <v>0</v>
      </c>
      <c r="AG22" s="179">
        <f t="shared" si="4"/>
        <v>0</v>
      </c>
      <c r="AH22" s="179">
        <f t="shared" si="4"/>
        <v>0</v>
      </c>
      <c r="AI22" s="179">
        <f t="shared" si="4"/>
        <v>0</v>
      </c>
      <c r="AJ22" s="179">
        <f t="shared" si="4"/>
        <v>0</v>
      </c>
      <c r="AK22" s="179">
        <f t="shared" si="4"/>
        <v>0</v>
      </c>
      <c r="AL22" s="179">
        <f t="shared" si="4"/>
        <v>0</v>
      </c>
      <c r="AM22" s="179">
        <f t="shared" si="4"/>
        <v>0</v>
      </c>
      <c r="AN22" s="179">
        <f t="shared" si="4"/>
        <v>0</v>
      </c>
      <c r="AO22" s="179">
        <f t="shared" si="4"/>
        <v>0</v>
      </c>
      <c r="AP22" s="179">
        <f t="shared" si="0"/>
        <v>0</v>
      </c>
      <c r="AQ22" s="179">
        <f t="shared" si="1"/>
        <v>0</v>
      </c>
    </row>
    <row r="23" spans="1:43" ht="21.75" customHeight="1" x14ac:dyDescent="0.25">
      <c r="A23" s="26" t="s">
        <v>234</v>
      </c>
      <c r="B23" s="94" t="s">
        <v>182</v>
      </c>
      <c r="C23" s="31"/>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f t="shared" si="0"/>
        <v>0</v>
      </c>
      <c r="AQ23" s="179">
        <f t="shared" si="1"/>
        <v>0</v>
      </c>
    </row>
    <row r="24" spans="1:43" ht="21.75" customHeight="1" x14ac:dyDescent="0.25">
      <c r="A24" s="26" t="s">
        <v>235</v>
      </c>
      <c r="B24" s="33" t="s">
        <v>569</v>
      </c>
      <c r="C24" s="31"/>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f t="shared" si="0"/>
        <v>0</v>
      </c>
      <c r="AQ24" s="179">
        <f t="shared" si="1"/>
        <v>0</v>
      </c>
    </row>
    <row r="25" spans="1:43" ht="21.75" customHeight="1" x14ac:dyDescent="0.25">
      <c r="A25" s="26" t="s">
        <v>236</v>
      </c>
      <c r="B25" s="33" t="s">
        <v>570</v>
      </c>
      <c r="C25" s="31"/>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f t="shared" si="0"/>
        <v>0</v>
      </c>
      <c r="AQ25" s="179">
        <f t="shared" si="1"/>
        <v>0</v>
      </c>
    </row>
    <row r="26" spans="1:43" ht="21.75" customHeight="1" x14ac:dyDescent="0.25">
      <c r="A26" s="26" t="s">
        <v>237</v>
      </c>
      <c r="B26" s="33" t="s">
        <v>126</v>
      </c>
      <c r="C26" s="31"/>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f t="shared" si="0"/>
        <v>0</v>
      </c>
      <c r="AQ26" s="179">
        <f t="shared" si="1"/>
        <v>0</v>
      </c>
    </row>
    <row r="27" spans="1:43" ht="21.75" customHeight="1" x14ac:dyDescent="0.25">
      <c r="A27" s="26" t="s">
        <v>238</v>
      </c>
      <c r="B27" s="236" t="s">
        <v>847</v>
      </c>
      <c r="C27" s="31"/>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f t="shared" si="0"/>
        <v>0</v>
      </c>
      <c r="AQ27" s="179">
        <f t="shared" si="1"/>
        <v>0</v>
      </c>
    </row>
    <row r="28" spans="1:43" s="35" customFormat="1" ht="21.75" customHeight="1" x14ac:dyDescent="0.25">
      <c r="A28" s="26" t="s">
        <v>239</v>
      </c>
      <c r="B28" s="34" t="s">
        <v>32</v>
      </c>
      <c r="C28" s="27"/>
      <c r="D28" s="180">
        <f>+D9+D10+D11+D12+D13+D23+D24</f>
        <v>31791958</v>
      </c>
      <c r="E28" s="180">
        <f t="shared" ref="E28:AO28" si="5">+E9+E10+E11+E12+E13+E23+E24</f>
        <v>63201781</v>
      </c>
      <c r="F28" s="180">
        <f t="shared" si="5"/>
        <v>122940821</v>
      </c>
      <c r="G28" s="180">
        <f t="shared" si="5"/>
        <v>126405929</v>
      </c>
      <c r="H28" s="180">
        <f t="shared" si="5"/>
        <v>49610001</v>
      </c>
      <c r="I28" s="180">
        <f t="shared" si="5"/>
        <v>53145244</v>
      </c>
      <c r="J28" s="180">
        <f t="shared" si="5"/>
        <v>26024882</v>
      </c>
      <c r="K28" s="180">
        <f t="shared" si="5"/>
        <v>28933826</v>
      </c>
      <c r="L28" s="180">
        <f t="shared" si="5"/>
        <v>20715274</v>
      </c>
      <c r="M28" s="180">
        <f t="shared" si="5"/>
        <v>20976414</v>
      </c>
      <c r="N28" s="180">
        <f t="shared" si="5"/>
        <v>29836603</v>
      </c>
      <c r="O28" s="180">
        <f t="shared" si="5"/>
        <v>38936078</v>
      </c>
      <c r="P28" s="180">
        <f t="shared" si="5"/>
        <v>13473851</v>
      </c>
      <c r="Q28" s="180">
        <f t="shared" si="5"/>
        <v>19623135</v>
      </c>
      <c r="R28" s="180">
        <f t="shared" si="5"/>
        <v>19023432</v>
      </c>
      <c r="S28" s="180">
        <f t="shared" si="5"/>
        <v>20963291</v>
      </c>
      <c r="T28" s="180">
        <f t="shared" si="5"/>
        <v>40472516</v>
      </c>
      <c r="U28" s="180">
        <f t="shared" si="5"/>
        <v>40952516</v>
      </c>
      <c r="V28" s="180">
        <f t="shared" si="5"/>
        <v>20906466</v>
      </c>
      <c r="W28" s="180">
        <f t="shared" si="5"/>
        <v>21132466</v>
      </c>
      <c r="X28" s="180">
        <f t="shared" si="5"/>
        <v>116669077</v>
      </c>
      <c r="Y28" s="180">
        <f t="shared" si="5"/>
        <v>140031477</v>
      </c>
      <c r="Z28" s="180">
        <f t="shared" si="5"/>
        <v>30011425</v>
      </c>
      <c r="AA28" s="180">
        <f t="shared" si="5"/>
        <v>30447948</v>
      </c>
      <c r="AB28" s="180">
        <f t="shared" si="5"/>
        <v>209188145</v>
      </c>
      <c r="AC28" s="180">
        <f t="shared" si="5"/>
        <v>227468690</v>
      </c>
      <c r="AD28" s="180">
        <f t="shared" si="5"/>
        <v>305890958</v>
      </c>
      <c r="AE28" s="180">
        <f t="shared" si="5"/>
        <v>372815605</v>
      </c>
      <c r="AF28" s="180">
        <f t="shared" si="5"/>
        <v>15966712</v>
      </c>
      <c r="AG28" s="180">
        <f t="shared" si="5"/>
        <v>25815149</v>
      </c>
      <c r="AH28" s="180">
        <f t="shared" si="5"/>
        <v>11608829</v>
      </c>
      <c r="AI28" s="180">
        <f t="shared" si="5"/>
        <v>11832947</v>
      </c>
      <c r="AJ28" s="180">
        <f t="shared" si="5"/>
        <v>0</v>
      </c>
      <c r="AK28" s="180">
        <f t="shared" si="5"/>
        <v>0</v>
      </c>
      <c r="AL28" s="180">
        <f t="shared" si="5"/>
        <v>2159000</v>
      </c>
      <c r="AM28" s="180">
        <f t="shared" si="5"/>
        <v>2801370</v>
      </c>
      <c r="AN28" s="180">
        <f t="shared" si="5"/>
        <v>6432074</v>
      </c>
      <c r="AO28" s="180">
        <f t="shared" si="5"/>
        <v>15653064</v>
      </c>
      <c r="AP28" s="180">
        <f t="shared" si="0"/>
        <v>1072722024</v>
      </c>
      <c r="AQ28" s="180">
        <f t="shared" si="1"/>
        <v>1261136930</v>
      </c>
    </row>
    <row r="29" spans="1:43" s="35" customFormat="1" ht="21.75" customHeight="1" x14ac:dyDescent="0.25">
      <c r="A29" s="26" t="s">
        <v>266</v>
      </c>
      <c r="B29" s="34" t="s">
        <v>33</v>
      </c>
      <c r="C29" s="27"/>
      <c r="D29" s="180">
        <f>+D17+D18+D19+D25+D26</f>
        <v>0</v>
      </c>
      <c r="E29" s="180">
        <f t="shared" ref="E29:AO29" si="6">+E17+E18+E19+E25+E26</f>
        <v>0</v>
      </c>
      <c r="F29" s="180">
        <f t="shared" si="6"/>
        <v>5190490</v>
      </c>
      <c r="G29" s="180">
        <f t="shared" si="6"/>
        <v>3290490</v>
      </c>
      <c r="H29" s="180">
        <f t="shared" si="6"/>
        <v>381000</v>
      </c>
      <c r="I29" s="180">
        <f t="shared" si="6"/>
        <v>381000</v>
      </c>
      <c r="J29" s="180">
        <f t="shared" si="6"/>
        <v>254000</v>
      </c>
      <c r="K29" s="180">
        <f t="shared" si="6"/>
        <v>254000</v>
      </c>
      <c r="L29" s="180">
        <f t="shared" si="6"/>
        <v>63500</v>
      </c>
      <c r="M29" s="180">
        <f t="shared" si="6"/>
        <v>63500</v>
      </c>
      <c r="N29" s="180">
        <f t="shared" si="6"/>
        <v>635000</v>
      </c>
      <c r="O29" s="180">
        <f t="shared" si="6"/>
        <v>801366</v>
      </c>
      <c r="P29" s="180">
        <f t="shared" si="6"/>
        <v>254000</v>
      </c>
      <c r="Q29" s="180">
        <f t="shared" si="6"/>
        <v>364730</v>
      </c>
      <c r="R29" s="180">
        <f t="shared" si="6"/>
        <v>635000</v>
      </c>
      <c r="S29" s="180">
        <f t="shared" si="6"/>
        <v>635000</v>
      </c>
      <c r="T29" s="180">
        <f t="shared" si="6"/>
        <v>508000</v>
      </c>
      <c r="U29" s="180">
        <f t="shared" si="6"/>
        <v>508000</v>
      </c>
      <c r="V29" s="180">
        <f t="shared" si="6"/>
        <v>635000</v>
      </c>
      <c r="W29" s="180">
        <f t="shared" si="6"/>
        <v>635000</v>
      </c>
      <c r="X29" s="180">
        <f t="shared" si="6"/>
        <v>698500</v>
      </c>
      <c r="Y29" s="180">
        <f t="shared" si="6"/>
        <v>698500</v>
      </c>
      <c r="Z29" s="180">
        <f t="shared" si="6"/>
        <v>254000</v>
      </c>
      <c r="AA29" s="180">
        <f t="shared" si="6"/>
        <v>346342</v>
      </c>
      <c r="AB29" s="180">
        <f t="shared" si="6"/>
        <v>0</v>
      </c>
      <c r="AC29" s="180">
        <f t="shared" si="6"/>
        <v>0</v>
      </c>
      <c r="AD29" s="180">
        <f t="shared" si="6"/>
        <v>508000</v>
      </c>
      <c r="AE29" s="180">
        <f t="shared" si="6"/>
        <v>716280</v>
      </c>
      <c r="AF29" s="180">
        <f t="shared" si="6"/>
        <v>0</v>
      </c>
      <c r="AG29" s="180">
        <f t="shared" si="6"/>
        <v>0</v>
      </c>
      <c r="AH29" s="180">
        <f t="shared" si="6"/>
        <v>0</v>
      </c>
      <c r="AI29" s="180">
        <f t="shared" si="6"/>
        <v>0</v>
      </c>
      <c r="AJ29" s="180">
        <f t="shared" si="6"/>
        <v>0</v>
      </c>
      <c r="AK29" s="180">
        <f t="shared" si="6"/>
        <v>0</v>
      </c>
      <c r="AL29" s="180">
        <f t="shared" si="6"/>
        <v>0</v>
      </c>
      <c r="AM29" s="180">
        <f t="shared" si="6"/>
        <v>0</v>
      </c>
      <c r="AN29" s="180">
        <f t="shared" si="6"/>
        <v>0</v>
      </c>
      <c r="AO29" s="180">
        <f t="shared" si="6"/>
        <v>0</v>
      </c>
      <c r="AP29" s="180">
        <f t="shared" si="0"/>
        <v>10016490</v>
      </c>
      <c r="AQ29" s="180">
        <f t="shared" si="1"/>
        <v>8694208</v>
      </c>
    </row>
    <row r="30" spans="1:43" s="35" customFormat="1" ht="21.75" customHeight="1" x14ac:dyDescent="0.25">
      <c r="A30" s="26" t="s">
        <v>267</v>
      </c>
      <c r="B30" s="34" t="s">
        <v>333</v>
      </c>
      <c r="C30" s="27" t="s">
        <v>31</v>
      </c>
      <c r="D30" s="180">
        <f>SUM(D28:D29)</f>
        <v>31791958</v>
      </c>
      <c r="E30" s="180">
        <f t="shared" ref="E30:AO30" si="7">SUM(E28:E29)</f>
        <v>63201781</v>
      </c>
      <c r="F30" s="180">
        <f t="shared" si="7"/>
        <v>128131311</v>
      </c>
      <c r="G30" s="180">
        <f t="shared" si="7"/>
        <v>129696419</v>
      </c>
      <c r="H30" s="180">
        <f t="shared" si="7"/>
        <v>49991001</v>
      </c>
      <c r="I30" s="180">
        <f t="shared" si="7"/>
        <v>53526244</v>
      </c>
      <c r="J30" s="180">
        <f t="shared" si="7"/>
        <v>26278882</v>
      </c>
      <c r="K30" s="180">
        <f t="shared" si="7"/>
        <v>29187826</v>
      </c>
      <c r="L30" s="180">
        <f t="shared" si="7"/>
        <v>20778774</v>
      </c>
      <c r="M30" s="180">
        <f t="shared" si="7"/>
        <v>21039914</v>
      </c>
      <c r="N30" s="180">
        <f t="shared" si="7"/>
        <v>30471603</v>
      </c>
      <c r="O30" s="180">
        <f t="shared" si="7"/>
        <v>39737444</v>
      </c>
      <c r="P30" s="180">
        <f t="shared" si="7"/>
        <v>13727851</v>
      </c>
      <c r="Q30" s="180">
        <f t="shared" si="7"/>
        <v>19987865</v>
      </c>
      <c r="R30" s="180">
        <f t="shared" si="7"/>
        <v>19658432</v>
      </c>
      <c r="S30" s="180">
        <f t="shared" si="7"/>
        <v>21598291</v>
      </c>
      <c r="T30" s="180">
        <f t="shared" si="7"/>
        <v>40980516</v>
      </c>
      <c r="U30" s="180">
        <f t="shared" si="7"/>
        <v>41460516</v>
      </c>
      <c r="V30" s="180">
        <f t="shared" si="7"/>
        <v>21541466</v>
      </c>
      <c r="W30" s="180">
        <f t="shared" si="7"/>
        <v>21767466</v>
      </c>
      <c r="X30" s="180">
        <f t="shared" si="7"/>
        <v>117367577</v>
      </c>
      <c r="Y30" s="180">
        <f t="shared" si="7"/>
        <v>140729977</v>
      </c>
      <c r="Z30" s="180">
        <f t="shared" si="7"/>
        <v>30265425</v>
      </c>
      <c r="AA30" s="180">
        <f t="shared" si="7"/>
        <v>30794290</v>
      </c>
      <c r="AB30" s="180">
        <f t="shared" si="7"/>
        <v>209188145</v>
      </c>
      <c r="AC30" s="180">
        <f t="shared" si="7"/>
        <v>227468690</v>
      </c>
      <c r="AD30" s="180">
        <f t="shared" si="7"/>
        <v>306398958</v>
      </c>
      <c r="AE30" s="180">
        <f t="shared" si="7"/>
        <v>373531885</v>
      </c>
      <c r="AF30" s="180">
        <f t="shared" si="7"/>
        <v>15966712</v>
      </c>
      <c r="AG30" s="180">
        <f t="shared" si="7"/>
        <v>25815149</v>
      </c>
      <c r="AH30" s="180">
        <f t="shared" si="7"/>
        <v>11608829</v>
      </c>
      <c r="AI30" s="180">
        <f t="shared" si="7"/>
        <v>11832947</v>
      </c>
      <c r="AJ30" s="180">
        <f t="shared" si="7"/>
        <v>0</v>
      </c>
      <c r="AK30" s="180">
        <f t="shared" si="7"/>
        <v>0</v>
      </c>
      <c r="AL30" s="180">
        <f t="shared" si="7"/>
        <v>2159000</v>
      </c>
      <c r="AM30" s="180">
        <f t="shared" si="7"/>
        <v>2801370</v>
      </c>
      <c r="AN30" s="180">
        <f t="shared" si="7"/>
        <v>6432074</v>
      </c>
      <c r="AO30" s="180">
        <f t="shared" si="7"/>
        <v>15653064</v>
      </c>
      <c r="AP30" s="180">
        <f t="shared" si="0"/>
        <v>1082738514</v>
      </c>
      <c r="AQ30" s="180">
        <f t="shared" si="1"/>
        <v>1269831138</v>
      </c>
    </row>
    <row r="31" spans="1:43" ht="21.75" customHeight="1" x14ac:dyDescent="0.25">
      <c r="A31" s="26" t="s">
        <v>268</v>
      </c>
      <c r="B31" s="28" t="s">
        <v>52</v>
      </c>
      <c r="C31" s="32" t="s">
        <v>215</v>
      </c>
      <c r="D31" s="179"/>
      <c r="E31" s="179"/>
      <c r="F31" s="179"/>
      <c r="G31" s="179"/>
      <c r="H31" s="179"/>
      <c r="I31" s="179"/>
      <c r="J31" s="179"/>
      <c r="K31" s="179"/>
      <c r="L31" s="179"/>
      <c r="M31" s="179"/>
      <c r="N31" s="179"/>
      <c r="O31" s="179"/>
      <c r="P31" s="179"/>
      <c r="Q31" s="179"/>
      <c r="R31" s="179"/>
      <c r="S31" s="179"/>
      <c r="T31" s="179"/>
      <c r="U31" s="179"/>
      <c r="V31" s="179"/>
      <c r="W31" s="179"/>
      <c r="X31" s="181">
        <v>85000000</v>
      </c>
      <c r="Y31" s="181">
        <f>85000000+20000000+2232400</f>
        <v>107232400</v>
      </c>
      <c r="Z31" s="181">
        <v>2000000</v>
      </c>
      <c r="AA31" s="181">
        <v>2000000</v>
      </c>
      <c r="AB31" s="181"/>
      <c r="AC31" s="181"/>
      <c r="AD31" s="181"/>
      <c r="AE31" s="181"/>
      <c r="AF31" s="181"/>
      <c r="AG31" s="181"/>
      <c r="AH31" s="181"/>
      <c r="AI31" s="181"/>
      <c r="AJ31" s="179"/>
      <c r="AK31" s="179"/>
      <c r="AL31" s="179"/>
      <c r="AM31" s="179"/>
      <c r="AN31" s="179"/>
      <c r="AO31" s="179"/>
      <c r="AP31" s="179">
        <f t="shared" si="0"/>
        <v>87000000</v>
      </c>
      <c r="AQ31" s="179">
        <f t="shared" si="1"/>
        <v>109232400</v>
      </c>
    </row>
    <row r="32" spans="1:43" ht="21.75" customHeight="1" x14ac:dyDescent="0.25">
      <c r="A32" s="26" t="s">
        <v>269</v>
      </c>
      <c r="B32" s="28" t="s">
        <v>226</v>
      </c>
      <c r="C32" s="32" t="s">
        <v>216</v>
      </c>
      <c r="D32" s="179"/>
      <c r="E32" s="179"/>
      <c r="F32" s="179"/>
      <c r="G32" s="179"/>
      <c r="H32" s="179"/>
      <c r="I32" s="179"/>
      <c r="J32" s="179"/>
      <c r="K32" s="179"/>
      <c r="L32" s="179"/>
      <c r="M32" s="179"/>
      <c r="N32" s="179"/>
      <c r="O32" s="179"/>
      <c r="P32" s="179"/>
      <c r="Q32" s="179"/>
      <c r="R32" s="179"/>
      <c r="S32" s="179"/>
      <c r="T32" s="179"/>
      <c r="U32" s="179"/>
      <c r="V32" s="179"/>
      <c r="W32" s="179"/>
      <c r="X32" s="181"/>
      <c r="Y32" s="181"/>
      <c r="Z32" s="181"/>
      <c r="AA32" s="181"/>
      <c r="AB32" s="181"/>
      <c r="AC32" s="181"/>
      <c r="AD32" s="181"/>
      <c r="AE32" s="181"/>
      <c r="AF32" s="181"/>
      <c r="AG32" s="181"/>
      <c r="AH32" s="181"/>
      <c r="AI32" s="181"/>
      <c r="AJ32" s="179"/>
      <c r="AK32" s="179"/>
      <c r="AL32" s="179"/>
      <c r="AM32" s="179"/>
      <c r="AN32" s="179"/>
      <c r="AO32" s="179"/>
      <c r="AP32" s="179">
        <f t="shared" si="0"/>
        <v>0</v>
      </c>
      <c r="AQ32" s="179">
        <f t="shared" si="1"/>
        <v>0</v>
      </c>
    </row>
    <row r="33" spans="1:43" ht="21.75" customHeight="1" x14ac:dyDescent="0.25">
      <c r="A33" s="26" t="s">
        <v>270</v>
      </c>
      <c r="B33" s="28" t="s">
        <v>225</v>
      </c>
      <c r="C33" s="32" t="s">
        <v>217</v>
      </c>
      <c r="D33" s="179"/>
      <c r="E33" s="179"/>
      <c r="F33" s="179"/>
      <c r="G33" s="179"/>
      <c r="H33" s="179"/>
      <c r="I33" s="179"/>
      <c r="J33" s="179"/>
      <c r="K33" s="179"/>
      <c r="L33" s="179"/>
      <c r="M33" s="179"/>
      <c r="N33" s="179"/>
      <c r="O33" s="179"/>
      <c r="P33" s="179"/>
      <c r="Q33" s="179"/>
      <c r="R33" s="179"/>
      <c r="S33" s="179"/>
      <c r="T33" s="179"/>
      <c r="U33" s="179"/>
      <c r="V33" s="179"/>
      <c r="W33" s="179"/>
      <c r="X33" s="181"/>
      <c r="Y33" s="181"/>
      <c r="Z33" s="181"/>
      <c r="AA33" s="181"/>
      <c r="AB33" s="181"/>
      <c r="AC33" s="181"/>
      <c r="AD33" s="181"/>
      <c r="AE33" s="181"/>
      <c r="AF33" s="181"/>
      <c r="AG33" s="181"/>
      <c r="AH33" s="181"/>
      <c r="AI33" s="181"/>
      <c r="AJ33" s="179"/>
      <c r="AK33" s="179"/>
      <c r="AL33" s="179"/>
      <c r="AM33" s="179"/>
      <c r="AN33" s="179"/>
      <c r="AO33" s="179"/>
      <c r="AP33" s="179">
        <f t="shared" si="0"/>
        <v>0</v>
      </c>
      <c r="AQ33" s="179">
        <f t="shared" si="1"/>
        <v>0</v>
      </c>
    </row>
    <row r="34" spans="1:43" ht="21.75" customHeight="1" x14ac:dyDescent="0.25">
      <c r="A34" s="26" t="s">
        <v>271</v>
      </c>
      <c r="B34" s="29" t="s">
        <v>0</v>
      </c>
      <c r="C34" s="32" t="s">
        <v>218</v>
      </c>
      <c r="D34" s="179"/>
      <c r="E34" s="179"/>
      <c r="F34" s="181">
        <v>2824100</v>
      </c>
      <c r="G34" s="181">
        <f>2824100+211770+31641+8544+1500000+405000+10000-92451-342409-39</f>
        <v>4556156</v>
      </c>
      <c r="H34" s="181">
        <v>5715000</v>
      </c>
      <c r="I34" s="181">
        <f>5715000+1000000+270000+747742+201893</f>
        <v>7934635</v>
      </c>
      <c r="J34" s="181">
        <v>3000000</v>
      </c>
      <c r="K34" s="181">
        <f>3000000-2500</f>
        <v>2997500</v>
      </c>
      <c r="L34" s="181">
        <v>800000</v>
      </c>
      <c r="M34" s="181">
        <f>800000+300000-151860</f>
        <v>948140</v>
      </c>
      <c r="N34" s="179">
        <v>6200000</v>
      </c>
      <c r="O34" s="179">
        <f>6200000+52683+137182+1000000+500000-127748-194208</f>
        <v>7567909</v>
      </c>
      <c r="P34" s="179"/>
      <c r="Q34" s="179"/>
      <c r="R34" s="179"/>
      <c r="S34" s="179"/>
      <c r="T34" s="179"/>
      <c r="U34" s="179"/>
      <c r="V34" s="179"/>
      <c r="W34" s="179"/>
      <c r="X34" s="181"/>
      <c r="Y34" s="181"/>
      <c r="Z34" s="181"/>
      <c r="AA34" s="181"/>
      <c r="AB34" s="181">
        <v>40030000</v>
      </c>
      <c r="AC34" s="181">
        <f>40030000+2976315+803552+50000+2000000+4500000+1215000+5000000+2000000+3739294+366409-67109-30933-474000-18116+2</f>
        <v>62090414</v>
      </c>
      <c r="AD34" s="181">
        <v>84870000</v>
      </c>
      <c r="AE34" s="181">
        <f>84870000+21250142+5737666+6+4000000+100000+6000000+1620000+15000000+5000000+7585049+1105509-184000-993-76194-104512-49347</f>
        <v>151853326</v>
      </c>
      <c r="AF34" s="181">
        <v>2452000</v>
      </c>
      <c r="AG34" s="181">
        <f>2452000+499158+134784+396377+107080+351759+94987+1000000+270000+59680+500000+1000000+270000+500000+1000000+234993-166386-182-183680</f>
        <v>8520570</v>
      </c>
      <c r="AH34" s="181">
        <v>3340000</v>
      </c>
      <c r="AI34" s="181">
        <f>3340000+157851+42619+1+150000-12403-45950-68000</f>
        <v>3564118</v>
      </c>
      <c r="AJ34" s="179">
        <v>31791958</v>
      </c>
      <c r="AK34" s="179">
        <f>31791958-52683-24883466-6718621-137188</f>
        <v>0</v>
      </c>
      <c r="AL34" s="179">
        <v>699500</v>
      </c>
      <c r="AM34" s="179">
        <f>699500+281764+75802+2418+652-1000-2418-652</f>
        <v>1056066</v>
      </c>
      <c r="AN34" s="179">
        <v>6450000</v>
      </c>
      <c r="AO34" s="179">
        <f>6450000+2000000+540000+2000000+540000+2000000+540000+2000000+540000-993748-3484047-100000</f>
        <v>12032205</v>
      </c>
      <c r="AP34" s="179">
        <f t="shared" si="0"/>
        <v>188172558</v>
      </c>
      <c r="AQ34" s="179">
        <f t="shared" si="1"/>
        <v>263121039</v>
      </c>
    </row>
    <row r="35" spans="1:43" ht="21.75" customHeight="1" x14ac:dyDescent="0.25">
      <c r="A35" s="26" t="s">
        <v>272</v>
      </c>
      <c r="B35" s="28" t="s">
        <v>248</v>
      </c>
      <c r="C35" s="32" t="s">
        <v>219</v>
      </c>
      <c r="D35" s="179"/>
      <c r="E35" s="179"/>
      <c r="F35" s="179"/>
      <c r="G35" s="179">
        <v>5000</v>
      </c>
      <c r="H35" s="179"/>
      <c r="I35" s="179"/>
      <c r="J35" s="179"/>
      <c r="K35" s="179"/>
      <c r="L35" s="179"/>
      <c r="M35" s="179"/>
      <c r="N35" s="179"/>
      <c r="O35" s="179"/>
      <c r="P35" s="179"/>
      <c r="Q35" s="179"/>
      <c r="R35" s="179"/>
      <c r="S35" s="179"/>
      <c r="T35" s="179"/>
      <c r="U35" s="179"/>
      <c r="V35" s="179"/>
      <c r="W35" s="179"/>
      <c r="X35" s="181"/>
      <c r="Y35" s="181"/>
      <c r="Z35" s="181"/>
      <c r="AA35" s="181"/>
      <c r="AB35" s="181"/>
      <c r="AC35" s="181"/>
      <c r="AD35" s="181"/>
      <c r="AE35" s="181"/>
      <c r="AF35" s="181"/>
      <c r="AG35" s="181"/>
      <c r="AH35" s="181"/>
      <c r="AI35" s="181"/>
      <c r="AJ35" s="179"/>
      <c r="AK35" s="179"/>
      <c r="AL35" s="179"/>
      <c r="AM35" s="179"/>
      <c r="AN35" s="179"/>
      <c r="AO35" s="179"/>
      <c r="AP35" s="179">
        <f t="shared" si="0"/>
        <v>0</v>
      </c>
      <c r="AQ35" s="179">
        <f t="shared" si="1"/>
        <v>5000</v>
      </c>
    </row>
    <row r="36" spans="1:43" ht="21.75" customHeight="1" x14ac:dyDescent="0.25">
      <c r="A36" s="26" t="s">
        <v>273</v>
      </c>
      <c r="B36" s="28" t="s">
        <v>243</v>
      </c>
      <c r="C36" s="32" t="s">
        <v>220</v>
      </c>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f t="shared" si="0"/>
        <v>0</v>
      </c>
      <c r="AQ36" s="179">
        <f t="shared" si="1"/>
        <v>0</v>
      </c>
    </row>
    <row r="37" spans="1:43" ht="21.75" customHeight="1" x14ac:dyDescent="0.25">
      <c r="A37" s="26" t="s">
        <v>274</v>
      </c>
      <c r="B37" s="28" t="s">
        <v>244</v>
      </c>
      <c r="C37" s="32" t="s">
        <v>221</v>
      </c>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f t="shared" si="0"/>
        <v>0</v>
      </c>
      <c r="AQ37" s="179">
        <f t="shared" si="1"/>
        <v>0</v>
      </c>
    </row>
    <row r="38" spans="1:43" ht="21.75" customHeight="1" x14ac:dyDescent="0.25">
      <c r="A38" s="26" t="s">
        <v>275</v>
      </c>
      <c r="B38" s="29" t="s">
        <v>245</v>
      </c>
      <c r="C38" s="32" t="s">
        <v>222</v>
      </c>
      <c r="D38" s="179">
        <f>+D31+D32+D33+D34+D35+D36+D37</f>
        <v>0</v>
      </c>
      <c r="E38" s="179">
        <f t="shared" ref="E38:AO38" si="8">+E31+E32+E33+E34+E35+E36+E37</f>
        <v>0</v>
      </c>
      <c r="F38" s="179">
        <f t="shared" si="8"/>
        <v>2824100</v>
      </c>
      <c r="G38" s="179">
        <f t="shared" si="8"/>
        <v>4561156</v>
      </c>
      <c r="H38" s="179">
        <f t="shared" si="8"/>
        <v>5715000</v>
      </c>
      <c r="I38" s="179">
        <f t="shared" si="8"/>
        <v>7934635</v>
      </c>
      <c r="J38" s="179">
        <f t="shared" si="8"/>
        <v>3000000</v>
      </c>
      <c r="K38" s="179">
        <f t="shared" si="8"/>
        <v>2997500</v>
      </c>
      <c r="L38" s="179">
        <f t="shared" si="8"/>
        <v>800000</v>
      </c>
      <c r="M38" s="179">
        <f t="shared" si="8"/>
        <v>948140</v>
      </c>
      <c r="N38" s="179">
        <f t="shared" si="8"/>
        <v>6200000</v>
      </c>
      <c r="O38" s="179">
        <f t="shared" si="8"/>
        <v>7567909</v>
      </c>
      <c r="P38" s="179">
        <f t="shared" si="8"/>
        <v>0</v>
      </c>
      <c r="Q38" s="179">
        <f t="shared" si="8"/>
        <v>0</v>
      </c>
      <c r="R38" s="179">
        <f t="shared" si="8"/>
        <v>0</v>
      </c>
      <c r="S38" s="179">
        <f t="shared" si="8"/>
        <v>0</v>
      </c>
      <c r="T38" s="179">
        <f t="shared" si="8"/>
        <v>0</v>
      </c>
      <c r="U38" s="179">
        <f t="shared" si="8"/>
        <v>0</v>
      </c>
      <c r="V38" s="179">
        <f t="shared" si="8"/>
        <v>0</v>
      </c>
      <c r="W38" s="179">
        <f t="shared" si="8"/>
        <v>0</v>
      </c>
      <c r="X38" s="179">
        <f t="shared" si="8"/>
        <v>85000000</v>
      </c>
      <c r="Y38" s="179">
        <f t="shared" si="8"/>
        <v>107232400</v>
      </c>
      <c r="Z38" s="179">
        <f t="shared" si="8"/>
        <v>2000000</v>
      </c>
      <c r="AA38" s="179">
        <f t="shared" si="8"/>
        <v>2000000</v>
      </c>
      <c r="AB38" s="179">
        <f t="shared" si="8"/>
        <v>40030000</v>
      </c>
      <c r="AC38" s="179">
        <f t="shared" si="8"/>
        <v>62090414</v>
      </c>
      <c r="AD38" s="179">
        <f t="shared" si="8"/>
        <v>84870000</v>
      </c>
      <c r="AE38" s="179">
        <f t="shared" si="8"/>
        <v>151853326</v>
      </c>
      <c r="AF38" s="179">
        <f t="shared" si="8"/>
        <v>2452000</v>
      </c>
      <c r="AG38" s="179">
        <f t="shared" si="8"/>
        <v>8520570</v>
      </c>
      <c r="AH38" s="179">
        <f t="shared" si="8"/>
        <v>3340000</v>
      </c>
      <c r="AI38" s="179">
        <f t="shared" si="8"/>
        <v>3564118</v>
      </c>
      <c r="AJ38" s="179">
        <f t="shared" si="8"/>
        <v>31791958</v>
      </c>
      <c r="AK38" s="179">
        <f t="shared" si="8"/>
        <v>0</v>
      </c>
      <c r="AL38" s="179">
        <f t="shared" si="8"/>
        <v>699500</v>
      </c>
      <c r="AM38" s="179">
        <f t="shared" si="8"/>
        <v>1056066</v>
      </c>
      <c r="AN38" s="179">
        <f t="shared" si="8"/>
        <v>6450000</v>
      </c>
      <c r="AO38" s="179">
        <f t="shared" si="8"/>
        <v>12032205</v>
      </c>
      <c r="AP38" s="179">
        <f t="shared" si="0"/>
        <v>275172558</v>
      </c>
      <c r="AQ38" s="179">
        <f t="shared" si="1"/>
        <v>372358439</v>
      </c>
    </row>
    <row r="39" spans="1:43" ht="21.75" customHeight="1" x14ac:dyDescent="0.25">
      <c r="A39" s="26" t="s">
        <v>276</v>
      </c>
      <c r="B39" s="32" t="s">
        <v>246</v>
      </c>
      <c r="C39" s="27" t="s">
        <v>224</v>
      </c>
      <c r="D39" s="179">
        <f>SUM(D41:D45)</f>
        <v>807565956</v>
      </c>
      <c r="E39" s="179">
        <f t="shared" ref="E39:AO39" si="9">SUM(E41:E45)</f>
        <v>897472699</v>
      </c>
      <c r="F39" s="179">
        <f t="shared" si="9"/>
        <v>0</v>
      </c>
      <c r="G39" s="179">
        <f t="shared" si="9"/>
        <v>0</v>
      </c>
      <c r="H39" s="179">
        <f t="shared" si="9"/>
        <v>0</v>
      </c>
      <c r="I39" s="179">
        <f t="shared" si="9"/>
        <v>0</v>
      </c>
      <c r="J39" s="179">
        <f t="shared" si="9"/>
        <v>0</v>
      </c>
      <c r="K39" s="179">
        <f t="shared" si="9"/>
        <v>0</v>
      </c>
      <c r="L39" s="179">
        <f t="shared" si="9"/>
        <v>0</v>
      </c>
      <c r="M39" s="179">
        <f t="shared" si="9"/>
        <v>0</v>
      </c>
      <c r="N39" s="179">
        <f t="shared" si="9"/>
        <v>0</v>
      </c>
      <c r="O39" s="179">
        <f t="shared" si="9"/>
        <v>0</v>
      </c>
      <c r="P39" s="179">
        <f t="shared" si="9"/>
        <v>0</v>
      </c>
      <c r="Q39" s="179">
        <f t="shared" si="9"/>
        <v>0</v>
      </c>
      <c r="R39" s="179">
        <f t="shared" si="9"/>
        <v>0</v>
      </c>
      <c r="S39" s="179">
        <f t="shared" si="9"/>
        <v>0</v>
      </c>
      <c r="T39" s="179">
        <f t="shared" si="9"/>
        <v>0</v>
      </c>
      <c r="U39" s="179">
        <f t="shared" si="9"/>
        <v>0</v>
      </c>
      <c r="V39" s="179">
        <f t="shared" si="9"/>
        <v>0</v>
      </c>
      <c r="W39" s="179">
        <f t="shared" si="9"/>
        <v>0</v>
      </c>
      <c r="X39" s="179">
        <f t="shared" si="9"/>
        <v>0</v>
      </c>
      <c r="Y39" s="179">
        <f t="shared" si="9"/>
        <v>0</v>
      </c>
      <c r="Z39" s="179">
        <f t="shared" si="9"/>
        <v>0</v>
      </c>
      <c r="AA39" s="179">
        <f t="shared" si="9"/>
        <v>0</v>
      </c>
      <c r="AB39" s="179">
        <f t="shared" si="9"/>
        <v>0</v>
      </c>
      <c r="AC39" s="179">
        <f t="shared" si="9"/>
        <v>0</v>
      </c>
      <c r="AD39" s="179">
        <f t="shared" si="9"/>
        <v>0</v>
      </c>
      <c r="AE39" s="179">
        <f t="shared" si="9"/>
        <v>0</v>
      </c>
      <c r="AF39" s="179">
        <f t="shared" si="9"/>
        <v>0</v>
      </c>
      <c r="AG39" s="179">
        <f t="shared" si="9"/>
        <v>0</v>
      </c>
      <c r="AH39" s="179">
        <f t="shared" si="9"/>
        <v>0</v>
      </c>
      <c r="AI39" s="179">
        <f t="shared" si="9"/>
        <v>0</v>
      </c>
      <c r="AJ39" s="179">
        <f t="shared" si="9"/>
        <v>0</v>
      </c>
      <c r="AK39" s="179">
        <f t="shared" si="9"/>
        <v>0</v>
      </c>
      <c r="AL39" s="179">
        <f t="shared" si="9"/>
        <v>0</v>
      </c>
      <c r="AM39" s="179">
        <f t="shared" si="9"/>
        <v>0</v>
      </c>
      <c r="AN39" s="179">
        <f t="shared" si="9"/>
        <v>0</v>
      </c>
      <c r="AO39" s="179">
        <f t="shared" si="9"/>
        <v>0</v>
      </c>
      <c r="AP39" s="179">
        <f t="shared" si="0"/>
        <v>807565956</v>
      </c>
      <c r="AQ39" s="179">
        <f t="shared" si="1"/>
        <v>897472699</v>
      </c>
    </row>
    <row r="40" spans="1:43" ht="21.75" customHeight="1" x14ac:dyDescent="0.25">
      <c r="A40" s="26" t="s">
        <v>277</v>
      </c>
      <c r="B40" s="94" t="s">
        <v>582</v>
      </c>
      <c r="C40" s="27"/>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f t="shared" si="0"/>
        <v>0</v>
      </c>
      <c r="AQ40" s="179">
        <f t="shared" si="1"/>
        <v>0</v>
      </c>
    </row>
    <row r="41" spans="1:43" ht="21.75" customHeight="1" x14ac:dyDescent="0.25">
      <c r="A41" s="26" t="s">
        <v>278</v>
      </c>
      <c r="B41" s="33" t="s">
        <v>882</v>
      </c>
      <c r="C41" s="31"/>
      <c r="D41" s="179">
        <f>2952098+12644817</f>
        <v>15596915</v>
      </c>
      <c r="E41" s="179">
        <f>2952098+12644817+63201781</f>
        <v>78798696</v>
      </c>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f t="shared" si="0"/>
        <v>15596915</v>
      </c>
      <c r="AQ41" s="179">
        <f t="shared" si="1"/>
        <v>78798696</v>
      </c>
    </row>
    <row r="42" spans="1:43" ht="21.75" customHeight="1" x14ac:dyDescent="0.25">
      <c r="A42" s="26" t="s">
        <v>282</v>
      </c>
      <c r="B42" s="33" t="s">
        <v>883</v>
      </c>
      <c r="C42" s="31"/>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f t="shared" si="0"/>
        <v>0</v>
      </c>
      <c r="AQ42" s="179">
        <f t="shared" si="1"/>
        <v>0</v>
      </c>
    </row>
    <row r="43" spans="1:43" ht="21.75" customHeight="1" x14ac:dyDescent="0.25">
      <c r="A43" s="26" t="s">
        <v>283</v>
      </c>
      <c r="B43" s="33" t="s">
        <v>554</v>
      </c>
      <c r="C43" s="31"/>
      <c r="D43" s="179">
        <f>AP28-AP31-AP33-AP34-AP36-AP41</f>
        <v>781952551</v>
      </c>
      <c r="E43" s="179">
        <f>AQ28-AQ31-AQ33-AQ34-AQ36-AQ41</f>
        <v>809984795</v>
      </c>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f t="shared" si="0"/>
        <v>781952551</v>
      </c>
      <c r="AQ43" s="179">
        <f t="shared" si="1"/>
        <v>809984795</v>
      </c>
    </row>
    <row r="44" spans="1:43" ht="21.75" customHeight="1" x14ac:dyDescent="0.25">
      <c r="A44" s="26" t="s">
        <v>284</v>
      </c>
      <c r="B44" s="33" t="s">
        <v>555</v>
      </c>
      <c r="C44" s="31"/>
      <c r="D44" s="179">
        <f>AP29-AP32-AP35-AP37-AP42</f>
        <v>10016490</v>
      </c>
      <c r="E44" s="179">
        <f>AQ29-AQ32-AQ35-AQ37-AQ42</f>
        <v>8689208</v>
      </c>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f t="shared" si="0"/>
        <v>10016490</v>
      </c>
      <c r="AQ44" s="179">
        <f t="shared" si="1"/>
        <v>8689208</v>
      </c>
    </row>
    <row r="45" spans="1:43" ht="21.75" customHeight="1" x14ac:dyDescent="0.25">
      <c r="A45" s="26" t="s">
        <v>285</v>
      </c>
      <c r="B45" s="33" t="s">
        <v>592</v>
      </c>
      <c r="C45" s="31"/>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f t="shared" si="0"/>
        <v>0</v>
      </c>
      <c r="AQ45" s="179">
        <f t="shared" si="1"/>
        <v>0</v>
      </c>
    </row>
    <row r="46" spans="1:43" ht="21.75" customHeight="1" x14ac:dyDescent="0.25">
      <c r="A46" s="26" t="s">
        <v>286</v>
      </c>
      <c r="B46" s="236" t="s">
        <v>846</v>
      </c>
      <c r="C46" s="31"/>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f t="shared" si="0"/>
        <v>0</v>
      </c>
      <c r="AQ46" s="179">
        <f t="shared" si="1"/>
        <v>0</v>
      </c>
    </row>
    <row r="47" spans="1:43" ht="21.75" customHeight="1" x14ac:dyDescent="0.25">
      <c r="A47" s="26" t="s">
        <v>287</v>
      </c>
      <c r="B47" s="34" t="s">
        <v>112</v>
      </c>
      <c r="C47" s="27"/>
      <c r="D47" s="180">
        <f>+D31+D33+D34+D36+D41+D43</f>
        <v>797549466</v>
      </c>
      <c r="E47" s="180">
        <f t="shared" ref="E47:AO47" si="10">+E31+E33+E34+E36+E41+E43</f>
        <v>888783491</v>
      </c>
      <c r="F47" s="180">
        <f t="shared" si="10"/>
        <v>2824100</v>
      </c>
      <c r="G47" s="180">
        <f t="shared" si="10"/>
        <v>4556156</v>
      </c>
      <c r="H47" s="180">
        <f t="shared" si="10"/>
        <v>5715000</v>
      </c>
      <c r="I47" s="180">
        <f t="shared" si="10"/>
        <v>7934635</v>
      </c>
      <c r="J47" s="180">
        <f t="shared" si="10"/>
        <v>3000000</v>
      </c>
      <c r="K47" s="180">
        <f t="shared" si="10"/>
        <v>2997500</v>
      </c>
      <c r="L47" s="180">
        <f t="shared" si="10"/>
        <v>800000</v>
      </c>
      <c r="M47" s="180">
        <f t="shared" si="10"/>
        <v>948140</v>
      </c>
      <c r="N47" s="180">
        <f t="shared" si="10"/>
        <v>6200000</v>
      </c>
      <c r="O47" s="180">
        <f t="shared" si="10"/>
        <v>7567909</v>
      </c>
      <c r="P47" s="180">
        <f t="shared" si="10"/>
        <v>0</v>
      </c>
      <c r="Q47" s="180">
        <f t="shared" si="10"/>
        <v>0</v>
      </c>
      <c r="R47" s="180">
        <f t="shared" si="10"/>
        <v>0</v>
      </c>
      <c r="S47" s="180">
        <f t="shared" si="10"/>
        <v>0</v>
      </c>
      <c r="T47" s="180">
        <f t="shared" si="10"/>
        <v>0</v>
      </c>
      <c r="U47" s="180">
        <f t="shared" si="10"/>
        <v>0</v>
      </c>
      <c r="V47" s="180">
        <f t="shared" si="10"/>
        <v>0</v>
      </c>
      <c r="W47" s="180">
        <f t="shared" si="10"/>
        <v>0</v>
      </c>
      <c r="X47" s="180">
        <f t="shared" si="10"/>
        <v>85000000</v>
      </c>
      <c r="Y47" s="180">
        <f t="shared" si="10"/>
        <v>107232400</v>
      </c>
      <c r="Z47" s="180">
        <f t="shared" si="10"/>
        <v>2000000</v>
      </c>
      <c r="AA47" s="180">
        <f t="shared" si="10"/>
        <v>2000000</v>
      </c>
      <c r="AB47" s="180">
        <f t="shared" si="10"/>
        <v>40030000</v>
      </c>
      <c r="AC47" s="180">
        <f t="shared" si="10"/>
        <v>62090414</v>
      </c>
      <c r="AD47" s="180">
        <f t="shared" si="10"/>
        <v>84870000</v>
      </c>
      <c r="AE47" s="180">
        <f t="shared" si="10"/>
        <v>151853326</v>
      </c>
      <c r="AF47" s="180">
        <f t="shared" si="10"/>
        <v>2452000</v>
      </c>
      <c r="AG47" s="180">
        <f t="shared" si="10"/>
        <v>8520570</v>
      </c>
      <c r="AH47" s="180">
        <f t="shared" si="10"/>
        <v>3340000</v>
      </c>
      <c r="AI47" s="180">
        <f t="shared" si="10"/>
        <v>3564118</v>
      </c>
      <c r="AJ47" s="180">
        <f t="shared" si="10"/>
        <v>31791958</v>
      </c>
      <c r="AK47" s="180">
        <f t="shared" si="10"/>
        <v>0</v>
      </c>
      <c r="AL47" s="180">
        <f t="shared" si="10"/>
        <v>699500</v>
      </c>
      <c r="AM47" s="180">
        <f t="shared" si="10"/>
        <v>1056066</v>
      </c>
      <c r="AN47" s="180">
        <f t="shared" si="10"/>
        <v>6450000</v>
      </c>
      <c r="AO47" s="180">
        <f t="shared" si="10"/>
        <v>12032205</v>
      </c>
      <c r="AP47" s="180">
        <f t="shared" si="0"/>
        <v>1072722024</v>
      </c>
      <c r="AQ47" s="180">
        <f t="shared" si="1"/>
        <v>1261136930</v>
      </c>
    </row>
    <row r="48" spans="1:43" ht="21.75" customHeight="1" x14ac:dyDescent="0.25">
      <c r="A48" s="26" t="s">
        <v>288</v>
      </c>
      <c r="B48" s="34" t="s">
        <v>113</v>
      </c>
      <c r="C48" s="27"/>
      <c r="D48" s="180">
        <f>+D32+D35+D37+D42+D429+D45+D44</f>
        <v>10016490</v>
      </c>
      <c r="E48" s="180">
        <f t="shared" ref="E48:AO48" si="11">+E32+E35+E37+E42+E429+E45+E44</f>
        <v>8689208</v>
      </c>
      <c r="F48" s="180">
        <f t="shared" si="11"/>
        <v>0</v>
      </c>
      <c r="G48" s="180">
        <f t="shared" si="11"/>
        <v>5000</v>
      </c>
      <c r="H48" s="180">
        <f t="shared" si="11"/>
        <v>0</v>
      </c>
      <c r="I48" s="180">
        <f t="shared" si="11"/>
        <v>0</v>
      </c>
      <c r="J48" s="180">
        <f t="shared" si="11"/>
        <v>0</v>
      </c>
      <c r="K48" s="180">
        <f t="shared" si="11"/>
        <v>0</v>
      </c>
      <c r="L48" s="180">
        <f t="shared" si="11"/>
        <v>0</v>
      </c>
      <c r="M48" s="180">
        <f t="shared" si="11"/>
        <v>0</v>
      </c>
      <c r="N48" s="180">
        <f t="shared" si="11"/>
        <v>0</v>
      </c>
      <c r="O48" s="180">
        <f t="shared" si="11"/>
        <v>0</v>
      </c>
      <c r="P48" s="180">
        <f t="shared" si="11"/>
        <v>0</v>
      </c>
      <c r="Q48" s="180">
        <f t="shared" si="11"/>
        <v>0</v>
      </c>
      <c r="R48" s="180">
        <f t="shared" si="11"/>
        <v>0</v>
      </c>
      <c r="S48" s="180">
        <f t="shared" si="11"/>
        <v>0</v>
      </c>
      <c r="T48" s="180">
        <f t="shared" si="11"/>
        <v>0</v>
      </c>
      <c r="U48" s="180">
        <f t="shared" si="11"/>
        <v>0</v>
      </c>
      <c r="V48" s="180">
        <f t="shared" si="11"/>
        <v>0</v>
      </c>
      <c r="W48" s="180">
        <f t="shared" si="11"/>
        <v>0</v>
      </c>
      <c r="X48" s="180">
        <f t="shared" si="11"/>
        <v>0</v>
      </c>
      <c r="Y48" s="180">
        <f t="shared" si="11"/>
        <v>0</v>
      </c>
      <c r="Z48" s="180">
        <f t="shared" si="11"/>
        <v>0</v>
      </c>
      <c r="AA48" s="180">
        <f t="shared" si="11"/>
        <v>0</v>
      </c>
      <c r="AB48" s="180">
        <f t="shared" si="11"/>
        <v>0</v>
      </c>
      <c r="AC48" s="180">
        <f t="shared" si="11"/>
        <v>0</v>
      </c>
      <c r="AD48" s="180">
        <f t="shared" si="11"/>
        <v>0</v>
      </c>
      <c r="AE48" s="180">
        <f t="shared" si="11"/>
        <v>0</v>
      </c>
      <c r="AF48" s="180">
        <f t="shared" si="11"/>
        <v>0</v>
      </c>
      <c r="AG48" s="180">
        <f t="shared" si="11"/>
        <v>0</v>
      </c>
      <c r="AH48" s="180">
        <f t="shared" si="11"/>
        <v>0</v>
      </c>
      <c r="AI48" s="180">
        <f t="shared" si="11"/>
        <v>0</v>
      </c>
      <c r="AJ48" s="180">
        <f t="shared" si="11"/>
        <v>0</v>
      </c>
      <c r="AK48" s="180">
        <f t="shared" si="11"/>
        <v>0</v>
      </c>
      <c r="AL48" s="180">
        <f t="shared" si="11"/>
        <v>0</v>
      </c>
      <c r="AM48" s="180">
        <f t="shared" si="11"/>
        <v>0</v>
      </c>
      <c r="AN48" s="180">
        <f t="shared" si="11"/>
        <v>0</v>
      </c>
      <c r="AO48" s="180">
        <f t="shared" si="11"/>
        <v>0</v>
      </c>
      <c r="AP48" s="180">
        <f t="shared" si="0"/>
        <v>10016490</v>
      </c>
      <c r="AQ48" s="180">
        <f t="shared" si="1"/>
        <v>8694208</v>
      </c>
    </row>
    <row r="49" spans="1:44" ht="21.75" customHeight="1" x14ac:dyDescent="0.25">
      <c r="A49" s="26" t="s">
        <v>289</v>
      </c>
      <c r="B49" s="34" t="s">
        <v>334</v>
      </c>
      <c r="C49" s="27"/>
      <c r="D49" s="180">
        <f>+D47+D48</f>
        <v>807565956</v>
      </c>
      <c r="E49" s="180">
        <f t="shared" ref="E49:AO49" si="12">+E47+E48</f>
        <v>897472699</v>
      </c>
      <c r="F49" s="180">
        <f t="shared" si="12"/>
        <v>2824100</v>
      </c>
      <c r="G49" s="180">
        <f t="shared" si="12"/>
        <v>4561156</v>
      </c>
      <c r="H49" s="180">
        <f t="shared" si="12"/>
        <v>5715000</v>
      </c>
      <c r="I49" s="180">
        <f t="shared" si="12"/>
        <v>7934635</v>
      </c>
      <c r="J49" s="180">
        <f t="shared" si="12"/>
        <v>3000000</v>
      </c>
      <c r="K49" s="180">
        <f t="shared" si="12"/>
        <v>2997500</v>
      </c>
      <c r="L49" s="180">
        <f t="shared" si="12"/>
        <v>800000</v>
      </c>
      <c r="M49" s="180">
        <f t="shared" si="12"/>
        <v>948140</v>
      </c>
      <c r="N49" s="180">
        <f t="shared" si="12"/>
        <v>6200000</v>
      </c>
      <c r="O49" s="180">
        <f t="shared" si="12"/>
        <v>7567909</v>
      </c>
      <c r="P49" s="180">
        <f t="shared" si="12"/>
        <v>0</v>
      </c>
      <c r="Q49" s="180">
        <f t="shared" si="12"/>
        <v>0</v>
      </c>
      <c r="R49" s="180">
        <f t="shared" si="12"/>
        <v>0</v>
      </c>
      <c r="S49" s="180">
        <f t="shared" si="12"/>
        <v>0</v>
      </c>
      <c r="T49" s="180">
        <f t="shared" si="12"/>
        <v>0</v>
      </c>
      <c r="U49" s="180">
        <f t="shared" si="12"/>
        <v>0</v>
      </c>
      <c r="V49" s="180">
        <f t="shared" si="12"/>
        <v>0</v>
      </c>
      <c r="W49" s="180">
        <f t="shared" si="12"/>
        <v>0</v>
      </c>
      <c r="X49" s="180">
        <f t="shared" si="12"/>
        <v>85000000</v>
      </c>
      <c r="Y49" s="180">
        <f t="shared" si="12"/>
        <v>107232400</v>
      </c>
      <c r="Z49" s="180">
        <f t="shared" si="12"/>
        <v>2000000</v>
      </c>
      <c r="AA49" s="180">
        <f t="shared" si="12"/>
        <v>2000000</v>
      </c>
      <c r="AB49" s="180">
        <f t="shared" si="12"/>
        <v>40030000</v>
      </c>
      <c r="AC49" s="180">
        <f t="shared" si="12"/>
        <v>62090414</v>
      </c>
      <c r="AD49" s="180">
        <f t="shared" si="12"/>
        <v>84870000</v>
      </c>
      <c r="AE49" s="180">
        <f t="shared" si="12"/>
        <v>151853326</v>
      </c>
      <c r="AF49" s="180">
        <f t="shared" si="12"/>
        <v>2452000</v>
      </c>
      <c r="AG49" s="180">
        <f t="shared" si="12"/>
        <v>8520570</v>
      </c>
      <c r="AH49" s="180">
        <f t="shared" si="12"/>
        <v>3340000</v>
      </c>
      <c r="AI49" s="180">
        <f t="shared" si="12"/>
        <v>3564118</v>
      </c>
      <c r="AJ49" s="180">
        <f t="shared" si="12"/>
        <v>31791958</v>
      </c>
      <c r="AK49" s="180">
        <f t="shared" si="12"/>
        <v>0</v>
      </c>
      <c r="AL49" s="180">
        <f t="shared" si="12"/>
        <v>699500</v>
      </c>
      <c r="AM49" s="180">
        <f t="shared" si="12"/>
        <v>1056066</v>
      </c>
      <c r="AN49" s="180">
        <f t="shared" si="12"/>
        <v>6450000</v>
      </c>
      <c r="AO49" s="180">
        <f t="shared" si="12"/>
        <v>12032205</v>
      </c>
      <c r="AP49" s="180">
        <f t="shared" si="0"/>
        <v>1082738514</v>
      </c>
      <c r="AQ49" s="180">
        <f t="shared" si="1"/>
        <v>1269831138</v>
      </c>
    </row>
    <row r="50" spans="1:44" ht="21.75" customHeight="1" x14ac:dyDescent="0.25">
      <c r="A50" s="26" t="s">
        <v>290</v>
      </c>
      <c r="B50" s="380" t="s">
        <v>450</v>
      </c>
      <c r="C50" s="184"/>
      <c r="D50" s="179"/>
      <c r="E50" s="179"/>
      <c r="F50" s="179">
        <v>11</v>
      </c>
      <c r="G50" s="179">
        <v>11</v>
      </c>
      <c r="H50" s="179">
        <v>1</v>
      </c>
      <c r="I50" s="179">
        <v>1</v>
      </c>
      <c r="J50" s="179">
        <v>4</v>
      </c>
      <c r="K50" s="179">
        <v>4</v>
      </c>
      <c r="L50" s="179">
        <v>2</v>
      </c>
      <c r="M50" s="179">
        <v>2</v>
      </c>
      <c r="N50" s="179"/>
      <c r="O50" s="179"/>
      <c r="P50" s="179"/>
      <c r="Q50" s="179"/>
      <c r="R50" s="179">
        <v>1</v>
      </c>
      <c r="S50" s="179">
        <v>1</v>
      </c>
      <c r="T50" s="179">
        <v>2</v>
      </c>
      <c r="U50" s="179">
        <v>2</v>
      </c>
      <c r="V50" s="179">
        <v>2</v>
      </c>
      <c r="W50" s="179">
        <v>2</v>
      </c>
      <c r="X50" s="179">
        <v>10</v>
      </c>
      <c r="Y50" s="179">
        <v>10</v>
      </c>
      <c r="Z50" s="179">
        <v>3</v>
      </c>
      <c r="AA50" s="179">
        <v>3</v>
      </c>
      <c r="AB50" s="179"/>
      <c r="AC50" s="179"/>
      <c r="AD50" s="179">
        <v>1</v>
      </c>
      <c r="AE50" s="179">
        <v>1</v>
      </c>
      <c r="AF50" s="179"/>
      <c r="AG50" s="179"/>
      <c r="AH50" s="179"/>
      <c r="AI50" s="179"/>
      <c r="AJ50" s="179"/>
      <c r="AK50" s="179"/>
      <c r="AL50" s="179"/>
      <c r="AM50" s="179"/>
      <c r="AN50" s="179"/>
      <c r="AO50" s="179"/>
      <c r="AP50" s="179">
        <f t="shared" si="0"/>
        <v>37</v>
      </c>
      <c r="AQ50" s="179">
        <f t="shared" si="1"/>
        <v>37</v>
      </c>
      <c r="AR50" s="84">
        <f>AP49-AP30</f>
        <v>0</v>
      </c>
    </row>
    <row r="51" spans="1:44" ht="21.75" customHeight="1" x14ac:dyDescent="0.25">
      <c r="A51" s="26" t="s">
        <v>291</v>
      </c>
      <c r="B51" s="48" t="s">
        <v>1357</v>
      </c>
      <c r="C51" s="184"/>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84"/>
    </row>
  </sheetData>
  <mergeCells count="55">
    <mergeCell ref="V6:V7"/>
    <mergeCell ref="X6:X7"/>
    <mergeCell ref="AD6:AD7"/>
    <mergeCell ref="I6:I7"/>
    <mergeCell ref="AM6:AM7"/>
    <mergeCell ref="AF6:AF7"/>
    <mergeCell ref="AI6:AI7"/>
    <mergeCell ref="AK6:AK7"/>
    <mergeCell ref="AO6:AO7"/>
    <mergeCell ref="K6:K7"/>
    <mergeCell ref="M6:M7"/>
    <mergeCell ref="O6:O7"/>
    <mergeCell ref="Q6:Q7"/>
    <mergeCell ref="AN6:AN7"/>
    <mergeCell ref="S6:S7"/>
    <mergeCell ref="U6:U7"/>
    <mergeCell ref="W6:W7"/>
    <mergeCell ref="Y6:Y7"/>
    <mergeCell ref="AA6:AA7"/>
    <mergeCell ref="AB6:AB7"/>
    <mergeCell ref="T6:T7"/>
    <mergeCell ref="AH6:AH7"/>
    <mergeCell ref="AJ6:AJ7"/>
    <mergeCell ref="AL6:AL7"/>
    <mergeCell ref="A3:C3"/>
    <mergeCell ref="A4:A7"/>
    <mergeCell ref="B4:C4"/>
    <mergeCell ref="J6:J7"/>
    <mergeCell ref="R6:R7"/>
    <mergeCell ref="P6:P7"/>
    <mergeCell ref="B6:C6"/>
    <mergeCell ref="B5:C5"/>
    <mergeCell ref="F6:F7"/>
    <mergeCell ref="L6:L7"/>
    <mergeCell ref="N6:N7"/>
    <mergeCell ref="D6:D7"/>
    <mergeCell ref="H6:H7"/>
    <mergeCell ref="E6:E7"/>
    <mergeCell ref="G6:G7"/>
    <mergeCell ref="AQ4:AQ7"/>
    <mergeCell ref="D2:G2"/>
    <mergeCell ref="H2:K2"/>
    <mergeCell ref="L2:O2"/>
    <mergeCell ref="P2:S2"/>
    <mergeCell ref="T2:W2"/>
    <mergeCell ref="X2:AA2"/>
    <mergeCell ref="AB2:AE2"/>
    <mergeCell ref="AF2:AI2"/>
    <mergeCell ref="AJ2:AM2"/>
    <mergeCell ref="AN2:AQ2"/>
    <mergeCell ref="AC6:AC7"/>
    <mergeCell ref="AE6:AE7"/>
    <mergeCell ref="AG6:AG7"/>
    <mergeCell ref="AP4:AP7"/>
    <mergeCell ref="Z6:Z7"/>
  </mergeCells>
  <phoneticPr fontId="45" type="noConversion"/>
  <printOptions horizontalCentered="1" verticalCentered="1"/>
  <pageMargins left="0.35433070866141736" right="0.35433070866141736" top="0.39370078740157483" bottom="0.39370078740157483" header="0.51181102362204722" footer="0.51181102362204722"/>
  <pageSetup paperSize="9" scale="55" orientation="portrait" verticalDpi="200" r:id="rId1"/>
  <headerFooter alignWithMargins="0">
    <oddHeader>&amp;C2022. évi költségvetés&amp;R&amp;A</oddHeader>
    <oddFooter>&amp;C&amp;P/&amp;N</oddFooter>
  </headerFooter>
  <colBreaks count="9" manualBreakCount="9">
    <brk id="7" max="50" man="1"/>
    <brk id="11" max="50" man="1"/>
    <brk id="15" max="50" man="1"/>
    <brk id="19" max="50" man="1"/>
    <brk id="23" max="50" man="1"/>
    <brk id="27" max="50" man="1"/>
    <brk id="31" max="50" man="1"/>
    <brk id="35" max="50" man="1"/>
    <brk id="39" max="5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1"/>
  <sheetViews>
    <sheetView view="pageBreakPreview" zoomScale="80" zoomScaleNormal="71" zoomScaleSheetLayoutView="80" workbookViewId="0">
      <pane xSplit="3" ySplit="8" topLeftCell="K21" activePane="bottomRight" state="frozen"/>
      <selection pane="topRight" activeCell="D1" sqref="D1"/>
      <selection pane="bottomLeft" activeCell="A8" sqref="A8"/>
      <selection pane="bottomRight" activeCell="K34" sqref="K34"/>
    </sheetView>
  </sheetViews>
  <sheetFormatPr defaultColWidth="9.140625" defaultRowHeight="12.75" x14ac:dyDescent="0.2"/>
  <cols>
    <col min="1" max="1" width="6.42578125" style="21" customWidth="1"/>
    <col min="2" max="2" width="64.85546875" style="21" customWidth="1"/>
    <col min="3" max="3" width="7.85546875" style="21" customWidth="1"/>
    <col min="4" max="4" width="19.140625" style="22" customWidth="1"/>
    <col min="5" max="5" width="17.28515625" style="22" customWidth="1"/>
    <col min="6" max="7" width="19.140625" style="22" customWidth="1"/>
    <col min="8" max="9" width="18.28515625" style="22" customWidth="1"/>
    <col min="10" max="10" width="20" style="22" customWidth="1"/>
    <col min="11" max="11" width="17.28515625" style="22" customWidth="1"/>
    <col min="12" max="12" width="18.140625" style="22" customWidth="1"/>
    <col min="13" max="13" width="19.140625" style="22" customWidth="1"/>
    <col min="14" max="14" width="18.5703125" style="22" customWidth="1"/>
    <col min="15" max="15" width="17.7109375" style="22" customWidth="1"/>
    <col min="16" max="19" width="18.42578125" style="22" customWidth="1"/>
    <col min="20" max="20" width="18.5703125" style="22" customWidth="1"/>
    <col min="21" max="21" width="16.42578125" style="21" customWidth="1"/>
    <col min="22" max="22" width="17.7109375" style="21" customWidth="1"/>
    <col min="23" max="16384" width="9.140625" style="21"/>
  </cols>
  <sheetData>
    <row r="1" spans="1:22" ht="15.75" x14ac:dyDescent="0.25">
      <c r="G1" s="177" t="s">
        <v>444</v>
      </c>
      <c r="K1" s="177" t="s">
        <v>444</v>
      </c>
      <c r="L1" s="177"/>
      <c r="M1" s="177"/>
      <c r="O1" s="177" t="s">
        <v>444</v>
      </c>
      <c r="S1" s="177" t="s">
        <v>444</v>
      </c>
      <c r="U1" s="177" t="s">
        <v>444</v>
      </c>
    </row>
    <row r="2" spans="1:22" ht="31.5" customHeight="1" x14ac:dyDescent="0.25">
      <c r="A2" s="736"/>
      <c r="B2" s="737"/>
      <c r="C2" s="737"/>
      <c r="D2" s="1657" t="s">
        <v>1621</v>
      </c>
      <c r="E2" s="1657"/>
      <c r="F2" s="1657"/>
      <c r="G2" s="1657"/>
      <c r="H2" s="1657" t="s">
        <v>1621</v>
      </c>
      <c r="I2" s="1657"/>
      <c r="J2" s="1657"/>
      <c r="K2" s="1657"/>
      <c r="L2" s="1674" t="s">
        <v>1621</v>
      </c>
      <c r="M2" s="1675"/>
      <c r="N2" s="1675"/>
      <c r="O2" s="1676"/>
      <c r="P2" s="1674" t="s">
        <v>1621</v>
      </c>
      <c r="Q2" s="1675"/>
      <c r="R2" s="1675"/>
      <c r="S2" s="1676"/>
      <c r="T2" s="1674" t="s">
        <v>1621</v>
      </c>
      <c r="U2" s="1676"/>
    </row>
    <row r="3" spans="1:22" ht="36.75" customHeight="1" x14ac:dyDescent="0.2">
      <c r="A3" s="1658" t="s">
        <v>136</v>
      </c>
      <c r="B3" s="1659"/>
      <c r="C3" s="1660"/>
      <c r="D3" s="1554" t="s">
        <v>279</v>
      </c>
      <c r="E3" s="1554" t="s">
        <v>1512</v>
      </c>
      <c r="F3" s="1554" t="s">
        <v>279</v>
      </c>
      <c r="G3" s="1554" t="s">
        <v>1512</v>
      </c>
      <c r="H3" s="1554" t="s">
        <v>279</v>
      </c>
      <c r="I3" s="1554" t="s">
        <v>1512</v>
      </c>
      <c r="J3" s="1554" t="s">
        <v>279</v>
      </c>
      <c r="K3" s="1554" t="s">
        <v>1512</v>
      </c>
      <c r="L3" s="1554" t="s">
        <v>279</v>
      </c>
      <c r="M3" s="1554" t="s">
        <v>1512</v>
      </c>
      <c r="N3" s="1554" t="s">
        <v>279</v>
      </c>
      <c r="O3" s="1554" t="s">
        <v>1512</v>
      </c>
      <c r="P3" s="1554" t="s">
        <v>279</v>
      </c>
      <c r="Q3" s="1554" t="s">
        <v>1512</v>
      </c>
      <c r="R3" s="1554" t="s">
        <v>279</v>
      </c>
      <c r="S3" s="1554" t="s">
        <v>1512</v>
      </c>
      <c r="T3" s="1554" t="s">
        <v>279</v>
      </c>
      <c r="U3" s="1554" t="s">
        <v>1512</v>
      </c>
    </row>
    <row r="4" spans="1:22" ht="87.75" customHeight="1" x14ac:dyDescent="0.2">
      <c r="A4" s="1666" t="s">
        <v>192</v>
      </c>
      <c r="B4" s="1667" t="s">
        <v>250</v>
      </c>
      <c r="C4" s="1667"/>
      <c r="D4" s="1552" t="s">
        <v>505</v>
      </c>
      <c r="E4" s="1552" t="s">
        <v>505</v>
      </c>
      <c r="F4" s="1549" t="s">
        <v>504</v>
      </c>
      <c r="G4" s="1549" t="s">
        <v>504</v>
      </c>
      <c r="H4" s="1549" t="s">
        <v>907</v>
      </c>
      <c r="I4" s="1549" t="s">
        <v>907</v>
      </c>
      <c r="J4" s="1549" t="s">
        <v>359</v>
      </c>
      <c r="K4" s="1549" t="s">
        <v>359</v>
      </c>
      <c r="L4" s="1549" t="s">
        <v>3506</v>
      </c>
      <c r="M4" s="1549" t="s">
        <v>3506</v>
      </c>
      <c r="N4" s="1549" t="s">
        <v>184</v>
      </c>
      <c r="O4" s="1549" t="s">
        <v>184</v>
      </c>
      <c r="P4" s="178" t="s">
        <v>521</v>
      </c>
      <c r="Q4" s="178" t="s">
        <v>521</v>
      </c>
      <c r="R4" s="1549" t="s">
        <v>359</v>
      </c>
      <c r="S4" s="1549" t="s">
        <v>359</v>
      </c>
      <c r="T4" s="1657" t="s">
        <v>138</v>
      </c>
      <c r="U4" s="1657" t="s">
        <v>138</v>
      </c>
    </row>
    <row r="5" spans="1:22" ht="25.5" customHeight="1" x14ac:dyDescent="0.2">
      <c r="A5" s="1666"/>
      <c r="B5" s="1667" t="s">
        <v>11</v>
      </c>
      <c r="C5" s="1667"/>
      <c r="D5" s="1552" t="s">
        <v>228</v>
      </c>
      <c r="E5" s="1552" t="s">
        <v>228</v>
      </c>
      <c r="F5" s="1552" t="s">
        <v>228</v>
      </c>
      <c r="G5" s="1552" t="s">
        <v>228</v>
      </c>
      <c r="H5" s="1552" t="s">
        <v>228</v>
      </c>
      <c r="I5" s="1552" t="s">
        <v>228</v>
      </c>
      <c r="J5" s="1552" t="s">
        <v>228</v>
      </c>
      <c r="K5" s="1552" t="s">
        <v>228</v>
      </c>
      <c r="L5" s="1552" t="s">
        <v>228</v>
      </c>
      <c r="M5" s="1552" t="s">
        <v>228</v>
      </c>
      <c r="N5" s="1552" t="s">
        <v>228</v>
      </c>
      <c r="O5" s="1552" t="s">
        <v>228</v>
      </c>
      <c r="P5" s="1552" t="s">
        <v>228</v>
      </c>
      <c r="Q5" s="1552" t="s">
        <v>228</v>
      </c>
      <c r="R5" s="1552" t="s">
        <v>228</v>
      </c>
      <c r="S5" s="1552" t="s">
        <v>228</v>
      </c>
      <c r="T5" s="1657"/>
      <c r="U5" s="1657"/>
    </row>
    <row r="6" spans="1:22" ht="15.75" customHeight="1" x14ac:dyDescent="0.2">
      <c r="A6" s="1666"/>
      <c r="B6" s="1634" t="s">
        <v>741</v>
      </c>
      <c r="C6" s="1634"/>
      <c r="D6" s="1657" t="s">
        <v>352</v>
      </c>
      <c r="E6" s="1657" t="s">
        <v>1594</v>
      </c>
      <c r="F6" s="1657" t="s">
        <v>357</v>
      </c>
      <c r="G6" s="1657" t="s">
        <v>1611</v>
      </c>
      <c r="H6" s="1657" t="s">
        <v>356</v>
      </c>
      <c r="I6" s="1657" t="s">
        <v>356</v>
      </c>
      <c r="J6" s="1657" t="s">
        <v>358</v>
      </c>
      <c r="K6" s="1657" t="s">
        <v>1613</v>
      </c>
      <c r="L6" s="1657" t="s">
        <v>3507</v>
      </c>
      <c r="M6" s="1657" t="s">
        <v>3508</v>
      </c>
      <c r="N6" s="1657" t="s">
        <v>513</v>
      </c>
      <c r="O6" s="1657" t="s">
        <v>1612</v>
      </c>
      <c r="P6" s="1653" t="s">
        <v>522</v>
      </c>
      <c r="Q6" s="1653" t="s">
        <v>1614</v>
      </c>
      <c r="R6" s="1657" t="s">
        <v>176</v>
      </c>
      <c r="S6" s="1657" t="s">
        <v>176</v>
      </c>
      <c r="T6" s="1657"/>
      <c r="U6" s="1657"/>
    </row>
    <row r="7" spans="1:22" ht="80.25" customHeight="1" x14ac:dyDescent="0.2">
      <c r="A7" s="1666"/>
      <c r="B7" s="1551" t="s">
        <v>193</v>
      </c>
      <c r="C7" s="134" t="s">
        <v>251</v>
      </c>
      <c r="D7" s="1657"/>
      <c r="E7" s="1657"/>
      <c r="F7" s="1657"/>
      <c r="G7" s="1657"/>
      <c r="H7" s="1657"/>
      <c r="I7" s="1657"/>
      <c r="J7" s="1657"/>
      <c r="K7" s="1657"/>
      <c r="L7" s="1657"/>
      <c r="M7" s="1657"/>
      <c r="N7" s="1657"/>
      <c r="O7" s="1657"/>
      <c r="P7" s="1653"/>
      <c r="Q7" s="1653"/>
      <c r="R7" s="1657"/>
      <c r="S7" s="1657"/>
      <c r="T7" s="1657"/>
      <c r="U7" s="1657"/>
    </row>
    <row r="8" spans="1:22" ht="15.75" x14ac:dyDescent="0.2">
      <c r="A8" s="24" t="s">
        <v>194</v>
      </c>
      <c r="B8" s="25" t="s">
        <v>195</v>
      </c>
      <c r="C8" s="25" t="s">
        <v>196</v>
      </c>
      <c r="D8" s="385" t="s">
        <v>197</v>
      </c>
      <c r="E8" s="385" t="s">
        <v>198</v>
      </c>
      <c r="F8" s="385" t="s">
        <v>199</v>
      </c>
      <c r="G8" s="385" t="s">
        <v>200</v>
      </c>
      <c r="H8" s="385" t="s">
        <v>201</v>
      </c>
      <c r="I8" s="385" t="s">
        <v>202</v>
      </c>
      <c r="J8" s="385" t="s">
        <v>203</v>
      </c>
      <c r="K8" s="385" t="s">
        <v>204</v>
      </c>
      <c r="L8" s="385" t="s">
        <v>231</v>
      </c>
      <c r="M8" s="385" t="s">
        <v>232</v>
      </c>
      <c r="N8" s="385" t="s">
        <v>233</v>
      </c>
      <c r="O8" s="385" t="s">
        <v>234</v>
      </c>
      <c r="P8" s="385" t="s">
        <v>235</v>
      </c>
      <c r="Q8" s="385" t="s">
        <v>236</v>
      </c>
      <c r="R8" s="385" t="s">
        <v>237</v>
      </c>
      <c r="S8" s="385" t="s">
        <v>238</v>
      </c>
      <c r="T8" s="385" t="s">
        <v>239</v>
      </c>
      <c r="U8" s="385" t="s">
        <v>266</v>
      </c>
    </row>
    <row r="9" spans="1:22" ht="21.75" customHeight="1" x14ac:dyDescent="0.25">
      <c r="A9" s="26" t="s">
        <v>194</v>
      </c>
      <c r="B9" s="23" t="s">
        <v>335</v>
      </c>
      <c r="C9" s="27" t="s">
        <v>205</v>
      </c>
      <c r="D9" s="179"/>
      <c r="E9" s="179"/>
      <c r="F9" s="179"/>
      <c r="G9" s="179"/>
      <c r="H9" s="179"/>
      <c r="I9" s="179"/>
      <c r="J9" s="179">
        <v>51141792</v>
      </c>
      <c r="K9" s="179">
        <f>51141792+6834720+375000+850000-2357748+2325000+32748-152000+152000-6834720-429680+429680</f>
        <v>52366792</v>
      </c>
      <c r="L9" s="179"/>
      <c r="M9" s="179">
        <v>6834720</v>
      </c>
      <c r="N9" s="179"/>
      <c r="O9" s="179"/>
      <c r="P9" s="179"/>
      <c r="Q9" s="179"/>
      <c r="R9" s="179"/>
      <c r="S9" s="179"/>
      <c r="T9" s="179">
        <f t="shared" ref="T9:T50" si="0">D9+F9+H9+J9+N9+P9+R9</f>
        <v>51141792</v>
      </c>
      <c r="U9" s="179">
        <f>E9+G9+I9+K9+O9+Q9+S9+M9</f>
        <v>59201512</v>
      </c>
      <c r="V9" s="84"/>
    </row>
    <row r="10" spans="1:22" ht="21.75" customHeight="1" x14ac:dyDescent="0.25">
      <c r="A10" s="26" t="s">
        <v>195</v>
      </c>
      <c r="B10" s="28" t="s">
        <v>206</v>
      </c>
      <c r="C10" s="27" t="s">
        <v>207</v>
      </c>
      <c r="D10" s="179"/>
      <c r="E10" s="179"/>
      <c r="F10" s="179"/>
      <c r="G10" s="179"/>
      <c r="H10" s="179"/>
      <c r="I10" s="179"/>
      <c r="J10" s="179">
        <f>6947683+220000</f>
        <v>7167683</v>
      </c>
      <c r="K10" s="179">
        <f>6947683+220000+888514+48750+110500-888514</f>
        <v>7326933</v>
      </c>
      <c r="L10" s="179"/>
      <c r="M10" s="179">
        <v>888514</v>
      </c>
      <c r="N10" s="179"/>
      <c r="O10" s="179"/>
      <c r="P10" s="179"/>
      <c r="Q10" s="179"/>
      <c r="R10" s="179"/>
      <c r="S10" s="179"/>
      <c r="T10" s="179">
        <f t="shared" si="0"/>
        <v>7167683</v>
      </c>
      <c r="U10" s="179">
        <f>E10+G10+I10+K10+O10+Q10+S10+M10</f>
        <v>8215447</v>
      </c>
      <c r="V10" s="84"/>
    </row>
    <row r="11" spans="1:22" ht="21.75" customHeight="1" x14ac:dyDescent="0.25">
      <c r="A11" s="26" t="s">
        <v>196</v>
      </c>
      <c r="B11" s="28" t="s">
        <v>336</v>
      </c>
      <c r="C11" s="27" t="s">
        <v>208</v>
      </c>
      <c r="D11" s="179"/>
      <c r="E11" s="179"/>
      <c r="F11" s="179">
        <f>+(6988000)+88</f>
        <v>6988088</v>
      </c>
      <c r="G11" s="179">
        <f>+(6988000)+88+11415</f>
        <v>6999503</v>
      </c>
      <c r="H11" s="179"/>
      <c r="I11" s="179"/>
      <c r="J11" s="179">
        <f>+(14013770)+22860+63043</f>
        <v>14099673</v>
      </c>
      <c r="K11" s="179">
        <f>+(14013770)+22860+63043+5000+300000+1-1-60000+60000+200000+200000+200000+1109055+299445+789370+213130-600000+600000-268337-72451-500000+500000+274094+74005+7143-222934-165707</f>
        <v>17041486</v>
      </c>
      <c r="L11" s="179"/>
      <c r="M11" s="179"/>
      <c r="N11" s="179"/>
      <c r="O11" s="179"/>
      <c r="P11" s="179"/>
      <c r="Q11" s="179">
        <f>1+1365+4+295000-97088</f>
        <v>199282</v>
      </c>
      <c r="R11" s="179">
        <v>127000</v>
      </c>
      <c r="S11" s="179">
        <f>127000-100000-27000</f>
        <v>0</v>
      </c>
      <c r="T11" s="179">
        <f t="shared" si="0"/>
        <v>21214761</v>
      </c>
      <c r="U11" s="179">
        <f t="shared" ref="U11:U20" si="1">E11+G11+I11+K11+O11+Q11+S11</f>
        <v>24240271</v>
      </c>
      <c r="V11" s="84"/>
    </row>
    <row r="12" spans="1:22" ht="21.75" customHeight="1" x14ac:dyDescent="0.25">
      <c r="A12" s="26" t="s">
        <v>197</v>
      </c>
      <c r="B12" s="29" t="s">
        <v>337</v>
      </c>
      <c r="C12" s="27" t="s">
        <v>209</v>
      </c>
      <c r="D12" s="179"/>
      <c r="E12" s="179"/>
      <c r="F12" s="179"/>
      <c r="G12" s="179"/>
      <c r="H12" s="179"/>
      <c r="I12" s="179"/>
      <c r="J12" s="179"/>
      <c r="K12" s="179"/>
      <c r="L12" s="179"/>
      <c r="M12" s="179"/>
      <c r="N12" s="179"/>
      <c r="O12" s="179"/>
      <c r="P12" s="179"/>
      <c r="Q12" s="179"/>
      <c r="R12" s="179"/>
      <c r="S12" s="179"/>
      <c r="T12" s="179">
        <f t="shared" si="0"/>
        <v>0</v>
      </c>
      <c r="U12" s="179">
        <f t="shared" si="1"/>
        <v>0</v>
      </c>
    </row>
    <row r="13" spans="1:22" ht="21.75" customHeight="1" x14ac:dyDescent="0.25">
      <c r="A13" s="26" t="s">
        <v>198</v>
      </c>
      <c r="B13" s="29" t="s">
        <v>240</v>
      </c>
      <c r="C13" s="27" t="s">
        <v>210</v>
      </c>
      <c r="D13" s="179">
        <f t="shared" ref="D13:S13" si="2">SUM(D14:D16)</f>
        <v>0</v>
      </c>
      <c r="E13" s="179">
        <f t="shared" si="2"/>
        <v>6237769</v>
      </c>
      <c r="F13" s="179">
        <f t="shared" si="2"/>
        <v>0</v>
      </c>
      <c r="G13" s="179">
        <f t="shared" si="2"/>
        <v>0</v>
      </c>
      <c r="H13" s="179">
        <f t="shared" si="2"/>
        <v>0</v>
      </c>
      <c r="I13" s="179">
        <f t="shared" si="2"/>
        <v>0</v>
      </c>
      <c r="J13" s="179">
        <f t="shared" si="2"/>
        <v>0</v>
      </c>
      <c r="K13" s="179">
        <f t="shared" si="2"/>
        <v>0</v>
      </c>
      <c r="L13" s="179">
        <f t="shared" si="2"/>
        <v>0</v>
      </c>
      <c r="M13" s="179">
        <f t="shared" si="2"/>
        <v>0</v>
      </c>
      <c r="N13" s="179">
        <f t="shared" si="2"/>
        <v>0</v>
      </c>
      <c r="O13" s="179">
        <f t="shared" si="2"/>
        <v>0</v>
      </c>
      <c r="P13" s="179">
        <f t="shared" si="2"/>
        <v>0</v>
      </c>
      <c r="Q13" s="179">
        <f t="shared" si="2"/>
        <v>0</v>
      </c>
      <c r="R13" s="179">
        <f t="shared" si="2"/>
        <v>0</v>
      </c>
      <c r="S13" s="179">
        <f t="shared" si="2"/>
        <v>0</v>
      </c>
      <c r="T13" s="179">
        <f t="shared" si="0"/>
        <v>0</v>
      </c>
      <c r="U13" s="179">
        <f t="shared" si="1"/>
        <v>6237769</v>
      </c>
    </row>
    <row r="14" spans="1:22" ht="21.75" customHeight="1" x14ac:dyDescent="0.25">
      <c r="A14" s="26" t="s">
        <v>199</v>
      </c>
      <c r="B14" s="30" t="s">
        <v>125</v>
      </c>
      <c r="C14" s="27"/>
      <c r="D14" s="179"/>
      <c r="E14" s="179"/>
      <c r="F14" s="179"/>
      <c r="G14" s="179"/>
      <c r="H14" s="179"/>
      <c r="I14" s="179"/>
      <c r="J14" s="179"/>
      <c r="K14" s="179"/>
      <c r="L14" s="179"/>
      <c r="M14" s="179"/>
      <c r="N14" s="179"/>
      <c r="O14" s="179"/>
      <c r="P14" s="179"/>
      <c r="Q14" s="179"/>
      <c r="R14" s="179"/>
      <c r="S14" s="179"/>
      <c r="T14" s="179">
        <f t="shared" si="0"/>
        <v>0</v>
      </c>
      <c r="U14" s="179">
        <f t="shared" si="1"/>
        <v>0</v>
      </c>
    </row>
    <row r="15" spans="1:22" ht="21.75" customHeight="1" x14ac:dyDescent="0.25">
      <c r="A15" s="26" t="s">
        <v>200</v>
      </c>
      <c r="B15" s="30" t="s">
        <v>115</v>
      </c>
      <c r="C15" s="31"/>
      <c r="D15" s="179"/>
      <c r="E15" s="179"/>
      <c r="F15" s="179"/>
      <c r="G15" s="179"/>
      <c r="H15" s="179"/>
      <c r="I15" s="179"/>
      <c r="J15" s="179"/>
      <c r="K15" s="179"/>
      <c r="L15" s="179"/>
      <c r="M15" s="179"/>
      <c r="N15" s="179"/>
      <c r="O15" s="179"/>
      <c r="P15" s="179"/>
      <c r="Q15" s="179"/>
      <c r="R15" s="179"/>
      <c r="S15" s="179"/>
      <c r="T15" s="179">
        <f t="shared" si="0"/>
        <v>0</v>
      </c>
      <c r="U15" s="179">
        <f t="shared" si="1"/>
        <v>0</v>
      </c>
    </row>
    <row r="16" spans="1:22" ht="21.75" customHeight="1" x14ac:dyDescent="0.25">
      <c r="A16" s="26" t="s">
        <v>201</v>
      </c>
      <c r="B16" s="92" t="s">
        <v>566</v>
      </c>
      <c r="C16" s="31"/>
      <c r="D16" s="179"/>
      <c r="E16" s="179">
        <v>6237769</v>
      </c>
      <c r="F16" s="179"/>
      <c r="G16" s="179"/>
      <c r="H16" s="179"/>
      <c r="I16" s="179"/>
      <c r="J16" s="179"/>
      <c r="K16" s="179"/>
      <c r="L16" s="179"/>
      <c r="M16" s="179"/>
      <c r="N16" s="179"/>
      <c r="O16" s="179"/>
      <c r="P16" s="179"/>
      <c r="Q16" s="179"/>
      <c r="R16" s="179"/>
      <c r="S16" s="179"/>
      <c r="T16" s="179">
        <f t="shared" si="0"/>
        <v>0</v>
      </c>
      <c r="U16" s="179">
        <f t="shared" si="1"/>
        <v>6237769</v>
      </c>
    </row>
    <row r="17" spans="1:21" ht="21.75" customHeight="1" x14ac:dyDescent="0.25">
      <c r="A17" s="26" t="s">
        <v>202</v>
      </c>
      <c r="B17" s="32" t="s">
        <v>247</v>
      </c>
      <c r="C17" s="27" t="s">
        <v>211</v>
      </c>
      <c r="D17" s="179"/>
      <c r="E17" s="179"/>
      <c r="F17" s="179"/>
      <c r="G17" s="179"/>
      <c r="H17" s="179"/>
      <c r="I17" s="179"/>
      <c r="J17" s="179">
        <f>+'6.sz. Beruházások'!E174</f>
        <v>2222500</v>
      </c>
      <c r="K17" s="179">
        <f>2222500+149528+106299+69074-149528-106299-69074+268337+72451</f>
        <v>2563288</v>
      </c>
      <c r="L17" s="179"/>
      <c r="M17" s="179"/>
      <c r="N17" s="179"/>
      <c r="O17" s="179"/>
      <c r="P17" s="179">
        <f>+'6.sz. Beruházások'!E175</f>
        <v>340528</v>
      </c>
      <c r="Q17" s="179">
        <f>340528-255827-69074+149528+106299+69074-1075-290-4+78835+18253</f>
        <v>436247</v>
      </c>
      <c r="R17" s="179"/>
      <c r="S17" s="179"/>
      <c r="T17" s="179">
        <f t="shared" si="0"/>
        <v>2563028</v>
      </c>
      <c r="U17" s="179">
        <f t="shared" si="1"/>
        <v>2999535</v>
      </c>
    </row>
    <row r="18" spans="1:21" ht="21.75" customHeight="1" x14ac:dyDescent="0.25">
      <c r="A18" s="26" t="s">
        <v>203</v>
      </c>
      <c r="B18" s="29" t="s">
        <v>338</v>
      </c>
      <c r="C18" s="27" t="s">
        <v>212</v>
      </c>
      <c r="D18" s="179"/>
      <c r="E18" s="179"/>
      <c r="F18" s="179"/>
      <c r="G18" s="179"/>
      <c r="H18" s="179"/>
      <c r="I18" s="179"/>
      <c r="J18" s="179"/>
      <c r="K18" s="179"/>
      <c r="L18" s="179"/>
      <c r="M18" s="179"/>
      <c r="N18" s="179"/>
      <c r="O18" s="179"/>
      <c r="P18" s="179"/>
      <c r="Q18" s="179"/>
      <c r="R18" s="179"/>
      <c r="S18" s="179"/>
      <c r="T18" s="179">
        <f t="shared" si="0"/>
        <v>0</v>
      </c>
      <c r="U18" s="179">
        <f t="shared" si="1"/>
        <v>0</v>
      </c>
    </row>
    <row r="19" spans="1:21" ht="21.75" customHeight="1" x14ac:dyDescent="0.25">
      <c r="A19" s="26" t="s">
        <v>204</v>
      </c>
      <c r="B19" s="29" t="s">
        <v>241</v>
      </c>
      <c r="C19" s="27" t="s">
        <v>213</v>
      </c>
      <c r="D19" s="179"/>
      <c r="E19" s="179"/>
      <c r="F19" s="179"/>
      <c r="G19" s="179"/>
      <c r="H19" s="179"/>
      <c r="I19" s="179"/>
      <c r="J19" s="179"/>
      <c r="K19" s="179"/>
      <c r="L19" s="179"/>
      <c r="M19" s="179"/>
      <c r="N19" s="179"/>
      <c r="O19" s="179"/>
      <c r="P19" s="179"/>
      <c r="Q19" s="179"/>
      <c r="R19" s="179"/>
      <c r="S19" s="179"/>
      <c r="T19" s="179">
        <f t="shared" si="0"/>
        <v>0</v>
      </c>
      <c r="U19" s="179">
        <f t="shared" si="1"/>
        <v>0</v>
      </c>
    </row>
    <row r="20" spans="1:21" ht="21.75" customHeight="1" x14ac:dyDescent="0.25">
      <c r="A20" s="26" t="s">
        <v>231</v>
      </c>
      <c r="B20" s="29" t="s">
        <v>124</v>
      </c>
      <c r="C20" s="27"/>
      <c r="D20" s="179"/>
      <c r="E20" s="179"/>
      <c r="F20" s="179"/>
      <c r="G20" s="179"/>
      <c r="H20" s="179"/>
      <c r="I20" s="179"/>
      <c r="J20" s="179"/>
      <c r="K20" s="179"/>
      <c r="L20" s="179"/>
      <c r="M20" s="179"/>
      <c r="N20" s="179"/>
      <c r="O20" s="179"/>
      <c r="P20" s="179"/>
      <c r="Q20" s="179"/>
      <c r="R20" s="179"/>
      <c r="S20" s="179"/>
      <c r="T20" s="179">
        <f t="shared" si="0"/>
        <v>0</v>
      </c>
      <c r="U20" s="179">
        <f t="shared" si="1"/>
        <v>0</v>
      </c>
    </row>
    <row r="21" spans="1:21" ht="21.75" customHeight="1" x14ac:dyDescent="0.25">
      <c r="A21" s="26" t="s">
        <v>232</v>
      </c>
      <c r="B21" s="32" t="s">
        <v>242</v>
      </c>
      <c r="C21" s="27" t="s">
        <v>214</v>
      </c>
      <c r="D21" s="179">
        <f>+D9+D10+D11+D12+D13+D17+D18+D19</f>
        <v>0</v>
      </c>
      <c r="E21" s="179">
        <f>+E9+E10+E11+E12+E13+E17+E18+E19</f>
        <v>6237769</v>
      </c>
      <c r="F21" s="179">
        <f t="shared" ref="F21:S21" si="3">+F9+F10+F11+F12+F13+F17+F18+F19</f>
        <v>6988088</v>
      </c>
      <c r="G21" s="179">
        <f t="shared" si="3"/>
        <v>6999503</v>
      </c>
      <c r="H21" s="179">
        <f t="shared" si="3"/>
        <v>0</v>
      </c>
      <c r="I21" s="179">
        <f t="shared" si="3"/>
        <v>0</v>
      </c>
      <c r="J21" s="179">
        <f t="shared" si="3"/>
        <v>74631648</v>
      </c>
      <c r="K21" s="179">
        <f t="shared" si="3"/>
        <v>79298499</v>
      </c>
      <c r="L21" s="179">
        <f>+L9+L10+L11+L12+L13+L17+L18+L19</f>
        <v>0</v>
      </c>
      <c r="M21" s="179">
        <f>+M9+M10+M11+M12+M13+M17+M18+M19</f>
        <v>7723234</v>
      </c>
      <c r="N21" s="179">
        <f t="shared" si="3"/>
        <v>0</v>
      </c>
      <c r="O21" s="179">
        <f t="shared" si="3"/>
        <v>0</v>
      </c>
      <c r="P21" s="179">
        <f t="shared" si="3"/>
        <v>340528</v>
      </c>
      <c r="Q21" s="179">
        <f t="shared" si="3"/>
        <v>635529</v>
      </c>
      <c r="R21" s="179">
        <f t="shared" si="3"/>
        <v>127000</v>
      </c>
      <c r="S21" s="179">
        <f t="shared" si="3"/>
        <v>0</v>
      </c>
      <c r="T21" s="179">
        <f t="shared" si="0"/>
        <v>82087264</v>
      </c>
      <c r="U21" s="179">
        <f>E21+G21+I21+K21+O21+Q21+S21+M21</f>
        <v>100894534</v>
      </c>
    </row>
    <row r="22" spans="1:21" ht="21.75" customHeight="1" x14ac:dyDescent="0.25">
      <c r="A22" s="26" t="s">
        <v>233</v>
      </c>
      <c r="B22" s="32" t="s">
        <v>227</v>
      </c>
      <c r="C22" s="27" t="s">
        <v>223</v>
      </c>
      <c r="D22" s="179">
        <f>SUM(D23:D26)</f>
        <v>0</v>
      </c>
      <c r="E22" s="179">
        <f t="shared" ref="E22:S22" si="4">SUM(E23:E26)</f>
        <v>0</v>
      </c>
      <c r="F22" s="179">
        <f t="shared" si="4"/>
        <v>0</v>
      </c>
      <c r="G22" s="179">
        <f t="shared" si="4"/>
        <v>0</v>
      </c>
      <c r="H22" s="179">
        <f t="shared" si="4"/>
        <v>0</v>
      </c>
      <c r="I22" s="179">
        <f t="shared" si="4"/>
        <v>0</v>
      </c>
      <c r="J22" s="179">
        <f t="shared" si="4"/>
        <v>0</v>
      </c>
      <c r="K22" s="179">
        <f t="shared" si="4"/>
        <v>0</v>
      </c>
      <c r="L22" s="179">
        <f>SUM(L23:L26)</f>
        <v>0</v>
      </c>
      <c r="M22" s="179">
        <f>SUM(M23:M26)</f>
        <v>0</v>
      </c>
      <c r="N22" s="179">
        <f t="shared" si="4"/>
        <v>0</v>
      </c>
      <c r="O22" s="179">
        <f t="shared" si="4"/>
        <v>0</v>
      </c>
      <c r="P22" s="179">
        <f t="shared" si="4"/>
        <v>0</v>
      </c>
      <c r="Q22" s="179">
        <f t="shared" si="4"/>
        <v>0</v>
      </c>
      <c r="R22" s="179">
        <f t="shared" si="4"/>
        <v>0</v>
      </c>
      <c r="S22" s="179">
        <f t="shared" si="4"/>
        <v>0</v>
      </c>
      <c r="T22" s="179">
        <f t="shared" si="0"/>
        <v>0</v>
      </c>
      <c r="U22" s="179">
        <f t="shared" ref="U22:U27" si="5">E22+G22+I22+K22+O22+Q22+S22</f>
        <v>0</v>
      </c>
    </row>
    <row r="23" spans="1:21" ht="21.75" customHeight="1" x14ac:dyDescent="0.25">
      <c r="A23" s="26" t="s">
        <v>234</v>
      </c>
      <c r="B23" s="94" t="s">
        <v>182</v>
      </c>
      <c r="C23" s="31"/>
      <c r="D23" s="179"/>
      <c r="E23" s="179"/>
      <c r="F23" s="179"/>
      <c r="G23" s="179"/>
      <c r="H23" s="179"/>
      <c r="I23" s="179"/>
      <c r="J23" s="179"/>
      <c r="K23" s="179"/>
      <c r="L23" s="179"/>
      <c r="M23" s="179"/>
      <c r="N23" s="179"/>
      <c r="O23" s="179"/>
      <c r="P23" s="179"/>
      <c r="Q23" s="179"/>
      <c r="R23" s="179"/>
      <c r="S23" s="179"/>
      <c r="T23" s="179">
        <f t="shared" si="0"/>
        <v>0</v>
      </c>
      <c r="U23" s="179">
        <f t="shared" si="5"/>
        <v>0</v>
      </c>
    </row>
    <row r="24" spans="1:21" ht="21.75" customHeight="1" x14ac:dyDescent="0.25">
      <c r="A24" s="26" t="s">
        <v>235</v>
      </c>
      <c r="B24" s="33" t="s">
        <v>569</v>
      </c>
      <c r="C24" s="31"/>
      <c r="D24" s="179"/>
      <c r="E24" s="179"/>
      <c r="F24" s="179"/>
      <c r="G24" s="179"/>
      <c r="H24" s="179"/>
      <c r="I24" s="179"/>
      <c r="J24" s="179"/>
      <c r="K24" s="179"/>
      <c r="L24" s="179"/>
      <c r="M24" s="179"/>
      <c r="N24" s="179"/>
      <c r="O24" s="179"/>
      <c r="P24" s="179"/>
      <c r="Q24" s="179"/>
      <c r="R24" s="179"/>
      <c r="S24" s="179"/>
      <c r="T24" s="179">
        <f t="shared" si="0"/>
        <v>0</v>
      </c>
      <c r="U24" s="179">
        <f t="shared" si="5"/>
        <v>0</v>
      </c>
    </row>
    <row r="25" spans="1:21" ht="21.75" customHeight="1" x14ac:dyDescent="0.25">
      <c r="A25" s="26" t="s">
        <v>236</v>
      </c>
      <c r="B25" s="33" t="s">
        <v>570</v>
      </c>
      <c r="C25" s="31"/>
      <c r="D25" s="179"/>
      <c r="E25" s="179"/>
      <c r="F25" s="179"/>
      <c r="G25" s="179"/>
      <c r="H25" s="179"/>
      <c r="I25" s="179"/>
      <c r="J25" s="179"/>
      <c r="K25" s="179"/>
      <c r="L25" s="179"/>
      <c r="M25" s="179"/>
      <c r="N25" s="179"/>
      <c r="O25" s="179"/>
      <c r="P25" s="179"/>
      <c r="Q25" s="179"/>
      <c r="R25" s="179"/>
      <c r="S25" s="179"/>
      <c r="T25" s="179">
        <f t="shared" si="0"/>
        <v>0</v>
      </c>
      <c r="U25" s="179">
        <f t="shared" si="5"/>
        <v>0</v>
      </c>
    </row>
    <row r="26" spans="1:21" ht="21.75" customHeight="1" x14ac:dyDescent="0.25">
      <c r="A26" s="26" t="s">
        <v>237</v>
      </c>
      <c r="B26" s="33" t="s">
        <v>126</v>
      </c>
      <c r="C26" s="31"/>
      <c r="D26" s="179"/>
      <c r="E26" s="179"/>
      <c r="F26" s="179"/>
      <c r="G26" s="179"/>
      <c r="H26" s="179"/>
      <c r="I26" s="179"/>
      <c r="J26" s="179"/>
      <c r="K26" s="179"/>
      <c r="L26" s="179"/>
      <c r="M26" s="179"/>
      <c r="N26" s="179"/>
      <c r="O26" s="179"/>
      <c r="P26" s="179"/>
      <c r="Q26" s="179"/>
      <c r="R26" s="179"/>
      <c r="S26" s="179"/>
      <c r="T26" s="179">
        <f t="shared" si="0"/>
        <v>0</v>
      </c>
      <c r="U26" s="179">
        <f t="shared" si="5"/>
        <v>0</v>
      </c>
    </row>
    <row r="27" spans="1:21" ht="21.75" customHeight="1" x14ac:dyDescent="0.25">
      <c r="A27" s="26" t="s">
        <v>238</v>
      </c>
      <c r="B27" s="236" t="s">
        <v>847</v>
      </c>
      <c r="C27" s="31"/>
      <c r="D27" s="179"/>
      <c r="E27" s="179"/>
      <c r="F27" s="179"/>
      <c r="G27" s="179"/>
      <c r="H27" s="179"/>
      <c r="I27" s="179"/>
      <c r="J27" s="179"/>
      <c r="K27" s="179"/>
      <c r="L27" s="179"/>
      <c r="M27" s="179"/>
      <c r="N27" s="179"/>
      <c r="O27" s="179"/>
      <c r="P27" s="179"/>
      <c r="Q27" s="179"/>
      <c r="R27" s="179"/>
      <c r="S27" s="179"/>
      <c r="T27" s="179">
        <f t="shared" si="0"/>
        <v>0</v>
      </c>
      <c r="U27" s="179">
        <f t="shared" si="5"/>
        <v>0</v>
      </c>
    </row>
    <row r="28" spans="1:21" s="35" customFormat="1" ht="21.75" customHeight="1" x14ac:dyDescent="0.25">
      <c r="A28" s="26" t="s">
        <v>239</v>
      </c>
      <c r="B28" s="34" t="s">
        <v>32</v>
      </c>
      <c r="C28" s="27"/>
      <c r="D28" s="180">
        <f>+D9+D10+D11+D12+D13+D23+D24</f>
        <v>0</v>
      </c>
      <c r="E28" s="180">
        <f t="shared" ref="E28:S28" si="6">+E9+E10+E11+E12+E13+E23+E24</f>
        <v>6237769</v>
      </c>
      <c r="F28" s="180">
        <f t="shared" si="6"/>
        <v>6988088</v>
      </c>
      <c r="G28" s="180">
        <f t="shared" si="6"/>
        <v>6999503</v>
      </c>
      <c r="H28" s="180">
        <f t="shared" si="6"/>
        <v>0</v>
      </c>
      <c r="I28" s="180">
        <f t="shared" si="6"/>
        <v>0</v>
      </c>
      <c r="J28" s="180">
        <f t="shared" si="6"/>
        <v>72409148</v>
      </c>
      <c r="K28" s="180">
        <f t="shared" si="6"/>
        <v>76735211</v>
      </c>
      <c r="L28" s="180">
        <f>+L9+L10+L11+L12+L13+L23+L24</f>
        <v>0</v>
      </c>
      <c r="M28" s="180">
        <f>+M9+M10+M11+M12+M13+M23+M24</f>
        <v>7723234</v>
      </c>
      <c r="N28" s="180">
        <f t="shared" si="6"/>
        <v>0</v>
      </c>
      <c r="O28" s="180">
        <f t="shared" si="6"/>
        <v>0</v>
      </c>
      <c r="P28" s="180">
        <f t="shared" si="6"/>
        <v>0</v>
      </c>
      <c r="Q28" s="180">
        <f t="shared" si="6"/>
        <v>199282</v>
      </c>
      <c r="R28" s="180">
        <f t="shared" si="6"/>
        <v>127000</v>
      </c>
      <c r="S28" s="180">
        <f t="shared" si="6"/>
        <v>0</v>
      </c>
      <c r="T28" s="180">
        <f t="shared" si="0"/>
        <v>79524236</v>
      </c>
      <c r="U28" s="180">
        <f>E28+G28+I28+K28+O28+Q28+S28+M28</f>
        <v>97894999</v>
      </c>
    </row>
    <row r="29" spans="1:21" s="35" customFormat="1" ht="21.75" customHeight="1" x14ac:dyDescent="0.25">
      <c r="A29" s="26" t="s">
        <v>266</v>
      </c>
      <c r="B29" s="34" t="s">
        <v>33</v>
      </c>
      <c r="C29" s="27"/>
      <c r="D29" s="180">
        <f>+D17+D18+D19+D25+D26</f>
        <v>0</v>
      </c>
      <c r="E29" s="180">
        <f t="shared" ref="E29:S29" si="7">+E17+E18+E19+E25+E26</f>
        <v>0</v>
      </c>
      <c r="F29" s="180">
        <f t="shared" si="7"/>
        <v>0</v>
      </c>
      <c r="G29" s="180">
        <f t="shared" si="7"/>
        <v>0</v>
      </c>
      <c r="H29" s="180">
        <f t="shared" si="7"/>
        <v>0</v>
      </c>
      <c r="I29" s="180">
        <f t="shared" si="7"/>
        <v>0</v>
      </c>
      <c r="J29" s="180">
        <f t="shared" si="7"/>
        <v>2222500</v>
      </c>
      <c r="K29" s="180">
        <f t="shared" si="7"/>
        <v>2563288</v>
      </c>
      <c r="L29" s="180">
        <f>+L17+L18+L19+L25+L26</f>
        <v>0</v>
      </c>
      <c r="M29" s="180">
        <f>+M17+M18+M19+M25+M26</f>
        <v>0</v>
      </c>
      <c r="N29" s="180">
        <f t="shared" si="7"/>
        <v>0</v>
      </c>
      <c r="O29" s="180">
        <f t="shared" si="7"/>
        <v>0</v>
      </c>
      <c r="P29" s="180">
        <f t="shared" si="7"/>
        <v>340528</v>
      </c>
      <c r="Q29" s="180">
        <f t="shared" si="7"/>
        <v>436247</v>
      </c>
      <c r="R29" s="180">
        <f t="shared" si="7"/>
        <v>0</v>
      </c>
      <c r="S29" s="180">
        <f t="shared" si="7"/>
        <v>0</v>
      </c>
      <c r="T29" s="180">
        <f t="shared" si="0"/>
        <v>2563028</v>
      </c>
      <c r="U29" s="180">
        <f>E29+G29+I29+K29+O29+Q29+S29</f>
        <v>2999535</v>
      </c>
    </row>
    <row r="30" spans="1:21" s="35" customFormat="1" ht="21.75" customHeight="1" x14ac:dyDescent="0.25">
      <c r="A30" s="26" t="s">
        <v>267</v>
      </c>
      <c r="B30" s="34" t="s">
        <v>333</v>
      </c>
      <c r="C30" s="27" t="s">
        <v>31</v>
      </c>
      <c r="D30" s="180">
        <f>SUM(D28:D29)</f>
        <v>0</v>
      </c>
      <c r="E30" s="180">
        <f t="shared" ref="E30:S30" si="8">SUM(E28:E29)</f>
        <v>6237769</v>
      </c>
      <c r="F30" s="180">
        <f t="shared" si="8"/>
        <v>6988088</v>
      </c>
      <c r="G30" s="180">
        <f t="shared" si="8"/>
        <v>6999503</v>
      </c>
      <c r="H30" s="180">
        <f t="shared" si="8"/>
        <v>0</v>
      </c>
      <c r="I30" s="180">
        <f t="shared" si="8"/>
        <v>0</v>
      </c>
      <c r="J30" s="180">
        <f t="shared" si="8"/>
        <v>74631648</v>
      </c>
      <c r="K30" s="180">
        <f t="shared" si="8"/>
        <v>79298499</v>
      </c>
      <c r="L30" s="180">
        <f>SUM(L28:L29)</f>
        <v>0</v>
      </c>
      <c r="M30" s="180">
        <f>SUM(M28:M29)</f>
        <v>7723234</v>
      </c>
      <c r="N30" s="180">
        <f t="shared" si="8"/>
        <v>0</v>
      </c>
      <c r="O30" s="180">
        <f t="shared" si="8"/>
        <v>0</v>
      </c>
      <c r="P30" s="180">
        <f t="shared" si="8"/>
        <v>340528</v>
      </c>
      <c r="Q30" s="180">
        <f t="shared" si="8"/>
        <v>635529</v>
      </c>
      <c r="R30" s="180">
        <f t="shared" si="8"/>
        <v>127000</v>
      </c>
      <c r="S30" s="180">
        <f t="shared" si="8"/>
        <v>0</v>
      </c>
      <c r="T30" s="180">
        <f t="shared" si="0"/>
        <v>82087264</v>
      </c>
      <c r="U30" s="180">
        <f>E30+G30+I30+K30+O30+Q30+S30+M30</f>
        <v>100894534</v>
      </c>
    </row>
    <row r="31" spans="1:21" ht="21.75" customHeight="1" x14ac:dyDescent="0.25">
      <c r="A31" s="26" t="s">
        <v>268</v>
      </c>
      <c r="B31" s="28" t="s">
        <v>52</v>
      </c>
      <c r="C31" s="32" t="s">
        <v>215</v>
      </c>
      <c r="D31" s="179"/>
      <c r="E31" s="179"/>
      <c r="F31" s="179"/>
      <c r="G31" s="179"/>
      <c r="H31" s="179"/>
      <c r="I31" s="179"/>
      <c r="J31" s="179"/>
      <c r="K31" s="179"/>
      <c r="L31" s="179"/>
      <c r="M31" s="179"/>
      <c r="N31" s="179"/>
      <c r="O31" s="179"/>
      <c r="P31" s="179"/>
      <c r="Q31" s="179"/>
      <c r="R31" s="179"/>
      <c r="S31" s="179"/>
      <c r="T31" s="179">
        <f t="shared" si="0"/>
        <v>0</v>
      </c>
      <c r="U31" s="179">
        <f t="shared" ref="U31:U50" si="9">E31+G31+I31+K31+O31+Q31+S31</f>
        <v>0</v>
      </c>
    </row>
    <row r="32" spans="1:21" ht="21.75" customHeight="1" x14ac:dyDescent="0.25">
      <c r="A32" s="26" t="s">
        <v>269</v>
      </c>
      <c r="B32" s="28" t="s">
        <v>226</v>
      </c>
      <c r="C32" s="32" t="s">
        <v>216</v>
      </c>
      <c r="D32" s="179"/>
      <c r="E32" s="179"/>
      <c r="F32" s="179"/>
      <c r="G32" s="179"/>
      <c r="H32" s="179"/>
      <c r="I32" s="179"/>
      <c r="J32" s="179"/>
      <c r="K32" s="179"/>
      <c r="L32" s="179"/>
      <c r="M32" s="179"/>
      <c r="N32" s="179"/>
      <c r="O32" s="179"/>
      <c r="P32" s="179"/>
      <c r="Q32" s="179"/>
      <c r="R32" s="179"/>
      <c r="S32" s="179"/>
      <c r="T32" s="179">
        <f t="shared" si="0"/>
        <v>0</v>
      </c>
      <c r="U32" s="179">
        <f t="shared" si="9"/>
        <v>0</v>
      </c>
    </row>
    <row r="33" spans="1:23" ht="21.75" customHeight="1" x14ac:dyDescent="0.25">
      <c r="A33" s="26" t="s">
        <v>270</v>
      </c>
      <c r="B33" s="28" t="s">
        <v>225</v>
      </c>
      <c r="C33" s="32" t="s">
        <v>217</v>
      </c>
      <c r="D33" s="179"/>
      <c r="E33" s="179"/>
      <c r="F33" s="179"/>
      <c r="G33" s="179"/>
      <c r="H33" s="179"/>
      <c r="I33" s="179"/>
      <c r="J33" s="179"/>
      <c r="K33" s="179"/>
      <c r="L33" s="179"/>
      <c r="M33" s="179"/>
      <c r="N33" s="179"/>
      <c r="O33" s="179"/>
      <c r="P33" s="179"/>
      <c r="Q33" s="179"/>
      <c r="R33" s="179"/>
      <c r="S33" s="179"/>
      <c r="T33" s="179">
        <f t="shared" si="0"/>
        <v>0</v>
      </c>
      <c r="U33" s="179">
        <f t="shared" si="9"/>
        <v>0</v>
      </c>
    </row>
    <row r="34" spans="1:23" ht="21.75" customHeight="1" x14ac:dyDescent="0.25">
      <c r="A34" s="26" t="s">
        <v>271</v>
      </c>
      <c r="B34" s="29" t="s">
        <v>0</v>
      </c>
      <c r="C34" s="32" t="s">
        <v>218</v>
      </c>
      <c r="D34" s="179"/>
      <c r="E34" s="179"/>
      <c r="F34" s="179"/>
      <c r="G34" s="179">
        <v>11415</v>
      </c>
      <c r="H34" s="179"/>
      <c r="I34" s="179"/>
      <c r="J34" s="181">
        <v>566100</v>
      </c>
      <c r="K34" s="181">
        <f>566100+300000+200000+200000+200000+7143-97-53540-165707-169297</f>
        <v>1084602</v>
      </c>
      <c r="L34" s="181"/>
      <c r="M34" s="181"/>
      <c r="N34" s="181"/>
      <c r="O34" s="181"/>
      <c r="P34" s="181"/>
      <c r="Q34" s="181">
        <v>1</v>
      </c>
      <c r="R34" s="181">
        <v>127000</v>
      </c>
      <c r="S34" s="181">
        <f>127000-100000-27000</f>
        <v>0</v>
      </c>
      <c r="T34" s="179">
        <f t="shared" si="0"/>
        <v>693100</v>
      </c>
      <c r="U34" s="179">
        <f t="shared" si="9"/>
        <v>1096018</v>
      </c>
    </row>
    <row r="35" spans="1:23" ht="21.75" customHeight="1" x14ac:dyDescent="0.25">
      <c r="A35" s="26" t="s">
        <v>272</v>
      </c>
      <c r="B35" s="28" t="s">
        <v>248</v>
      </c>
      <c r="C35" s="32" t="s">
        <v>219</v>
      </c>
      <c r="D35" s="179"/>
      <c r="E35" s="179"/>
      <c r="F35" s="179"/>
      <c r="G35" s="179"/>
      <c r="H35" s="179"/>
      <c r="I35" s="179"/>
      <c r="J35" s="179"/>
      <c r="K35" s="179">
        <v>5000</v>
      </c>
      <c r="L35" s="179"/>
      <c r="M35" s="179"/>
      <c r="N35" s="179"/>
      <c r="O35" s="179"/>
      <c r="P35" s="179"/>
      <c r="Q35" s="179"/>
      <c r="R35" s="179"/>
      <c r="S35" s="179"/>
      <c r="T35" s="179">
        <f t="shared" si="0"/>
        <v>0</v>
      </c>
      <c r="U35" s="179">
        <f t="shared" si="9"/>
        <v>5000</v>
      </c>
    </row>
    <row r="36" spans="1:23" ht="21.75" customHeight="1" x14ac:dyDescent="0.25">
      <c r="A36" s="26" t="s">
        <v>273</v>
      </c>
      <c r="B36" s="28" t="s">
        <v>243</v>
      </c>
      <c r="C36" s="32" t="s">
        <v>220</v>
      </c>
      <c r="D36" s="179"/>
      <c r="E36" s="179"/>
      <c r="F36" s="179"/>
      <c r="G36" s="179"/>
      <c r="H36" s="179"/>
      <c r="I36" s="179"/>
      <c r="J36" s="179"/>
      <c r="K36" s="179"/>
      <c r="L36" s="179"/>
      <c r="M36" s="179"/>
      <c r="N36" s="179"/>
      <c r="O36" s="179"/>
      <c r="P36" s="179"/>
      <c r="Q36" s="179">
        <v>295000</v>
      </c>
      <c r="R36" s="179"/>
      <c r="S36" s="179"/>
      <c r="T36" s="179">
        <f t="shared" si="0"/>
        <v>0</v>
      </c>
      <c r="U36" s="179">
        <f t="shared" si="9"/>
        <v>295000</v>
      </c>
    </row>
    <row r="37" spans="1:23" ht="21.75" customHeight="1" x14ac:dyDescent="0.25">
      <c r="A37" s="26" t="s">
        <v>274</v>
      </c>
      <c r="B37" s="28" t="s">
        <v>244</v>
      </c>
      <c r="C37" s="32" t="s">
        <v>221</v>
      </c>
      <c r="D37" s="179"/>
      <c r="E37" s="179"/>
      <c r="F37" s="179"/>
      <c r="G37" s="179"/>
      <c r="H37" s="179"/>
      <c r="I37" s="179"/>
      <c r="J37" s="179"/>
      <c r="K37" s="179"/>
      <c r="L37" s="179"/>
      <c r="M37" s="179"/>
      <c r="N37" s="179"/>
      <c r="O37" s="179"/>
      <c r="P37" s="179"/>
      <c r="Q37" s="179"/>
      <c r="R37" s="179"/>
      <c r="S37" s="179"/>
      <c r="T37" s="179">
        <f t="shared" si="0"/>
        <v>0</v>
      </c>
      <c r="U37" s="179">
        <f t="shared" si="9"/>
        <v>0</v>
      </c>
      <c r="W37" s="1536"/>
    </row>
    <row r="38" spans="1:23" ht="21.75" customHeight="1" x14ac:dyDescent="0.25">
      <c r="A38" s="26" t="s">
        <v>275</v>
      </c>
      <c r="B38" s="29" t="s">
        <v>245</v>
      </c>
      <c r="C38" s="32" t="s">
        <v>222</v>
      </c>
      <c r="D38" s="179">
        <f>+D31+D32+D33+D34+D35+D36+D37</f>
        <v>0</v>
      </c>
      <c r="E38" s="179">
        <f t="shared" ref="E38:S38" si="10">+E31+E32+E33+E34+E35+E36+E37</f>
        <v>0</v>
      </c>
      <c r="F38" s="179">
        <f t="shared" si="10"/>
        <v>0</v>
      </c>
      <c r="G38" s="179">
        <f t="shared" si="10"/>
        <v>11415</v>
      </c>
      <c r="H38" s="179">
        <f t="shared" si="10"/>
        <v>0</v>
      </c>
      <c r="I38" s="179">
        <f t="shared" si="10"/>
        <v>0</v>
      </c>
      <c r="J38" s="179">
        <f t="shared" si="10"/>
        <v>566100</v>
      </c>
      <c r="K38" s="179">
        <f t="shared" si="10"/>
        <v>1089602</v>
      </c>
      <c r="L38" s="179">
        <f>+L31+L32+L33+L34+L35+L36+L37</f>
        <v>0</v>
      </c>
      <c r="M38" s="179">
        <f>+M31+M32+M33+M34+M35+M36+M37</f>
        <v>0</v>
      </c>
      <c r="N38" s="179">
        <f t="shared" si="10"/>
        <v>0</v>
      </c>
      <c r="O38" s="179">
        <f t="shared" si="10"/>
        <v>0</v>
      </c>
      <c r="P38" s="179">
        <f t="shared" si="10"/>
        <v>0</v>
      </c>
      <c r="Q38" s="179">
        <f t="shared" si="10"/>
        <v>295001</v>
      </c>
      <c r="R38" s="179">
        <f t="shared" si="10"/>
        <v>127000</v>
      </c>
      <c r="S38" s="179">
        <f t="shared" si="10"/>
        <v>0</v>
      </c>
      <c r="T38" s="179">
        <f t="shared" si="0"/>
        <v>693100</v>
      </c>
      <c r="U38" s="179">
        <f t="shared" si="9"/>
        <v>1396018</v>
      </c>
    </row>
    <row r="39" spans="1:23" ht="21.75" customHeight="1" x14ac:dyDescent="0.25">
      <c r="A39" s="26" t="s">
        <v>276</v>
      </c>
      <c r="B39" s="32" t="s">
        <v>246</v>
      </c>
      <c r="C39" s="27" t="s">
        <v>224</v>
      </c>
      <c r="D39" s="179">
        <f>SUM(D41:D45)</f>
        <v>81394164</v>
      </c>
      <c r="E39" s="179">
        <f t="shared" ref="E39:S39" si="11">SUM(E41:E45)</f>
        <v>99157988</v>
      </c>
      <c r="F39" s="179">
        <f t="shared" si="11"/>
        <v>0</v>
      </c>
      <c r="G39" s="179">
        <f t="shared" si="11"/>
        <v>0</v>
      </c>
      <c r="H39" s="179">
        <f t="shared" si="11"/>
        <v>0</v>
      </c>
      <c r="I39" s="179">
        <f t="shared" si="11"/>
        <v>0</v>
      </c>
      <c r="J39" s="179">
        <f t="shared" si="11"/>
        <v>0</v>
      </c>
      <c r="K39" s="179">
        <f t="shared" si="11"/>
        <v>0</v>
      </c>
      <c r="L39" s="179">
        <f>SUM(L41:L45)</f>
        <v>0</v>
      </c>
      <c r="M39" s="179">
        <f>SUM(M41:M45)</f>
        <v>0</v>
      </c>
      <c r="N39" s="179">
        <f t="shared" si="11"/>
        <v>0</v>
      </c>
      <c r="O39" s="179">
        <f t="shared" si="11"/>
        <v>0</v>
      </c>
      <c r="P39" s="179">
        <f t="shared" si="11"/>
        <v>0</v>
      </c>
      <c r="Q39" s="179">
        <f t="shared" si="11"/>
        <v>340528</v>
      </c>
      <c r="R39" s="179">
        <f t="shared" si="11"/>
        <v>0</v>
      </c>
      <c r="S39" s="179">
        <f t="shared" si="11"/>
        <v>0</v>
      </c>
      <c r="T39" s="179">
        <f t="shared" si="0"/>
        <v>81394164</v>
      </c>
      <c r="U39" s="179">
        <f t="shared" si="9"/>
        <v>99498516</v>
      </c>
    </row>
    <row r="40" spans="1:23" ht="21.75" customHeight="1" x14ac:dyDescent="0.25">
      <c r="A40" s="26" t="s">
        <v>277</v>
      </c>
      <c r="B40" s="94" t="s">
        <v>582</v>
      </c>
      <c r="C40" s="27"/>
      <c r="D40" s="179"/>
      <c r="E40" s="179"/>
      <c r="F40" s="179"/>
      <c r="G40" s="179"/>
      <c r="H40" s="179"/>
      <c r="I40" s="179"/>
      <c r="J40" s="179"/>
      <c r="K40" s="179"/>
      <c r="L40" s="179"/>
      <c r="M40" s="179"/>
      <c r="N40" s="179"/>
      <c r="O40" s="179"/>
      <c r="P40" s="179"/>
      <c r="Q40" s="179"/>
      <c r="R40" s="179"/>
      <c r="S40" s="179"/>
      <c r="T40" s="179">
        <f t="shared" si="0"/>
        <v>0</v>
      </c>
      <c r="U40" s="179">
        <f t="shared" si="9"/>
        <v>0</v>
      </c>
    </row>
    <row r="41" spans="1:23" ht="21.75" customHeight="1" x14ac:dyDescent="0.25">
      <c r="A41" s="26" t="s">
        <v>278</v>
      </c>
      <c r="B41" s="33" t="s">
        <v>882</v>
      </c>
      <c r="C41" s="31"/>
      <c r="D41" s="179">
        <f>22948+63043</f>
        <v>85991</v>
      </c>
      <c r="E41" s="179">
        <f>22948+63043+6237769</f>
        <v>6323760</v>
      </c>
      <c r="F41" s="179"/>
      <c r="G41" s="179"/>
      <c r="H41" s="179"/>
      <c r="I41" s="179"/>
      <c r="J41" s="179"/>
      <c r="K41" s="179"/>
      <c r="L41" s="179"/>
      <c r="M41" s="179"/>
      <c r="N41" s="179"/>
      <c r="O41" s="179"/>
      <c r="P41" s="179"/>
      <c r="Q41" s="179"/>
      <c r="R41" s="179"/>
      <c r="S41" s="179"/>
      <c r="T41" s="179">
        <f t="shared" si="0"/>
        <v>85991</v>
      </c>
      <c r="U41" s="179">
        <f t="shared" si="9"/>
        <v>6323760</v>
      </c>
    </row>
    <row r="42" spans="1:23" ht="21.75" customHeight="1" x14ac:dyDescent="0.25">
      <c r="A42" s="26" t="s">
        <v>282</v>
      </c>
      <c r="B42" s="33" t="s">
        <v>883</v>
      </c>
      <c r="C42" s="31"/>
      <c r="D42" s="179">
        <v>340528</v>
      </c>
      <c r="E42" s="179">
        <f>340528-340528</f>
        <v>0</v>
      </c>
      <c r="F42" s="179"/>
      <c r="G42" s="179"/>
      <c r="H42" s="179"/>
      <c r="I42" s="179"/>
      <c r="J42" s="179"/>
      <c r="K42" s="179"/>
      <c r="L42" s="179"/>
      <c r="M42" s="179"/>
      <c r="N42" s="179"/>
      <c r="O42" s="179"/>
      <c r="P42" s="179"/>
      <c r="Q42" s="179">
        <v>340528</v>
      </c>
      <c r="R42" s="179"/>
      <c r="S42" s="179"/>
      <c r="T42" s="179">
        <f t="shared" si="0"/>
        <v>340528</v>
      </c>
      <c r="U42" s="179">
        <f t="shared" si="9"/>
        <v>340528</v>
      </c>
    </row>
    <row r="43" spans="1:23" ht="21.75" customHeight="1" x14ac:dyDescent="0.25">
      <c r="A43" s="26" t="s">
        <v>283</v>
      </c>
      <c r="B43" s="33" t="s">
        <v>554</v>
      </c>
      <c r="C43" s="31"/>
      <c r="D43" s="179">
        <f>+T28-T31-T33-T34-T36-T41</f>
        <v>78745145</v>
      </c>
      <c r="E43" s="179">
        <f>+U28-U31-U33-U34-U36-U41</f>
        <v>90180221</v>
      </c>
      <c r="F43" s="179"/>
      <c r="G43" s="179"/>
      <c r="H43" s="179"/>
      <c r="I43" s="179"/>
      <c r="J43" s="179"/>
      <c r="K43" s="179"/>
      <c r="L43" s="179"/>
      <c r="M43" s="179"/>
      <c r="N43" s="179"/>
      <c r="O43" s="179"/>
      <c r="P43" s="179"/>
      <c r="Q43" s="179"/>
      <c r="R43" s="179"/>
      <c r="S43" s="179"/>
      <c r="T43" s="179">
        <f t="shared" si="0"/>
        <v>78745145</v>
      </c>
      <c r="U43" s="179">
        <f t="shared" si="9"/>
        <v>90180221</v>
      </c>
    </row>
    <row r="44" spans="1:23" ht="21.75" customHeight="1" x14ac:dyDescent="0.25">
      <c r="A44" s="26" t="s">
        <v>284</v>
      </c>
      <c r="B44" s="33" t="s">
        <v>555</v>
      </c>
      <c r="C44" s="31"/>
      <c r="D44" s="179">
        <f>+T29-T32-T35-T37-T42</f>
        <v>2222500</v>
      </c>
      <c r="E44" s="179">
        <f>+U29-U32-U35-U37-U42</f>
        <v>2654007</v>
      </c>
      <c r="F44" s="179"/>
      <c r="G44" s="179"/>
      <c r="H44" s="179"/>
      <c r="I44" s="179"/>
      <c r="J44" s="179"/>
      <c r="K44" s="179"/>
      <c r="L44" s="179"/>
      <c r="M44" s="179"/>
      <c r="N44" s="179"/>
      <c r="O44" s="179"/>
      <c r="P44" s="179"/>
      <c r="Q44" s="179"/>
      <c r="R44" s="179"/>
      <c r="S44" s="179"/>
      <c r="T44" s="179">
        <f t="shared" si="0"/>
        <v>2222500</v>
      </c>
      <c r="U44" s="179">
        <f t="shared" si="9"/>
        <v>2654007</v>
      </c>
    </row>
    <row r="45" spans="1:23" ht="21.75" customHeight="1" x14ac:dyDescent="0.25">
      <c r="A45" s="26" t="s">
        <v>285</v>
      </c>
      <c r="B45" s="33" t="s">
        <v>592</v>
      </c>
      <c r="C45" s="31"/>
      <c r="D45" s="179"/>
      <c r="E45" s="179"/>
      <c r="F45" s="179"/>
      <c r="G45" s="179"/>
      <c r="H45" s="179"/>
      <c r="I45" s="179"/>
      <c r="J45" s="179"/>
      <c r="K45" s="179"/>
      <c r="L45" s="179"/>
      <c r="M45" s="179"/>
      <c r="N45" s="179"/>
      <c r="O45" s="179"/>
      <c r="P45" s="179"/>
      <c r="Q45" s="179"/>
      <c r="R45" s="179"/>
      <c r="S45" s="179"/>
      <c r="T45" s="179">
        <f t="shared" si="0"/>
        <v>0</v>
      </c>
      <c r="U45" s="179">
        <f t="shared" si="9"/>
        <v>0</v>
      </c>
    </row>
    <row r="46" spans="1:23" ht="21.75" customHeight="1" x14ac:dyDescent="0.25">
      <c r="A46" s="26" t="s">
        <v>286</v>
      </c>
      <c r="B46" s="236" t="s">
        <v>846</v>
      </c>
      <c r="C46" s="31"/>
      <c r="D46" s="179"/>
      <c r="E46" s="179"/>
      <c r="F46" s="179"/>
      <c r="G46" s="179"/>
      <c r="H46" s="179"/>
      <c r="I46" s="179"/>
      <c r="J46" s="179"/>
      <c r="K46" s="179"/>
      <c r="L46" s="179"/>
      <c r="M46" s="179"/>
      <c r="N46" s="179"/>
      <c r="O46" s="179"/>
      <c r="P46" s="179"/>
      <c r="Q46" s="179"/>
      <c r="R46" s="179"/>
      <c r="S46" s="179"/>
      <c r="T46" s="179">
        <f t="shared" si="0"/>
        <v>0</v>
      </c>
      <c r="U46" s="179">
        <f t="shared" si="9"/>
        <v>0</v>
      </c>
    </row>
    <row r="47" spans="1:23" ht="21.75" customHeight="1" x14ac:dyDescent="0.25">
      <c r="A47" s="26" t="s">
        <v>287</v>
      </c>
      <c r="B47" s="34" t="s">
        <v>112</v>
      </c>
      <c r="C47" s="27"/>
      <c r="D47" s="180">
        <f>+D31+D33+D34+D36+D41+D43</f>
        <v>78831136</v>
      </c>
      <c r="E47" s="180">
        <f t="shared" ref="E47:S47" si="12">+E31+E33+E34+E36+E41+E43</f>
        <v>96503981</v>
      </c>
      <c r="F47" s="180">
        <f t="shared" si="12"/>
        <v>0</v>
      </c>
      <c r="G47" s="180">
        <f t="shared" si="12"/>
        <v>11415</v>
      </c>
      <c r="H47" s="180">
        <f t="shared" si="12"/>
        <v>0</v>
      </c>
      <c r="I47" s="180">
        <f t="shared" si="12"/>
        <v>0</v>
      </c>
      <c r="J47" s="180">
        <f t="shared" si="12"/>
        <v>566100</v>
      </c>
      <c r="K47" s="180">
        <f t="shared" si="12"/>
        <v>1084602</v>
      </c>
      <c r="L47" s="180">
        <f>+L31+L33+L34+L36+L41+L43</f>
        <v>0</v>
      </c>
      <c r="M47" s="180">
        <f>+M31+M33+M34+M36+M41+M43</f>
        <v>0</v>
      </c>
      <c r="N47" s="180">
        <f t="shared" si="12"/>
        <v>0</v>
      </c>
      <c r="O47" s="180">
        <f t="shared" si="12"/>
        <v>0</v>
      </c>
      <c r="P47" s="180">
        <f t="shared" si="12"/>
        <v>0</v>
      </c>
      <c r="Q47" s="180">
        <f t="shared" si="12"/>
        <v>295001</v>
      </c>
      <c r="R47" s="180">
        <f t="shared" si="12"/>
        <v>127000</v>
      </c>
      <c r="S47" s="180">
        <f t="shared" si="12"/>
        <v>0</v>
      </c>
      <c r="T47" s="180">
        <f t="shared" si="0"/>
        <v>79524236</v>
      </c>
      <c r="U47" s="180">
        <f t="shared" si="9"/>
        <v>97894999</v>
      </c>
    </row>
    <row r="48" spans="1:23" ht="21.75" customHeight="1" x14ac:dyDescent="0.25">
      <c r="A48" s="26" t="s">
        <v>288</v>
      </c>
      <c r="B48" s="34" t="s">
        <v>113</v>
      </c>
      <c r="C48" s="27"/>
      <c r="D48" s="180">
        <f>+D32+D35+D37+D42+D429+D45+D44</f>
        <v>2563028</v>
      </c>
      <c r="E48" s="180">
        <f t="shared" ref="E48:S48" si="13">+E32+E35+E37+E42+E429+E45+E44</f>
        <v>2654007</v>
      </c>
      <c r="F48" s="180">
        <f t="shared" si="13"/>
        <v>0</v>
      </c>
      <c r="G48" s="180">
        <f t="shared" si="13"/>
        <v>0</v>
      </c>
      <c r="H48" s="180">
        <f t="shared" si="13"/>
        <v>0</v>
      </c>
      <c r="I48" s="180">
        <f t="shared" si="13"/>
        <v>0</v>
      </c>
      <c r="J48" s="180">
        <f t="shared" si="13"/>
        <v>0</v>
      </c>
      <c r="K48" s="180">
        <f t="shared" si="13"/>
        <v>5000</v>
      </c>
      <c r="L48" s="180">
        <f>+L32+L35+L37+L42+L429+L45+L44</f>
        <v>0</v>
      </c>
      <c r="M48" s="180">
        <f>+M32+M35+M37+M42+M429+M45+M44</f>
        <v>0</v>
      </c>
      <c r="N48" s="180">
        <f t="shared" si="13"/>
        <v>0</v>
      </c>
      <c r="O48" s="180">
        <f t="shared" si="13"/>
        <v>0</v>
      </c>
      <c r="P48" s="180">
        <f t="shared" si="13"/>
        <v>0</v>
      </c>
      <c r="Q48" s="180">
        <f t="shared" si="13"/>
        <v>340528</v>
      </c>
      <c r="R48" s="180">
        <f t="shared" si="13"/>
        <v>0</v>
      </c>
      <c r="S48" s="180">
        <f t="shared" si="13"/>
        <v>0</v>
      </c>
      <c r="T48" s="180">
        <f t="shared" si="0"/>
        <v>2563028</v>
      </c>
      <c r="U48" s="180">
        <f t="shared" si="9"/>
        <v>2999535</v>
      </c>
    </row>
    <row r="49" spans="1:22" ht="21.75" customHeight="1" x14ac:dyDescent="0.25">
      <c r="A49" s="26" t="s">
        <v>289</v>
      </c>
      <c r="B49" s="34" t="s">
        <v>334</v>
      </c>
      <c r="C49" s="27"/>
      <c r="D49" s="180">
        <f>+D47+D48</f>
        <v>81394164</v>
      </c>
      <c r="E49" s="180">
        <f t="shared" ref="E49:S49" si="14">+E47+E48</f>
        <v>99157988</v>
      </c>
      <c r="F49" s="180">
        <f t="shared" si="14"/>
        <v>0</v>
      </c>
      <c r="G49" s="180">
        <f t="shared" si="14"/>
        <v>11415</v>
      </c>
      <c r="H49" s="180">
        <f t="shared" si="14"/>
        <v>0</v>
      </c>
      <c r="I49" s="180">
        <f t="shared" si="14"/>
        <v>0</v>
      </c>
      <c r="J49" s="180">
        <f t="shared" si="14"/>
        <v>566100</v>
      </c>
      <c r="K49" s="180">
        <f t="shared" si="14"/>
        <v>1089602</v>
      </c>
      <c r="L49" s="180">
        <f>+L47+L48</f>
        <v>0</v>
      </c>
      <c r="M49" s="180">
        <f>+M47+M48</f>
        <v>0</v>
      </c>
      <c r="N49" s="180">
        <f t="shared" si="14"/>
        <v>0</v>
      </c>
      <c r="O49" s="180">
        <f t="shared" si="14"/>
        <v>0</v>
      </c>
      <c r="P49" s="180">
        <f t="shared" si="14"/>
        <v>0</v>
      </c>
      <c r="Q49" s="180">
        <f t="shared" si="14"/>
        <v>635529</v>
      </c>
      <c r="R49" s="180">
        <f t="shared" si="14"/>
        <v>127000</v>
      </c>
      <c r="S49" s="180">
        <f t="shared" si="14"/>
        <v>0</v>
      </c>
      <c r="T49" s="180">
        <f t="shared" si="0"/>
        <v>82087264</v>
      </c>
      <c r="U49" s="180">
        <f t="shared" si="9"/>
        <v>100894534</v>
      </c>
    </row>
    <row r="50" spans="1:22" ht="21.75" customHeight="1" x14ac:dyDescent="0.25">
      <c r="A50" s="26" t="s">
        <v>290</v>
      </c>
      <c r="B50" s="380" t="s">
        <v>450</v>
      </c>
      <c r="C50" s="184"/>
      <c r="D50" s="179"/>
      <c r="E50" s="179"/>
      <c r="F50" s="179"/>
      <c r="G50" s="179"/>
      <c r="H50" s="179"/>
      <c r="I50" s="179"/>
      <c r="J50" s="179">
        <v>7</v>
      </c>
      <c r="K50" s="179">
        <v>7</v>
      </c>
      <c r="L50" s="179"/>
      <c r="M50" s="179"/>
      <c r="N50" s="179"/>
      <c r="O50" s="179"/>
      <c r="P50" s="179"/>
      <c r="Q50" s="179"/>
      <c r="R50" s="179"/>
      <c r="S50" s="179"/>
      <c r="T50" s="179">
        <f t="shared" si="0"/>
        <v>7</v>
      </c>
      <c r="U50" s="179">
        <f t="shared" si="9"/>
        <v>7</v>
      </c>
      <c r="V50" s="84">
        <f>T49-T30</f>
        <v>0</v>
      </c>
    </row>
    <row r="51" spans="1:22" ht="21.75" customHeight="1" x14ac:dyDescent="0.25">
      <c r="A51" s="26" t="s">
        <v>291</v>
      </c>
      <c r="B51" s="48" t="s">
        <v>1357</v>
      </c>
      <c r="C51" s="184"/>
      <c r="D51" s="212"/>
      <c r="E51" s="212"/>
      <c r="F51" s="212"/>
      <c r="G51" s="212"/>
      <c r="H51" s="212"/>
      <c r="I51" s="212"/>
      <c r="J51" s="212"/>
      <c r="K51" s="212"/>
      <c r="L51" s="212"/>
      <c r="M51" s="212"/>
      <c r="N51" s="212"/>
      <c r="O51" s="212"/>
      <c r="P51" s="212"/>
      <c r="Q51" s="212"/>
      <c r="R51" s="212"/>
      <c r="S51" s="212"/>
      <c r="T51" s="212"/>
      <c r="U51" s="212"/>
      <c r="V51" s="84"/>
    </row>
  </sheetData>
  <mergeCells count="28">
    <mergeCell ref="S6:S7"/>
    <mergeCell ref="U4:U7"/>
    <mergeCell ref="D2:G2"/>
    <mergeCell ref="H2:K2"/>
    <mergeCell ref="G6:G7"/>
    <mergeCell ref="I6:I7"/>
    <mergeCell ref="K6:K7"/>
    <mergeCell ref="O6:O7"/>
    <mergeCell ref="Q6:Q7"/>
    <mergeCell ref="R6:R7"/>
    <mergeCell ref="T4:T7"/>
    <mergeCell ref="L2:O2"/>
    <mergeCell ref="P2:S2"/>
    <mergeCell ref="T2:U2"/>
    <mergeCell ref="A4:A7"/>
    <mergeCell ref="B4:C4"/>
    <mergeCell ref="P6:P7"/>
    <mergeCell ref="H6:H7"/>
    <mergeCell ref="A3:C3"/>
    <mergeCell ref="N6:N7"/>
    <mergeCell ref="B5:C5"/>
    <mergeCell ref="B6:C6"/>
    <mergeCell ref="D6:D7"/>
    <mergeCell ref="F6:F7"/>
    <mergeCell ref="J6:J7"/>
    <mergeCell ref="E6:E7"/>
    <mergeCell ref="L6:L7"/>
    <mergeCell ref="M6:M7"/>
  </mergeCells>
  <phoneticPr fontId="45" type="noConversion"/>
  <printOptions horizontalCentered="1" verticalCentered="1"/>
  <pageMargins left="0.35433070866141736" right="0.35433070866141736" top="0.39370078740157483" bottom="0.39370078740157483" header="0.51181102362204722" footer="0.51181102362204722"/>
  <pageSetup paperSize="9" scale="55" orientation="portrait" horizontalDpi="200" verticalDpi="200" r:id="rId1"/>
  <headerFooter alignWithMargins="0">
    <oddHeader>&amp;C2022. évi költségvetés&amp;R&amp;A</oddHeader>
    <oddFooter>&amp;C&amp;P/&amp;N</oddFooter>
  </headerFooter>
  <colBreaks count="4" manualBreakCount="4">
    <brk id="7" max="50" man="1"/>
    <brk id="11" max="50" man="1"/>
    <brk id="15" max="50" man="1"/>
    <brk id="19" max="5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48</vt:i4>
      </vt:variant>
      <vt:variant>
        <vt:lpstr>Névvel ellátott tartományok</vt:lpstr>
      </vt:variant>
      <vt:variant>
        <vt:i4>70</vt:i4>
      </vt:variant>
    </vt:vector>
  </HeadingPairs>
  <TitlesOfParts>
    <vt:vector size="118" baseType="lpstr">
      <vt:lpstr>1.a sz. Önkormányzat 2022. </vt:lpstr>
      <vt:lpstr>1.b sz. Önkormányzat 2022.</vt:lpstr>
      <vt:lpstr>2.1. sz. PMH</vt:lpstr>
      <vt:lpstr>2.2. sz. Hétszínvirág Óvoda</vt:lpstr>
      <vt:lpstr>2.3. sz. Mese Óvoda</vt:lpstr>
      <vt:lpstr>2.4. sz. Bölcsőde</vt:lpstr>
      <vt:lpstr>2.5. sz. Gyermekjóléti</vt:lpstr>
      <vt:lpstr>2.6 sz. Területi</vt:lpstr>
      <vt:lpstr>2.7. sz. Könyvtár</vt:lpstr>
      <vt:lpstr>2.8. sz. Műv.Ház</vt:lpstr>
      <vt:lpstr>2.9. sz. Szivárvány Ó.</vt:lpstr>
      <vt:lpstr>2.10. sz. Intézmények összesen</vt:lpstr>
      <vt:lpstr>3. sz.Városi szintű összesen</vt:lpstr>
      <vt:lpstr>4.sz.Felhalm.c.pe.átadás</vt:lpstr>
      <vt:lpstr>5.sz.Műk.c.pe.átadás</vt:lpstr>
      <vt:lpstr>6.sz. Beruházások</vt:lpstr>
      <vt:lpstr>7. sz. Felújítások</vt:lpstr>
      <vt:lpstr>8.sz.Tartalékok</vt:lpstr>
      <vt:lpstr>9.sz. Szociális</vt:lpstr>
      <vt:lpstr>10.sz.Intézményfinanszírozás</vt:lpstr>
      <vt:lpstr>11.a.sz. Állami támogatás</vt:lpstr>
      <vt:lpstr>11.b.sz. Műk.célú tám.ÁHbelül</vt:lpstr>
      <vt:lpstr>12.sz.Felh.célú tám.ÁHbelül</vt:lpstr>
      <vt:lpstr>13.sz. Közhatalmi bevételek</vt:lpstr>
      <vt:lpstr>14.sz.Felhalmozási bev</vt:lpstr>
      <vt:lpstr>15.sz.mell. Létszámtábla</vt:lpstr>
      <vt:lpstr>1.sz.tájék.tábla Közvetett tám</vt:lpstr>
      <vt:lpstr>2.sz.tájék.tábla Mérlegszerű</vt:lpstr>
      <vt:lpstr>3.sz.tájék.tábla Gördülő</vt:lpstr>
      <vt:lpstr>4.sz.tájék.táb. Többéves</vt:lpstr>
      <vt:lpstr>5.sz.tájék.táb Adósságszolgálat</vt:lpstr>
      <vt:lpstr>6.sz.tájék.tábla Hitelképes </vt:lpstr>
      <vt:lpstr>7.sz.tájék.táb.Likviditási  </vt:lpstr>
      <vt:lpstr>8.sz.tájék.tábla Ütemterv</vt:lpstr>
      <vt:lpstr>9. sz. tájék.tábla EU-s pály.</vt:lpstr>
      <vt:lpstr>10. sz.tájék.Nem EU-s pály. </vt:lpstr>
      <vt:lpstr>1.sz.függ.Önkormány bev-kiad</vt:lpstr>
      <vt:lpstr>2.sz.függ.PMH bev-kiad</vt:lpstr>
      <vt:lpstr>3.sz.függ.Ter.Gond. </vt:lpstr>
      <vt:lpstr>4.sz.függ.Könyvtár </vt:lpstr>
      <vt:lpstr>5.sz.függ.Hétszínvirág Ó. </vt:lpstr>
      <vt:lpstr>6.sz.függ.Mese Ó.  </vt:lpstr>
      <vt:lpstr>7.sz.függ.Bölcsőde</vt:lpstr>
      <vt:lpstr>8.sz.függ.Gyermekjóléti  </vt:lpstr>
      <vt:lpstr>9.sz.függ.Szivárvány Ó.</vt:lpstr>
      <vt:lpstr>10.sz.függ.József A.Műv.Ház</vt:lpstr>
      <vt:lpstr>11.sz.függ.Mindösszesen</vt:lpstr>
      <vt:lpstr>12.sz.függ.Tartalékok vált.</vt:lpstr>
      <vt:lpstr>'1.a sz. Önkormányzat 2022. '!Nyomtatási_cím</vt:lpstr>
      <vt:lpstr>'1.b sz. Önkormányzat 2022.'!Nyomtatási_cím</vt:lpstr>
      <vt:lpstr>'11.b.sz. Műk.célú tám.ÁHbelül'!Nyomtatási_cím</vt:lpstr>
      <vt:lpstr>'12.sz.Felh.célú tám.ÁHbelül'!Nyomtatási_cím</vt:lpstr>
      <vt:lpstr>'12.sz.függ.Tartalékok vált.'!Nyomtatási_cím</vt:lpstr>
      <vt:lpstr>'13.sz. Közhatalmi bevételek'!Nyomtatási_cím</vt:lpstr>
      <vt:lpstr>'15.sz.mell. Létszámtábla'!Nyomtatási_cím</vt:lpstr>
      <vt:lpstr>'2.1. sz. PMH'!Nyomtatási_cím</vt:lpstr>
      <vt:lpstr>'2.10. sz. Intézmények összesen'!Nyomtatási_cím</vt:lpstr>
      <vt:lpstr>'2.2. sz. Hétszínvirág Óvoda'!Nyomtatási_cím</vt:lpstr>
      <vt:lpstr>'2.3. sz. Mese Óvoda'!Nyomtatási_cím</vt:lpstr>
      <vt:lpstr>'2.4. sz. Bölcsőde'!Nyomtatási_cím</vt:lpstr>
      <vt:lpstr>'2.5. sz. Gyermekjóléti'!Nyomtatási_cím</vt:lpstr>
      <vt:lpstr>'2.6 sz. Területi'!Nyomtatási_cím</vt:lpstr>
      <vt:lpstr>'2.7. sz. Könyvtár'!Nyomtatási_cím</vt:lpstr>
      <vt:lpstr>'2.8. sz. Műv.Ház'!Nyomtatási_cím</vt:lpstr>
      <vt:lpstr>'2.9. sz. Szivárvány Ó.'!Nyomtatási_cím</vt:lpstr>
      <vt:lpstr>'3. sz.Városi szintű összesen'!Nyomtatási_cím</vt:lpstr>
      <vt:lpstr>'4.sz.Felhalm.c.pe.átadás'!Nyomtatási_cím</vt:lpstr>
      <vt:lpstr>'6.sz. Beruházások'!Nyomtatási_cím</vt:lpstr>
      <vt:lpstr>'6.sz.tájék.tábla Hitelképes '!Nyomtatási_cím</vt:lpstr>
      <vt:lpstr>'7. sz. Felújítások'!Nyomtatási_cím</vt:lpstr>
      <vt:lpstr>'8.sz.Tartalékok'!Nyomtatási_cím</vt:lpstr>
      <vt:lpstr>'1.a sz. Önkormányzat 2022. '!Nyomtatási_terület</vt:lpstr>
      <vt:lpstr>'1.b sz. Önkormányzat 2022.'!Nyomtatási_terület</vt:lpstr>
      <vt:lpstr>'1.sz.függ.Önkormány bev-kiad'!Nyomtatási_terület</vt:lpstr>
      <vt:lpstr>'1.sz.tájék.tábla Közvetett tám'!Nyomtatási_terület</vt:lpstr>
      <vt:lpstr>'10.sz.függ.József A.Műv.Ház'!Nyomtatási_terület</vt:lpstr>
      <vt:lpstr>'10.sz.Intézményfinanszírozás'!Nyomtatási_terület</vt:lpstr>
      <vt:lpstr>'11.a.sz. Állami támogatás'!Nyomtatási_terület</vt:lpstr>
      <vt:lpstr>'11.b.sz. Műk.célú tám.ÁHbelül'!Nyomtatási_terület</vt:lpstr>
      <vt:lpstr>'11.sz.függ.Mindösszesen'!Nyomtatási_terület</vt:lpstr>
      <vt:lpstr>'12.sz.Felh.célú tám.ÁHbelül'!Nyomtatási_terület</vt:lpstr>
      <vt:lpstr>'12.sz.függ.Tartalékok vált.'!Nyomtatási_terület</vt:lpstr>
      <vt:lpstr>'13.sz. Közhatalmi bevételek'!Nyomtatási_terület</vt:lpstr>
      <vt:lpstr>'14.sz.Felhalmozási bev'!Nyomtatási_terület</vt:lpstr>
      <vt:lpstr>'15.sz.mell. Létszámtábla'!Nyomtatási_terület</vt:lpstr>
      <vt:lpstr>'2.1. sz. PMH'!Nyomtatási_terület</vt:lpstr>
      <vt:lpstr>'2.10. sz. Intézmények összesen'!Nyomtatási_terület</vt:lpstr>
      <vt:lpstr>'2.2. sz. Hétszínvirág Óvoda'!Nyomtatási_terület</vt:lpstr>
      <vt:lpstr>'2.3. sz. Mese Óvoda'!Nyomtatási_terület</vt:lpstr>
      <vt:lpstr>'2.4. sz. Bölcsőde'!Nyomtatási_terület</vt:lpstr>
      <vt:lpstr>'2.5. sz. Gyermekjóléti'!Nyomtatási_terület</vt:lpstr>
      <vt:lpstr>'2.6 sz. Területi'!Nyomtatási_terület</vt:lpstr>
      <vt:lpstr>'2.7. sz. Könyvtár'!Nyomtatási_terület</vt:lpstr>
      <vt:lpstr>'2.8. sz. Műv.Ház'!Nyomtatási_terület</vt:lpstr>
      <vt:lpstr>'2.9. sz. Szivárvány Ó.'!Nyomtatási_terület</vt:lpstr>
      <vt:lpstr>'2.sz.függ.PMH bev-kiad'!Nyomtatási_terület</vt:lpstr>
      <vt:lpstr>'2.sz.tájék.tábla Mérlegszerű'!Nyomtatási_terület</vt:lpstr>
      <vt:lpstr>'3. sz.Városi szintű összesen'!Nyomtatási_terület</vt:lpstr>
      <vt:lpstr>'3.sz.függ.Ter.Gond. '!Nyomtatási_terület</vt:lpstr>
      <vt:lpstr>'3.sz.tájék.tábla Gördülő'!Nyomtatási_terület</vt:lpstr>
      <vt:lpstr>'4.sz.Felhalm.c.pe.átadás'!Nyomtatási_terület</vt:lpstr>
      <vt:lpstr>'4.sz.függ.Könyvtár '!Nyomtatási_terület</vt:lpstr>
      <vt:lpstr>'4.sz.tájék.táb. Többéves'!Nyomtatási_terület</vt:lpstr>
      <vt:lpstr>'5.sz.függ.Hétszínvirág Ó. '!Nyomtatási_terület</vt:lpstr>
      <vt:lpstr>'5.sz.Műk.c.pe.átadás'!Nyomtatási_terület</vt:lpstr>
      <vt:lpstr>'5.sz.tájék.táb Adósságszolgálat'!Nyomtatási_terület</vt:lpstr>
      <vt:lpstr>'6.sz. Beruházások'!Nyomtatási_terület</vt:lpstr>
      <vt:lpstr>'6.sz.függ.Mese Ó.  '!Nyomtatási_terület</vt:lpstr>
      <vt:lpstr>'6.sz.tájék.tábla Hitelképes '!Nyomtatási_terület</vt:lpstr>
      <vt:lpstr>'7. sz. Felújítások'!Nyomtatási_terület</vt:lpstr>
      <vt:lpstr>'7.sz.függ.Bölcsőde'!Nyomtatási_terület</vt:lpstr>
      <vt:lpstr>'7.sz.tájék.táb.Likviditási  '!Nyomtatási_terület</vt:lpstr>
      <vt:lpstr>'8.sz.függ.Gyermekjóléti  '!Nyomtatási_terület</vt:lpstr>
      <vt:lpstr>'8.sz.tájék.tábla Ütemterv'!Nyomtatási_terület</vt:lpstr>
      <vt:lpstr>'8.sz.Tartalékok'!Nyomtatási_terület</vt:lpstr>
      <vt:lpstr>'9. sz. tájék.tábla EU-s pály.'!Nyomtatási_terület</vt:lpstr>
      <vt:lpstr>'9.sz. Szociális'!Nyomtatási_terület</vt:lpstr>
      <vt:lpstr>'9.sz.függ.Szivárvány 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paskoneeva</dc:creator>
  <cp:lastModifiedBy>Weinberné Márton Melinda</cp:lastModifiedBy>
  <cp:lastPrinted>2023-02-15T08:52:01Z</cp:lastPrinted>
  <dcterms:created xsi:type="dcterms:W3CDTF">2014-01-08T13:04:31Z</dcterms:created>
  <dcterms:modified xsi:type="dcterms:W3CDTF">2023-02-20T07:33:31Z</dcterms:modified>
</cp:coreProperties>
</file>